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9F4726-C5B1-4B66-B571-0A034DC1FA8B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ON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ON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ON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</externalReferences>
  <definedNames>
    <definedName name="canada">[0]!canada</definedName>
    <definedName name="central">[0]!central</definedName>
    <definedName name="checkbalance">Actuals!$D$639:$AC$652</definedName>
    <definedName name="complete">[0]!complete</definedName>
    <definedName name="northeast">[0]!northeast</definedName>
    <definedName name="_xlnm.Print_Area" localSheetId="44">Actuals!$D$639:$I$652</definedName>
    <definedName name="_xlnm.Print_Area" localSheetId="43">BGC_VAR!$A$1:$I$82</definedName>
    <definedName name="_xlnm.Print_Area" localSheetId="31">'CE-VAR'!$A$1:$I$82</definedName>
    <definedName name="_xlnm.Print_Area" localSheetId="1">Check!$A$1:$D$39</definedName>
    <definedName name="_xlnm.Print_Area" localSheetId="19">NE_GL!$A$1:$AP$92</definedName>
    <definedName name="_xlnm.Print_Area" localSheetId="6">'NE-FLSH'!$A$1:$M$92</definedName>
    <definedName name="_xlnm.Print_Area" localSheetId="32">'NE-VAR'!$A$1:$I$92</definedName>
    <definedName name="_xlnm.Print_Area" localSheetId="16">ONT_FLSH!$A$1:$M$92</definedName>
    <definedName name="_xlnm.Print_Area" localSheetId="30">'ONT_GL '!$A$1:$AP$92</definedName>
    <definedName name="_xlnm.Print_Area" localSheetId="42">ONT_VAR!$A$1:$I$92</definedName>
    <definedName name="_xlnm.Print_Area" localSheetId="3">RECLASS!$A$1:$Y$82</definedName>
    <definedName name="_xlnm.Print_Area" localSheetId="9">'SE-CON-FLSH'!$A$1:$M$82</definedName>
    <definedName name="_xlnm.Print_Area" localSheetId="35">'SE-CON-VAR'!$A$1:$I$82</definedName>
    <definedName name="_xlnm.Print_Area" localSheetId="7">'SE-EGM-FLSH'!$A$1:$M$82</definedName>
    <definedName name="_xlnm.Print_Area" localSheetId="33">'SE-EGM-VAR'!$A$1:$I$82</definedName>
    <definedName name="_xlnm.Print_Area" localSheetId="8">'SE-LRC-FLSH'!$A$1:$M$82</definedName>
    <definedName name="_xlnm.Print_Area" localSheetId="34">'SE-LRC-VAR'!$A$1:$I$82</definedName>
    <definedName name="_xlnm.Print_Area" localSheetId="41">STG_VAR!$A$1:$I$82</definedName>
    <definedName name="_xlnm.Print_Area" localSheetId="4">'TIE-OUT'!$A$1:$Y$82</definedName>
    <definedName name="_xlnm.Print_Area" localSheetId="2">TOTAL!$A$1:$I$92</definedName>
    <definedName name="_xlnm.Print_Area" localSheetId="13">'TX-CON-FLSH'!$A$1:$M$82</definedName>
    <definedName name="_xlnm.Print_Area" localSheetId="39">'TX-CON-VAR'!$A$1:$I$82</definedName>
    <definedName name="_xlnm.Print_Area" localSheetId="11">'TX-EGM-FLSH'!$A$1:$M$92</definedName>
    <definedName name="_xlnm.Print_Area" localSheetId="24">'TX-EGM-GL'!$A$1:$AP$92</definedName>
    <definedName name="_xlnm.Print_Area" localSheetId="37">'TX-EGM-VAR'!$A$1:$I$92</definedName>
    <definedName name="_xlnm.Print_Area" localSheetId="12">'TX-HPL-FLSH'!$A$1:$M$82</definedName>
    <definedName name="_xlnm.Print_Area" localSheetId="38">'TX-HPL-VAR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9" i="44"/>
  <c r="J639" i="44"/>
  <c r="L639" i="44"/>
  <c r="N639" i="44"/>
  <c r="P639" i="44"/>
  <c r="R639" i="44"/>
  <c r="T639" i="44"/>
  <c r="V639" i="44"/>
  <c r="X639" i="44"/>
  <c r="Z639" i="44"/>
  <c r="AB639" i="44"/>
  <c r="AD639" i="44"/>
  <c r="AF639" i="44"/>
  <c r="AH639" i="44"/>
  <c r="AJ639" i="44"/>
  <c r="AL639" i="44"/>
  <c r="AN639" i="44"/>
  <c r="AP639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AJ641" i="44"/>
  <c r="AK641" i="44"/>
  <c r="AL641" i="44"/>
  <c r="AM641" i="44"/>
  <c r="AN641" i="44"/>
  <c r="AO641" i="44"/>
  <c r="AP641" i="44"/>
  <c r="AQ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AJ642" i="44"/>
  <c r="AK642" i="44"/>
  <c r="AL642" i="44"/>
  <c r="AM642" i="44"/>
  <c r="AN642" i="44"/>
  <c r="AO642" i="44"/>
  <c r="AP642" i="44"/>
  <c r="AQ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AJ643" i="44"/>
  <c r="AK643" i="44"/>
  <c r="AL643" i="44"/>
  <c r="AM643" i="44"/>
  <c r="AN643" i="44"/>
  <c r="AO643" i="44"/>
  <c r="AP643" i="44"/>
  <c r="AQ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AJ644" i="44"/>
  <c r="AK644" i="44"/>
  <c r="AL644" i="44"/>
  <c r="AM644" i="44"/>
  <c r="AN644" i="44"/>
  <c r="AO644" i="44"/>
  <c r="AP644" i="44"/>
  <c r="AQ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AJ645" i="44"/>
  <c r="AK645" i="44"/>
  <c r="AL645" i="44"/>
  <c r="AM645" i="44"/>
  <c r="AN645" i="44"/>
  <c r="AO645" i="44"/>
  <c r="AP645" i="44"/>
  <c r="AQ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AJ646" i="44"/>
  <c r="AK646" i="44"/>
  <c r="AL646" i="44"/>
  <c r="AM646" i="44"/>
  <c r="AN646" i="44"/>
  <c r="AO646" i="44"/>
  <c r="AP646" i="44"/>
  <c r="AQ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AJ647" i="44"/>
  <c r="AK647" i="44"/>
  <c r="AL647" i="44"/>
  <c r="AM647" i="44"/>
  <c r="AN647" i="44"/>
  <c r="AO647" i="44"/>
  <c r="AP647" i="44"/>
  <c r="AQ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AJ648" i="44"/>
  <c r="AK648" i="44"/>
  <c r="AL648" i="44"/>
  <c r="AM648" i="44"/>
  <c r="AN648" i="44"/>
  <c r="AO648" i="44"/>
  <c r="AP648" i="44"/>
  <c r="AQ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AJ649" i="44"/>
  <c r="AK649" i="44"/>
  <c r="AL649" i="44"/>
  <c r="AM649" i="44"/>
  <c r="AN649" i="44"/>
  <c r="AO649" i="44"/>
  <c r="AP649" i="44"/>
  <c r="AQ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AJ650" i="44"/>
  <c r="AK650" i="44"/>
  <c r="AL650" i="44"/>
  <c r="AM650" i="44"/>
  <c r="AN650" i="44"/>
  <c r="AO650" i="44"/>
  <c r="AP650" i="44"/>
  <c r="AQ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AJ651" i="44"/>
  <c r="AK651" i="44"/>
  <c r="AL651" i="44"/>
  <c r="AM651" i="44"/>
  <c r="AN651" i="44"/>
  <c r="AO651" i="44"/>
  <c r="AP651" i="44"/>
  <c r="AQ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AD652" i="44"/>
  <c r="AE652" i="4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N8" i="29"/>
  <c r="P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AP20" i="29"/>
  <c r="AQ20" i="29"/>
  <c r="AR20" i="29"/>
  <c r="AS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AR34" i="29"/>
  <c r="AS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AR39" i="29"/>
  <c r="AS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AR40" i="29"/>
  <c r="AS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AR41" i="29"/>
  <c r="AS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AR42" i="29"/>
  <c r="AS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D46" i="29"/>
  <c r="E46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AR51" i="29"/>
  <c r="AS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AR54" i="29"/>
  <c r="AS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AR55" i="29"/>
  <c r="AS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AP56" i="29"/>
  <c r="AQ56" i="29"/>
  <c r="AR56" i="29"/>
  <c r="AS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AR59" i="29"/>
  <c r="AS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AR60" i="29"/>
  <c r="AS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AR61" i="29"/>
  <c r="AS61" i="29"/>
  <c r="D63" i="29"/>
  <c r="E63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AR64" i="29"/>
  <c r="AS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AR65" i="29"/>
  <c r="AS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AP66" i="29"/>
  <c r="AQ66" i="29"/>
  <c r="AR66" i="29"/>
  <c r="AS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AP70" i="29"/>
  <c r="AQ70" i="29"/>
  <c r="AR70" i="29"/>
  <c r="AS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AR73" i="29"/>
  <c r="AS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AR75" i="29"/>
  <c r="AS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AR77" i="29"/>
  <c r="AS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AP78" i="29"/>
  <c r="AQ78" i="29"/>
  <c r="AR78" i="29"/>
  <c r="AS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D46" i="20"/>
  <c r="E46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AR54" i="20"/>
  <c r="AS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AR55" i="20"/>
  <c r="AS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R56" i="20"/>
  <c r="AS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AR59" i="20"/>
  <c r="AS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AR60" i="20"/>
  <c r="AS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AR61" i="20"/>
  <c r="AS61" i="20"/>
  <c r="D63" i="20"/>
  <c r="E63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AR64" i="20"/>
  <c r="AS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AR65" i="20"/>
  <c r="AS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AR66" i="20"/>
  <c r="AS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AR70" i="20"/>
  <c r="AS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AR71" i="20"/>
  <c r="AS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AR72" i="20"/>
  <c r="AS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AR73" i="20"/>
  <c r="AS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R74" i="20"/>
  <c r="AS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AR75" i="20"/>
  <c r="AS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AR76" i="20"/>
  <c r="AS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R77" i="20"/>
  <c r="AS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AR78" i="20"/>
  <c r="AS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R79" i="20"/>
  <c r="AS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R80" i="20"/>
  <c r="AS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R81" i="20"/>
  <c r="AS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R82" i="20"/>
  <c r="AS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E85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C12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3" i="4"/>
  <c r="C113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C127" i="4"/>
  <c r="D127" i="4"/>
  <c r="A5" i="45"/>
  <c r="D11" i="45"/>
  <c r="E11" i="45"/>
  <c r="F11" i="45"/>
  <c r="G11" i="45"/>
  <c r="H11" i="45"/>
  <c r="I11" i="45"/>
  <c r="J11" i="45"/>
  <c r="K11" i="45"/>
  <c r="L11" i="45"/>
  <c r="M11" i="45"/>
  <c r="D12" i="45"/>
  <c r="E12" i="45"/>
  <c r="F12" i="45"/>
  <c r="G12" i="45"/>
  <c r="H12" i="45"/>
  <c r="I12" i="45"/>
  <c r="J12" i="45"/>
  <c r="K12" i="45"/>
  <c r="L12" i="45"/>
  <c r="M12" i="45"/>
  <c r="D13" i="45"/>
  <c r="E13" i="45"/>
  <c r="F13" i="45"/>
  <c r="G13" i="45"/>
  <c r="H13" i="45"/>
  <c r="I13" i="45"/>
  <c r="J13" i="45"/>
  <c r="K13" i="45"/>
  <c r="L13" i="45"/>
  <c r="M13" i="45"/>
  <c r="D14" i="45"/>
  <c r="E14" i="45"/>
  <c r="F14" i="45"/>
  <c r="G14" i="45"/>
  <c r="H14" i="45"/>
  <c r="I14" i="45"/>
  <c r="J14" i="45"/>
  <c r="K14" i="45"/>
  <c r="L14" i="45"/>
  <c r="M14" i="45"/>
  <c r="D15" i="45"/>
  <c r="E15" i="45"/>
  <c r="F15" i="45"/>
  <c r="G15" i="45"/>
  <c r="H15" i="45"/>
  <c r="I15" i="45"/>
  <c r="J15" i="45"/>
  <c r="K15" i="45"/>
  <c r="L15" i="45"/>
  <c r="M15" i="45"/>
  <c r="D16" i="45"/>
  <c r="E16" i="45"/>
  <c r="F16" i="45"/>
  <c r="G16" i="45"/>
  <c r="H16" i="45"/>
  <c r="I16" i="45"/>
  <c r="J16" i="45"/>
  <c r="K16" i="45"/>
  <c r="L16" i="45"/>
  <c r="M16" i="45"/>
  <c r="D19" i="45"/>
  <c r="E19" i="45"/>
  <c r="F19" i="45"/>
  <c r="G19" i="45"/>
  <c r="H19" i="45"/>
  <c r="I19" i="45"/>
  <c r="J19" i="45"/>
  <c r="K19" i="45"/>
  <c r="L19" i="45"/>
  <c r="M19" i="45"/>
  <c r="D20" i="45"/>
  <c r="E20" i="45"/>
  <c r="F20" i="45"/>
  <c r="G20" i="45"/>
  <c r="H20" i="45"/>
  <c r="I20" i="45"/>
  <c r="J20" i="45"/>
  <c r="K20" i="45"/>
  <c r="L20" i="45"/>
  <c r="M20" i="45"/>
  <c r="D21" i="45"/>
  <c r="E21" i="45"/>
  <c r="F21" i="45"/>
  <c r="G21" i="45"/>
  <c r="H21" i="45"/>
  <c r="I21" i="45"/>
  <c r="J21" i="45"/>
  <c r="K21" i="45"/>
  <c r="L21" i="45"/>
  <c r="M21" i="45"/>
  <c r="D22" i="45"/>
  <c r="E22" i="45"/>
  <c r="F22" i="45"/>
  <c r="G22" i="45"/>
  <c r="H22" i="45"/>
  <c r="I22" i="45"/>
  <c r="J22" i="45"/>
  <c r="K22" i="45"/>
  <c r="L22" i="45"/>
  <c r="M22" i="45"/>
  <c r="D23" i="45"/>
  <c r="E23" i="45"/>
  <c r="F23" i="45"/>
  <c r="G23" i="45"/>
  <c r="H23" i="45"/>
  <c r="I23" i="45"/>
  <c r="J23" i="45"/>
  <c r="K23" i="45"/>
  <c r="L23" i="45"/>
  <c r="M23" i="45"/>
  <c r="D24" i="45"/>
  <c r="E24" i="45"/>
  <c r="F24" i="45"/>
  <c r="G24" i="45"/>
  <c r="H24" i="45"/>
  <c r="I24" i="45"/>
  <c r="J24" i="45"/>
  <c r="K24" i="45"/>
  <c r="L24" i="45"/>
  <c r="M24" i="45"/>
  <c r="D27" i="45"/>
  <c r="E27" i="45"/>
  <c r="F27" i="45"/>
  <c r="G27" i="45"/>
  <c r="H27" i="45"/>
  <c r="I27" i="45"/>
  <c r="J27" i="45"/>
  <c r="K27" i="45"/>
  <c r="L27" i="45"/>
  <c r="M27" i="45"/>
  <c r="D28" i="45"/>
  <c r="E28" i="45"/>
  <c r="F28" i="45"/>
  <c r="G28" i="45"/>
  <c r="H28" i="45"/>
  <c r="I28" i="45"/>
  <c r="J28" i="45"/>
  <c r="K28" i="45"/>
  <c r="L28" i="45"/>
  <c r="M28" i="45"/>
  <c r="D29" i="45"/>
  <c r="E29" i="45"/>
  <c r="F29" i="45"/>
  <c r="G29" i="45"/>
  <c r="H29" i="45"/>
  <c r="I29" i="45"/>
  <c r="J29" i="45"/>
  <c r="K29" i="45"/>
  <c r="L29" i="45"/>
  <c r="M29" i="45"/>
  <c r="D32" i="45"/>
  <c r="E32" i="45"/>
  <c r="F32" i="45"/>
  <c r="G32" i="45"/>
  <c r="H32" i="45"/>
  <c r="I32" i="45"/>
  <c r="J32" i="45"/>
  <c r="K32" i="45"/>
  <c r="L32" i="45"/>
  <c r="M32" i="45"/>
  <c r="D33" i="45"/>
  <c r="E33" i="45"/>
  <c r="F33" i="45"/>
  <c r="G33" i="45"/>
  <c r="H33" i="45"/>
  <c r="I33" i="45"/>
  <c r="J33" i="45"/>
  <c r="K33" i="45"/>
  <c r="L33" i="45"/>
  <c r="M33" i="45"/>
  <c r="D34" i="45"/>
  <c r="E34" i="45"/>
  <c r="F34" i="45"/>
  <c r="G34" i="45"/>
  <c r="H34" i="45"/>
  <c r="I34" i="45"/>
  <c r="J34" i="45"/>
  <c r="K34" i="45"/>
  <c r="L34" i="45"/>
  <c r="M34" i="45"/>
  <c r="D35" i="45"/>
  <c r="E35" i="45"/>
  <c r="F35" i="45"/>
  <c r="G35" i="45"/>
  <c r="H35" i="45"/>
  <c r="I35" i="45"/>
  <c r="J35" i="45"/>
  <c r="K35" i="45"/>
  <c r="L35" i="45"/>
  <c r="M35" i="45"/>
  <c r="D36" i="45"/>
  <c r="E36" i="45"/>
  <c r="F36" i="45"/>
  <c r="G36" i="45"/>
  <c r="H36" i="45"/>
  <c r="I36" i="45"/>
  <c r="J36" i="45"/>
  <c r="K36" i="45"/>
  <c r="L36" i="45"/>
  <c r="M36" i="45"/>
  <c r="L37" i="45"/>
  <c r="M37" i="45"/>
  <c r="D39" i="45"/>
  <c r="E39" i="45"/>
  <c r="F39" i="45"/>
  <c r="G39" i="45"/>
  <c r="H39" i="45"/>
  <c r="I39" i="45"/>
  <c r="J39" i="45"/>
  <c r="K39" i="45"/>
  <c r="L39" i="45"/>
  <c r="M39" i="45"/>
  <c r="D40" i="45"/>
  <c r="E40" i="45"/>
  <c r="F40" i="45"/>
  <c r="G40" i="45"/>
  <c r="H40" i="45"/>
  <c r="I40" i="45"/>
  <c r="J40" i="45"/>
  <c r="K40" i="45"/>
  <c r="L40" i="45"/>
  <c r="M40" i="45"/>
  <c r="D41" i="45"/>
  <c r="E41" i="45"/>
  <c r="F41" i="45"/>
  <c r="G41" i="45"/>
  <c r="H41" i="45"/>
  <c r="I41" i="45"/>
  <c r="J41" i="45"/>
  <c r="K41" i="45"/>
  <c r="L41" i="45"/>
  <c r="M41" i="45"/>
  <c r="D42" i="45"/>
  <c r="E42" i="45"/>
  <c r="F42" i="45"/>
  <c r="G42" i="45"/>
  <c r="H42" i="45"/>
  <c r="I42" i="45"/>
  <c r="J42" i="45"/>
  <c r="K42" i="45"/>
  <c r="L42" i="45"/>
  <c r="M42" i="45"/>
  <c r="D43" i="45"/>
  <c r="E43" i="45"/>
  <c r="F43" i="45"/>
  <c r="G43" i="45"/>
  <c r="H43" i="45"/>
  <c r="I43" i="45"/>
  <c r="J43" i="45"/>
  <c r="K43" i="45"/>
  <c r="L43" i="45"/>
  <c r="M43" i="45"/>
  <c r="D45" i="45"/>
  <c r="E45" i="45"/>
  <c r="F45" i="45"/>
  <c r="G45" i="45"/>
  <c r="H45" i="45"/>
  <c r="I45" i="45"/>
  <c r="J45" i="45"/>
  <c r="K45" i="45"/>
  <c r="L45" i="45"/>
  <c r="M45" i="45"/>
  <c r="D47" i="45"/>
  <c r="E47" i="45"/>
  <c r="F47" i="45"/>
  <c r="G47" i="45"/>
  <c r="H47" i="45"/>
  <c r="I47" i="45"/>
  <c r="J47" i="45"/>
  <c r="K47" i="45"/>
  <c r="L47" i="45"/>
  <c r="M47" i="45"/>
  <c r="D49" i="45"/>
  <c r="E49" i="45"/>
  <c r="F49" i="45"/>
  <c r="G49" i="45"/>
  <c r="H49" i="45"/>
  <c r="I49" i="45"/>
  <c r="J49" i="45"/>
  <c r="K49" i="45"/>
  <c r="L49" i="45"/>
  <c r="M49" i="45"/>
  <c r="D51" i="45"/>
  <c r="E51" i="45"/>
  <c r="F51" i="45"/>
  <c r="G51" i="45"/>
  <c r="H51" i="45"/>
  <c r="I51" i="45"/>
  <c r="J51" i="45"/>
  <c r="K51" i="45"/>
  <c r="L51" i="45"/>
  <c r="M51" i="45"/>
  <c r="D54" i="45"/>
  <c r="E54" i="45"/>
  <c r="F54" i="45"/>
  <c r="G54" i="45"/>
  <c r="H54" i="45"/>
  <c r="I54" i="45"/>
  <c r="J54" i="45"/>
  <c r="K54" i="45"/>
  <c r="L54" i="45"/>
  <c r="M54" i="45"/>
  <c r="D55" i="45"/>
  <c r="E55" i="45"/>
  <c r="F55" i="45"/>
  <c r="G55" i="45"/>
  <c r="H55" i="45"/>
  <c r="I55" i="45"/>
  <c r="J55" i="45"/>
  <c r="K55" i="45"/>
  <c r="L55" i="45"/>
  <c r="M55" i="45"/>
  <c r="D56" i="45"/>
  <c r="E56" i="45"/>
  <c r="F56" i="45"/>
  <c r="G56" i="45"/>
  <c r="H56" i="45"/>
  <c r="I56" i="45"/>
  <c r="J56" i="45"/>
  <c r="K56" i="45"/>
  <c r="L56" i="45"/>
  <c r="M56" i="45"/>
  <c r="D59" i="45"/>
  <c r="E59" i="45"/>
  <c r="F59" i="45"/>
  <c r="G59" i="45"/>
  <c r="H59" i="45"/>
  <c r="I59" i="45"/>
  <c r="J59" i="45"/>
  <c r="K59" i="45"/>
  <c r="L59" i="45"/>
  <c r="M59" i="45"/>
  <c r="D60" i="45"/>
  <c r="E60" i="45"/>
  <c r="F60" i="45"/>
  <c r="G60" i="45"/>
  <c r="H60" i="45"/>
  <c r="I60" i="45"/>
  <c r="J60" i="45"/>
  <c r="K60" i="45"/>
  <c r="L60" i="45"/>
  <c r="M60" i="45"/>
  <c r="D61" i="45"/>
  <c r="E61" i="45"/>
  <c r="F61" i="45"/>
  <c r="G61" i="45"/>
  <c r="H61" i="45"/>
  <c r="I61" i="45"/>
  <c r="J61" i="45"/>
  <c r="K61" i="45"/>
  <c r="L61" i="45"/>
  <c r="M61" i="45"/>
  <c r="D64" i="45"/>
  <c r="E64" i="45"/>
  <c r="F64" i="45"/>
  <c r="G64" i="45"/>
  <c r="H64" i="45"/>
  <c r="I64" i="45"/>
  <c r="J64" i="45"/>
  <c r="K64" i="45"/>
  <c r="L64" i="45"/>
  <c r="M64" i="45"/>
  <c r="D65" i="45"/>
  <c r="E65" i="45"/>
  <c r="F65" i="45"/>
  <c r="G65" i="45"/>
  <c r="H65" i="45"/>
  <c r="I65" i="45"/>
  <c r="J65" i="45"/>
  <c r="K65" i="45"/>
  <c r="L65" i="45"/>
  <c r="M65" i="45"/>
  <c r="D66" i="45"/>
  <c r="E66" i="45"/>
  <c r="F66" i="45"/>
  <c r="G66" i="45"/>
  <c r="H66" i="45"/>
  <c r="I66" i="45"/>
  <c r="J66" i="45"/>
  <c r="K66" i="45"/>
  <c r="L66" i="45"/>
  <c r="M66" i="45"/>
  <c r="D70" i="45"/>
  <c r="E70" i="45"/>
  <c r="F70" i="45"/>
  <c r="G70" i="45"/>
  <c r="H70" i="45"/>
  <c r="I70" i="45"/>
  <c r="J70" i="45"/>
  <c r="K70" i="45"/>
  <c r="L70" i="45"/>
  <c r="M70" i="45"/>
  <c r="D71" i="45"/>
  <c r="E71" i="45"/>
  <c r="F71" i="45"/>
  <c r="G71" i="45"/>
  <c r="H71" i="45"/>
  <c r="I71" i="45"/>
  <c r="J71" i="45"/>
  <c r="K71" i="45"/>
  <c r="L71" i="45"/>
  <c r="M71" i="45"/>
  <c r="D72" i="45"/>
  <c r="E72" i="45"/>
  <c r="F72" i="45"/>
  <c r="G72" i="45"/>
  <c r="H72" i="45"/>
  <c r="I72" i="45"/>
  <c r="J72" i="45"/>
  <c r="K72" i="45"/>
  <c r="L72" i="45"/>
  <c r="M72" i="45"/>
  <c r="D73" i="45"/>
  <c r="E73" i="45"/>
  <c r="F73" i="45"/>
  <c r="G73" i="45"/>
  <c r="H73" i="45"/>
  <c r="I73" i="45"/>
  <c r="J73" i="45"/>
  <c r="K73" i="45"/>
  <c r="L73" i="45"/>
  <c r="M73" i="45"/>
  <c r="D74" i="45"/>
  <c r="E74" i="45"/>
  <c r="F74" i="45"/>
  <c r="G74" i="45"/>
  <c r="H74" i="45"/>
  <c r="I74" i="45"/>
  <c r="J74" i="45"/>
  <c r="K74" i="45"/>
  <c r="L74" i="45"/>
  <c r="M74" i="45"/>
  <c r="D75" i="45"/>
  <c r="E75" i="45"/>
  <c r="F75" i="45"/>
  <c r="G75" i="45"/>
  <c r="H75" i="45"/>
  <c r="I75" i="45"/>
  <c r="J75" i="45"/>
  <c r="K75" i="45"/>
  <c r="L75" i="45"/>
  <c r="M75" i="45"/>
  <c r="D76" i="45"/>
  <c r="E76" i="45"/>
  <c r="F76" i="45"/>
  <c r="G76" i="45"/>
  <c r="H76" i="45"/>
  <c r="I76" i="45"/>
  <c r="J76" i="45"/>
  <c r="K76" i="45"/>
  <c r="L76" i="45"/>
  <c r="M76" i="45"/>
  <c r="D77" i="45"/>
  <c r="E77" i="45"/>
  <c r="F77" i="45"/>
  <c r="G77" i="45"/>
  <c r="H77" i="45"/>
  <c r="I77" i="45"/>
  <c r="J77" i="45"/>
  <c r="K77" i="45"/>
  <c r="L77" i="45"/>
  <c r="M77" i="45"/>
  <c r="D78" i="45"/>
  <c r="E78" i="45"/>
  <c r="F78" i="45"/>
  <c r="G78" i="45"/>
  <c r="H78" i="45"/>
  <c r="I78" i="45"/>
  <c r="J78" i="45"/>
  <c r="K78" i="45"/>
  <c r="L78" i="45"/>
  <c r="M78" i="45"/>
  <c r="D79" i="45"/>
  <c r="E79" i="45"/>
  <c r="F79" i="45"/>
  <c r="G79" i="45"/>
  <c r="H79" i="45"/>
  <c r="I79" i="45"/>
  <c r="J79" i="45"/>
  <c r="K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D81" i="45"/>
  <c r="E81" i="45"/>
  <c r="F81" i="45"/>
  <c r="G81" i="45"/>
  <c r="H81" i="45"/>
  <c r="I81" i="45"/>
  <c r="J81" i="45"/>
  <c r="K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E84" i="45"/>
  <c r="G84" i="45"/>
  <c r="I84" i="45"/>
  <c r="K84" i="45"/>
  <c r="M84" i="45"/>
  <c r="D86" i="45"/>
  <c r="E86" i="45"/>
  <c r="F86" i="45"/>
  <c r="G86" i="45"/>
  <c r="H86" i="45"/>
  <c r="I86" i="45"/>
  <c r="J86" i="45"/>
  <c r="K86" i="45"/>
  <c r="L86" i="45"/>
  <c r="M86" i="45"/>
  <c r="D87" i="45"/>
  <c r="E87" i="45"/>
  <c r="F87" i="45"/>
  <c r="G87" i="45"/>
  <c r="H87" i="45"/>
  <c r="I87" i="45"/>
  <c r="J87" i="45"/>
  <c r="K87" i="45"/>
  <c r="L87" i="45"/>
  <c r="M87" i="45"/>
  <c r="D88" i="45"/>
  <c r="E88" i="45"/>
  <c r="F88" i="45"/>
  <c r="G88" i="45"/>
  <c r="H88" i="45"/>
  <c r="I88" i="45"/>
  <c r="J88" i="45"/>
  <c r="K88" i="45"/>
  <c r="L88" i="45"/>
  <c r="M88" i="45"/>
  <c r="D89" i="45"/>
  <c r="E89" i="45"/>
  <c r="F89" i="45"/>
  <c r="G89" i="45"/>
  <c r="H89" i="45"/>
  <c r="I89" i="45"/>
  <c r="J89" i="45"/>
  <c r="K89" i="45"/>
  <c r="L89" i="45"/>
  <c r="M89" i="45"/>
  <c r="D91" i="45"/>
  <c r="E91" i="45"/>
  <c r="F91" i="45"/>
  <c r="G91" i="45"/>
  <c r="H91" i="45"/>
  <c r="I91" i="45"/>
  <c r="J91" i="45"/>
  <c r="K91" i="45"/>
  <c r="L91" i="45"/>
  <c r="M91" i="45"/>
  <c r="A5" i="46"/>
  <c r="H8" i="46"/>
  <c r="J8" i="46"/>
  <c r="N8" i="46"/>
  <c r="P8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1" i="46"/>
  <c r="AA11" i="46"/>
  <c r="AB11" i="46"/>
  <c r="AC11" i="46"/>
  <c r="AD11" i="46"/>
  <c r="AE11" i="46"/>
  <c r="AF11" i="46"/>
  <c r="AG11" i="46"/>
  <c r="AH11" i="46"/>
  <c r="AI11" i="46"/>
  <c r="AJ11" i="46"/>
  <c r="AK11" i="46"/>
  <c r="AL11" i="46"/>
  <c r="AM11" i="46"/>
  <c r="AN11" i="46"/>
  <c r="AO11" i="46"/>
  <c r="AP11" i="46"/>
  <c r="AQ11" i="46"/>
  <c r="AR11" i="46"/>
  <c r="AS11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AJ12" i="46"/>
  <c r="AK12" i="46"/>
  <c r="AL12" i="46"/>
  <c r="AM12" i="46"/>
  <c r="AN12" i="46"/>
  <c r="AO12" i="46"/>
  <c r="AP12" i="46"/>
  <c r="AQ12" i="46"/>
  <c r="AR12" i="46"/>
  <c r="AS12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AJ13" i="46"/>
  <c r="AK13" i="46"/>
  <c r="AL13" i="46"/>
  <c r="AM13" i="46"/>
  <c r="AN13" i="46"/>
  <c r="AO13" i="46"/>
  <c r="AP13" i="46"/>
  <c r="AQ13" i="46"/>
  <c r="AR13" i="46"/>
  <c r="AS13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AJ14" i="46"/>
  <c r="AK14" i="46"/>
  <c r="AL14" i="46"/>
  <c r="AM14" i="46"/>
  <c r="AN14" i="46"/>
  <c r="AO14" i="46"/>
  <c r="AP14" i="46"/>
  <c r="AQ14" i="46"/>
  <c r="AR14" i="46"/>
  <c r="AS14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AJ15" i="46"/>
  <c r="AK15" i="46"/>
  <c r="AL15" i="46"/>
  <c r="AM15" i="46"/>
  <c r="AN15" i="46"/>
  <c r="AO15" i="46"/>
  <c r="AP15" i="46"/>
  <c r="AQ15" i="46"/>
  <c r="AR15" i="46"/>
  <c r="AS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AJ23" i="46"/>
  <c r="AK23" i="46"/>
  <c r="AL23" i="46"/>
  <c r="AM23" i="46"/>
  <c r="AN23" i="46"/>
  <c r="AO23" i="46"/>
  <c r="AP23" i="46"/>
  <c r="AQ23" i="46"/>
  <c r="AR23" i="46"/>
  <c r="AS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AF27" i="46"/>
  <c r="AG27" i="46"/>
  <c r="AH27" i="46"/>
  <c r="AI27" i="46"/>
  <c r="AJ27" i="46"/>
  <c r="AK27" i="46"/>
  <c r="AL27" i="46"/>
  <c r="AM27" i="46"/>
  <c r="AN27" i="46"/>
  <c r="AO27" i="46"/>
  <c r="AP27" i="46"/>
  <c r="AQ27" i="46"/>
  <c r="AR27" i="46"/>
  <c r="AS27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AF28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AP29" i="46"/>
  <c r="AQ29" i="46"/>
  <c r="AR29" i="46"/>
  <c r="AS29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AJ39" i="46"/>
  <c r="AK39" i="46"/>
  <c r="AL39" i="46"/>
  <c r="AM39" i="46"/>
  <c r="AN39" i="46"/>
  <c r="AO39" i="46"/>
  <c r="AP39" i="46"/>
  <c r="AQ39" i="46"/>
  <c r="AR39" i="46"/>
  <c r="AS39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AF41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AP43" i="46"/>
  <c r="AQ43" i="46"/>
  <c r="AR43" i="46"/>
  <c r="AS43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AL45" i="46"/>
  <c r="AM45" i="46"/>
  <c r="AN45" i="46"/>
  <c r="AO45" i="46"/>
  <c r="AP45" i="46"/>
  <c r="AQ45" i="46"/>
  <c r="AR45" i="46"/>
  <c r="AS45" i="46"/>
  <c r="D46" i="46"/>
  <c r="E46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AF47" i="46"/>
  <c r="AG47" i="46"/>
  <c r="AH47" i="46"/>
  <c r="AI47" i="46"/>
  <c r="AJ47" i="46"/>
  <c r="AK47" i="46"/>
  <c r="AL47" i="46"/>
  <c r="AM47" i="46"/>
  <c r="AN47" i="46"/>
  <c r="AO47" i="46"/>
  <c r="AP47" i="46"/>
  <c r="AQ47" i="46"/>
  <c r="AR47" i="46"/>
  <c r="AS47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9" i="46"/>
  <c r="AA49" i="46"/>
  <c r="AB49" i="46"/>
  <c r="AC49" i="46"/>
  <c r="AD49" i="46"/>
  <c r="AE49" i="46"/>
  <c r="AF49" i="46"/>
  <c r="AG49" i="46"/>
  <c r="AH49" i="46"/>
  <c r="AI49" i="46"/>
  <c r="AJ49" i="46"/>
  <c r="AK49" i="46"/>
  <c r="AL49" i="46"/>
  <c r="AM49" i="46"/>
  <c r="AN49" i="46"/>
  <c r="AO49" i="46"/>
  <c r="AP49" i="46"/>
  <c r="AQ49" i="46"/>
  <c r="AR49" i="46"/>
  <c r="AS49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AJ51" i="46"/>
  <c r="AK51" i="46"/>
  <c r="AL51" i="46"/>
  <c r="AM51" i="46"/>
  <c r="AN51" i="46"/>
  <c r="AO51" i="46"/>
  <c r="AP51" i="46"/>
  <c r="AQ51" i="46"/>
  <c r="AR51" i="46"/>
  <c r="AS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AF54" i="46"/>
  <c r="AG54" i="46"/>
  <c r="AH54" i="46"/>
  <c r="AI54" i="46"/>
  <c r="AJ54" i="46"/>
  <c r="AK54" i="46"/>
  <c r="AL54" i="46"/>
  <c r="AM54" i="46"/>
  <c r="AN54" i="46"/>
  <c r="AO54" i="46"/>
  <c r="AP54" i="46"/>
  <c r="AQ54" i="46"/>
  <c r="AR54" i="46"/>
  <c r="AS54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G55" i="46"/>
  <c r="AH55" i="46"/>
  <c r="AI55" i="46"/>
  <c r="AJ55" i="46"/>
  <c r="AK55" i="46"/>
  <c r="AL55" i="46"/>
  <c r="AM55" i="46"/>
  <c r="AN55" i="46"/>
  <c r="AO55" i="46"/>
  <c r="AP55" i="46"/>
  <c r="AQ55" i="46"/>
  <c r="AR55" i="46"/>
  <c r="AS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AP56" i="46"/>
  <c r="AQ56" i="46"/>
  <c r="AR56" i="46"/>
  <c r="AS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AJ59" i="46"/>
  <c r="AK59" i="46"/>
  <c r="AL59" i="46"/>
  <c r="AM59" i="46"/>
  <c r="AN59" i="46"/>
  <c r="AO59" i="46"/>
  <c r="AP59" i="46"/>
  <c r="AQ59" i="46"/>
  <c r="AR59" i="46"/>
  <c r="AS59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AF60" i="46"/>
  <c r="AG60" i="46"/>
  <c r="AH60" i="46"/>
  <c r="AI60" i="46"/>
  <c r="AJ60" i="46"/>
  <c r="AK60" i="46"/>
  <c r="AL60" i="46"/>
  <c r="AM60" i="46"/>
  <c r="AN60" i="46"/>
  <c r="AO60" i="46"/>
  <c r="AP60" i="46"/>
  <c r="AQ60" i="46"/>
  <c r="AR60" i="46"/>
  <c r="AS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AP61" i="46"/>
  <c r="AQ61" i="46"/>
  <c r="AR61" i="46"/>
  <c r="AS61" i="46"/>
  <c r="D63" i="46"/>
  <c r="E63" i="46"/>
  <c r="D64" i="46"/>
  <c r="E64" i="46"/>
  <c r="F64" i="46"/>
  <c r="G64" i="46"/>
  <c r="H64" i="46"/>
  <c r="I64" i="46"/>
  <c r="J64" i="46"/>
  <c r="K64" i="46"/>
  <c r="D65" i="46"/>
  <c r="E65" i="46"/>
  <c r="F65" i="46"/>
  <c r="G65" i="46"/>
  <c r="H65" i="46"/>
  <c r="I65" i="46"/>
  <c r="J65" i="46"/>
  <c r="K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AP66" i="46"/>
  <c r="AQ66" i="46"/>
  <c r="AR66" i="46"/>
  <c r="AS66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AJ70" i="46"/>
  <c r="AK70" i="46"/>
  <c r="AL70" i="46"/>
  <c r="AM70" i="46"/>
  <c r="AN70" i="46"/>
  <c r="AO70" i="46"/>
  <c r="AP70" i="46"/>
  <c r="AQ70" i="46"/>
  <c r="AR70" i="46"/>
  <c r="AS70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AP71" i="46"/>
  <c r="AQ71" i="46"/>
  <c r="AR71" i="46"/>
  <c r="AS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AP72" i="46"/>
  <c r="AQ72" i="46"/>
  <c r="AR72" i="46"/>
  <c r="AS72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AL73" i="46"/>
  <c r="AM73" i="46"/>
  <c r="AN73" i="46"/>
  <c r="AO73" i="46"/>
  <c r="AP73" i="46"/>
  <c r="AQ73" i="46"/>
  <c r="AR73" i="46"/>
  <c r="AS73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AJ74" i="46"/>
  <c r="AK74" i="46"/>
  <c r="AL74" i="46"/>
  <c r="AM74" i="46"/>
  <c r="AN74" i="46"/>
  <c r="AO74" i="46"/>
  <c r="AP74" i="46"/>
  <c r="AQ74" i="46"/>
  <c r="AR74" i="46"/>
  <c r="AS74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AL75" i="46"/>
  <c r="AM75" i="46"/>
  <c r="AN75" i="46"/>
  <c r="AO75" i="46"/>
  <c r="AP75" i="46"/>
  <c r="AQ75" i="46"/>
  <c r="AR75" i="46"/>
  <c r="AS75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AL76" i="46"/>
  <c r="AM76" i="46"/>
  <c r="AN76" i="46"/>
  <c r="AO76" i="46"/>
  <c r="AP76" i="46"/>
  <c r="AQ76" i="46"/>
  <c r="AR76" i="46"/>
  <c r="AS76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AL77" i="46"/>
  <c r="AM77" i="46"/>
  <c r="AN77" i="46"/>
  <c r="AO77" i="46"/>
  <c r="AP77" i="46"/>
  <c r="AQ77" i="46"/>
  <c r="AR77" i="46"/>
  <c r="AS77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AJ78" i="46"/>
  <c r="AK78" i="46"/>
  <c r="AL78" i="46"/>
  <c r="AM78" i="46"/>
  <c r="AN78" i="46"/>
  <c r="AO78" i="46"/>
  <c r="AP78" i="46"/>
  <c r="AQ78" i="46"/>
  <c r="AR78" i="46"/>
  <c r="AS78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AJ79" i="46"/>
  <c r="AK79" i="46"/>
  <c r="AL79" i="46"/>
  <c r="AM79" i="46"/>
  <c r="AN79" i="46"/>
  <c r="AO79" i="46"/>
  <c r="AP79" i="46"/>
  <c r="AQ79" i="46"/>
  <c r="AR79" i="46"/>
  <c r="AS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AP80" i="46"/>
  <c r="AQ80" i="46"/>
  <c r="AR80" i="46"/>
  <c r="AS80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AL81" i="46"/>
  <c r="AM81" i="46"/>
  <c r="AN81" i="46"/>
  <c r="AO81" i="46"/>
  <c r="AP81" i="46"/>
  <c r="AQ81" i="46"/>
  <c r="AR81" i="46"/>
  <c r="AS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AN82" i="46"/>
  <c r="AO82" i="46"/>
  <c r="AP82" i="46"/>
  <c r="AQ82" i="46"/>
  <c r="AR82" i="46"/>
  <c r="AS82" i="46"/>
  <c r="E84" i="46"/>
  <c r="G84" i="46"/>
  <c r="I84" i="46"/>
  <c r="K84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Z86" i="46"/>
  <c r="AA86" i="46"/>
  <c r="AB86" i="46"/>
  <c r="AC86" i="46"/>
  <c r="AD86" i="46"/>
  <c r="AE86" i="46"/>
  <c r="AF86" i="46"/>
  <c r="AG86" i="46"/>
  <c r="AH86" i="46"/>
  <c r="AI86" i="46"/>
  <c r="AJ86" i="46"/>
  <c r="AK86" i="46"/>
  <c r="AL86" i="46"/>
  <c r="AM86" i="46"/>
  <c r="AN86" i="46"/>
  <c r="AO86" i="46"/>
  <c r="AP86" i="46"/>
  <c r="AQ86" i="46"/>
  <c r="AR86" i="46"/>
  <c r="AS86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X87" i="46"/>
  <c r="Y87" i="46"/>
  <c r="Z87" i="46"/>
  <c r="AA87" i="46"/>
  <c r="AB87" i="46"/>
  <c r="AC87" i="46"/>
  <c r="AD87" i="46"/>
  <c r="AE87" i="46"/>
  <c r="AF87" i="46"/>
  <c r="AG87" i="46"/>
  <c r="AH87" i="46"/>
  <c r="AI87" i="46"/>
  <c r="AJ87" i="46"/>
  <c r="AK87" i="46"/>
  <c r="AL87" i="46"/>
  <c r="AM87" i="46"/>
  <c r="AN87" i="46"/>
  <c r="AO87" i="46"/>
  <c r="AP87" i="46"/>
  <c r="AQ87" i="46"/>
  <c r="AR87" i="46"/>
  <c r="AS87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8" i="46"/>
  <c r="AA88" i="46"/>
  <c r="AB88" i="46"/>
  <c r="AC88" i="46"/>
  <c r="AD88" i="46"/>
  <c r="AE88" i="46"/>
  <c r="AF88" i="46"/>
  <c r="AG88" i="46"/>
  <c r="AH88" i="46"/>
  <c r="AI88" i="46"/>
  <c r="AJ88" i="46"/>
  <c r="AK88" i="46"/>
  <c r="AL88" i="46"/>
  <c r="AM88" i="46"/>
  <c r="AN88" i="46"/>
  <c r="AO88" i="46"/>
  <c r="AP88" i="46"/>
  <c r="AQ88" i="46"/>
  <c r="AR88" i="46"/>
  <c r="AS88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9" i="46"/>
  <c r="AA89" i="46"/>
  <c r="AB89" i="46"/>
  <c r="AC89" i="46"/>
  <c r="AD89" i="46"/>
  <c r="AE89" i="46"/>
  <c r="AF89" i="46"/>
  <c r="AG89" i="46"/>
  <c r="AH89" i="46"/>
  <c r="AI89" i="46"/>
  <c r="AJ89" i="46"/>
  <c r="AK89" i="46"/>
  <c r="AL89" i="46"/>
  <c r="AM89" i="46"/>
  <c r="AN89" i="46"/>
  <c r="AO89" i="46"/>
  <c r="AP89" i="46"/>
  <c r="AQ89" i="46"/>
  <c r="AR89" i="46"/>
  <c r="AS89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1" i="46"/>
  <c r="AA91" i="46"/>
  <c r="AB91" i="46"/>
  <c r="AC91" i="46"/>
  <c r="AD91" i="46"/>
  <c r="AE91" i="46"/>
  <c r="AF91" i="46"/>
  <c r="AG91" i="46"/>
  <c r="AH91" i="46"/>
  <c r="AI91" i="46"/>
  <c r="AJ91" i="46"/>
  <c r="AK91" i="46"/>
  <c r="AL91" i="46"/>
  <c r="AM91" i="46"/>
  <c r="AN91" i="46"/>
  <c r="AO91" i="46"/>
  <c r="AP91" i="46"/>
  <c r="AQ91" i="46"/>
  <c r="AR91" i="46"/>
  <c r="AS91" i="46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4" i="47"/>
  <c r="E84" i="47"/>
  <c r="F84" i="47"/>
  <c r="G84" i="47"/>
  <c r="H84" i="47"/>
  <c r="I84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5" i="21"/>
  <c r="H8" i="21"/>
  <c r="J8" i="21"/>
  <c r="N8" i="21"/>
  <c r="P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AR11" i="21"/>
  <c r="AS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AR12" i="21"/>
  <c r="AS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AR13" i="21"/>
  <c r="AS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D15" i="21"/>
  <c r="E15" i="21"/>
  <c r="F15" i="21"/>
  <c r="G15" i="21"/>
  <c r="H15" i="21"/>
  <c r="J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S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AR16" i="21"/>
  <c r="AS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S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S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AR22" i="21"/>
  <c r="AS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AR24" i="21"/>
  <c r="AS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AR27" i="21"/>
  <c r="AS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AR33" i="21"/>
  <c r="AS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AR34" i="21"/>
  <c r="AS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AR35" i="21"/>
  <c r="AS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L39" i="21"/>
  <c r="AN39" i="21"/>
  <c r="AP39" i="21"/>
  <c r="AR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AR41" i="21"/>
  <c r="AS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AR42" i="21"/>
  <c r="AS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P45" i="21"/>
  <c r="AQ45" i="21"/>
  <c r="AR45" i="21"/>
  <c r="AS45" i="21"/>
  <c r="D46" i="21"/>
  <c r="E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P47" i="21"/>
  <c r="AQ47" i="21"/>
  <c r="AR47" i="21"/>
  <c r="AS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P51" i="21"/>
  <c r="AQ51" i="21"/>
  <c r="AR51" i="21"/>
  <c r="AS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P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P55" i="21"/>
  <c r="AQ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P56" i="21"/>
  <c r="AQ56" i="21"/>
  <c r="AR56" i="21"/>
  <c r="AS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AP59" i="21"/>
  <c r="AQ59" i="21"/>
  <c r="AR59" i="21"/>
  <c r="AS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AP60" i="21"/>
  <c r="AQ60" i="21"/>
  <c r="AR60" i="21"/>
  <c r="AS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AP61" i="21"/>
  <c r="AQ61" i="21"/>
  <c r="AR61" i="21"/>
  <c r="AS61" i="21"/>
  <c r="D63" i="21"/>
  <c r="E63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AP64" i="21"/>
  <c r="AQ64" i="21"/>
  <c r="AR64" i="21"/>
  <c r="AS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P65" i="21"/>
  <c r="AQ65" i="21"/>
  <c r="AR65" i="21"/>
  <c r="AS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P66" i="21"/>
  <c r="AQ66" i="21"/>
  <c r="AR66" i="21"/>
  <c r="AS66" i="21"/>
  <c r="D70" i="21"/>
  <c r="E70" i="21"/>
  <c r="F70" i="21"/>
  <c r="G70" i="21"/>
  <c r="H70" i="21"/>
  <c r="I70" i="21"/>
  <c r="J70" i="21"/>
  <c r="L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AP70" i="21"/>
  <c r="AQ70" i="21"/>
  <c r="AR70" i="21"/>
  <c r="AS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AP71" i="21"/>
  <c r="AQ71" i="21"/>
  <c r="AR71" i="21"/>
  <c r="AS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AP72" i="21"/>
  <c r="AQ72" i="21"/>
  <c r="AR72" i="21"/>
  <c r="AS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P73" i="21"/>
  <c r="AQ73" i="21"/>
  <c r="AR73" i="21"/>
  <c r="AS73" i="21"/>
  <c r="D74" i="21"/>
  <c r="E74" i="21"/>
  <c r="F74" i="21"/>
  <c r="G74" i="21"/>
  <c r="H74" i="21"/>
  <c r="I74" i="21"/>
  <c r="J74" i="21"/>
  <c r="K74" i="21"/>
  <c r="L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P74" i="21"/>
  <c r="AQ74" i="21"/>
  <c r="AR74" i="21"/>
  <c r="AS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P75" i="21"/>
  <c r="AQ75" i="21"/>
  <c r="AR75" i="21"/>
  <c r="AS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P76" i="21"/>
  <c r="AQ76" i="21"/>
  <c r="AR76" i="21"/>
  <c r="AS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P77" i="21"/>
  <c r="AQ77" i="21"/>
  <c r="AR77" i="21"/>
  <c r="AS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P78" i="21"/>
  <c r="AQ78" i="21"/>
  <c r="AR78" i="21"/>
  <c r="AS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P80" i="21"/>
  <c r="AQ80" i="21"/>
  <c r="AR80" i="21"/>
  <c r="AS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P81" i="21"/>
  <c r="AQ81" i="21"/>
  <c r="AR81" i="21"/>
  <c r="AS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P82" i="21"/>
  <c r="AQ82" i="21"/>
  <c r="AR82" i="21"/>
  <c r="AS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N8" i="31"/>
  <c r="P8" i="31"/>
  <c r="D11" i="31"/>
  <c r="E11" i="31"/>
  <c r="F11" i="31"/>
  <c r="G11" i="31"/>
  <c r="H11" i="31"/>
  <c r="I11" i="31"/>
  <c r="D12" i="31"/>
  <c r="E12" i="31"/>
  <c r="F12" i="31"/>
  <c r="G12" i="31"/>
  <c r="D13" i="31"/>
  <c r="E13" i="31"/>
  <c r="F13" i="31"/>
  <c r="G13" i="31"/>
  <c r="D14" i="31"/>
  <c r="E14" i="31"/>
  <c r="F14" i="31"/>
  <c r="G14" i="31"/>
  <c r="D15" i="31"/>
  <c r="E15" i="31"/>
  <c r="F15" i="31"/>
  <c r="G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Q16" i="31"/>
  <c r="AR16" i="31"/>
  <c r="AS16" i="31"/>
  <c r="D19" i="31"/>
  <c r="E19" i="31"/>
  <c r="F19" i="31"/>
  <c r="G19" i="31"/>
  <c r="H19" i="31"/>
  <c r="I19" i="31"/>
  <c r="D20" i="31"/>
  <c r="E20" i="31"/>
  <c r="F20" i="31"/>
  <c r="G20" i="31"/>
  <c r="D21" i="31"/>
  <c r="E21" i="31"/>
  <c r="F21" i="31"/>
  <c r="G21" i="31"/>
  <c r="D22" i="31"/>
  <c r="E22" i="31"/>
  <c r="F22" i="31"/>
  <c r="G22" i="31"/>
  <c r="D23" i="31"/>
  <c r="E23" i="31"/>
  <c r="F23" i="31"/>
  <c r="G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AP24" i="31"/>
  <c r="AQ24" i="31"/>
  <c r="AR24" i="31"/>
  <c r="AS24" i="31"/>
  <c r="D27" i="31"/>
  <c r="E27" i="31"/>
  <c r="F27" i="31"/>
  <c r="G27" i="31"/>
  <c r="D28" i="31"/>
  <c r="E28" i="31"/>
  <c r="F28" i="31"/>
  <c r="G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AP29" i="31"/>
  <c r="AQ29" i="31"/>
  <c r="AR29" i="31"/>
  <c r="AS29" i="31"/>
  <c r="D32" i="31"/>
  <c r="E32" i="31"/>
  <c r="F32" i="31"/>
  <c r="G32" i="31"/>
  <c r="D33" i="31"/>
  <c r="E33" i="31"/>
  <c r="F33" i="31"/>
  <c r="G33" i="31"/>
  <c r="D34" i="31"/>
  <c r="E34" i="31"/>
  <c r="F34" i="31"/>
  <c r="G34" i="31"/>
  <c r="D35" i="31"/>
  <c r="E35" i="31"/>
  <c r="F35" i="31"/>
  <c r="G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AS36" i="31"/>
  <c r="D39" i="31"/>
  <c r="E39" i="31"/>
  <c r="F39" i="31"/>
  <c r="G39" i="31"/>
  <c r="D40" i="31"/>
  <c r="E40" i="31"/>
  <c r="F40" i="31"/>
  <c r="G40" i="31"/>
  <c r="D41" i="31"/>
  <c r="E41" i="31"/>
  <c r="F41" i="31"/>
  <c r="G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AP42" i="31"/>
  <c r="AQ42" i="31"/>
  <c r="AR42" i="31"/>
  <c r="AS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AR43" i="31"/>
  <c r="AS43" i="31"/>
  <c r="D45" i="31"/>
  <c r="E45" i="31"/>
  <c r="F45" i="31"/>
  <c r="G45" i="31"/>
  <c r="D46" i="31"/>
  <c r="E46" i="31"/>
  <c r="D47" i="31"/>
  <c r="E47" i="31"/>
  <c r="F47" i="31"/>
  <c r="G47" i="31"/>
  <c r="D49" i="31"/>
  <c r="E49" i="31"/>
  <c r="F49" i="31"/>
  <c r="G49" i="31"/>
  <c r="D51" i="31"/>
  <c r="E51" i="31"/>
  <c r="F51" i="31"/>
  <c r="G51" i="31"/>
  <c r="D54" i="31"/>
  <c r="E54" i="31"/>
  <c r="F54" i="31"/>
  <c r="G54" i="31"/>
  <c r="D55" i="31"/>
  <c r="E55" i="31"/>
  <c r="F55" i="31"/>
  <c r="G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AR56" i="31"/>
  <c r="AS56" i="31"/>
  <c r="D59" i="31"/>
  <c r="E59" i="31"/>
  <c r="F59" i="31"/>
  <c r="G59" i="31"/>
  <c r="D60" i="31"/>
  <c r="E60" i="31"/>
  <c r="F60" i="31"/>
  <c r="G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AR61" i="31"/>
  <c r="AS61" i="31"/>
  <c r="D63" i="31"/>
  <c r="E63" i="31"/>
  <c r="D64" i="31"/>
  <c r="E64" i="31"/>
  <c r="F64" i="31"/>
  <c r="G64" i="31"/>
  <c r="D65" i="31"/>
  <c r="E65" i="31"/>
  <c r="F65" i="31"/>
  <c r="G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AP66" i="31"/>
  <c r="AQ66" i="31"/>
  <c r="AR66" i="31"/>
  <c r="AS66" i="31"/>
  <c r="D70" i="31"/>
  <c r="E70" i="31"/>
  <c r="F70" i="31"/>
  <c r="G70" i="31"/>
  <c r="D71" i="31"/>
  <c r="E71" i="31"/>
  <c r="F71" i="31"/>
  <c r="G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AR72" i="31"/>
  <c r="AS72" i="31"/>
  <c r="D73" i="31"/>
  <c r="E73" i="31"/>
  <c r="F73" i="31"/>
  <c r="G73" i="31"/>
  <c r="D74" i="31"/>
  <c r="E74" i="31"/>
  <c r="F74" i="31"/>
  <c r="G74" i="31"/>
  <c r="D75" i="31"/>
  <c r="E75" i="31"/>
  <c r="F75" i="31"/>
  <c r="G75" i="31"/>
  <c r="D76" i="31"/>
  <c r="E76" i="31"/>
  <c r="F76" i="31"/>
  <c r="G76" i="31"/>
  <c r="D77" i="31"/>
  <c r="E77" i="31"/>
  <c r="F77" i="31"/>
  <c r="G77" i="31"/>
  <c r="D78" i="31"/>
  <c r="E78" i="31"/>
  <c r="F78" i="31"/>
  <c r="G78" i="31"/>
  <c r="D79" i="31"/>
  <c r="E79" i="31"/>
  <c r="F79" i="31"/>
  <c r="G79" i="31"/>
  <c r="D80" i="31"/>
  <c r="E80" i="31"/>
  <c r="F80" i="31"/>
  <c r="G80" i="31"/>
  <c r="D81" i="31"/>
  <c r="E81" i="31"/>
  <c r="F81" i="31"/>
  <c r="G81" i="31"/>
  <c r="R81" i="31"/>
  <c r="S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AP82" i="31"/>
  <c r="AQ82" i="31"/>
  <c r="AR82" i="31"/>
  <c r="AS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AL89" i="31"/>
  <c r="AM89" i="31"/>
  <c r="AN89" i="31"/>
  <c r="AO89" i="31"/>
  <c r="AP89" i="31"/>
  <c r="AQ89" i="31"/>
  <c r="AR89" i="31"/>
  <c r="AS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L91" i="31"/>
  <c r="AM91" i="31"/>
  <c r="AN91" i="31"/>
  <c r="AO91" i="31"/>
  <c r="AP91" i="31"/>
  <c r="AQ91" i="31"/>
  <c r="AR91" i="31"/>
  <c r="AS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D12" i="6"/>
  <c r="E12" i="6"/>
  <c r="U12" i="6"/>
  <c r="D13" i="6"/>
  <c r="E13" i="6"/>
  <c r="D14" i="6"/>
  <c r="E14" i="6"/>
  <c r="D15" i="6"/>
  <c r="E15" i="6"/>
  <c r="G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G51" i="6"/>
  <c r="W51" i="6"/>
  <c r="D54" i="6"/>
  <c r="E54" i="6"/>
  <c r="D55" i="6"/>
  <c r="E55" i="6"/>
  <c r="G55" i="6"/>
  <c r="I55" i="6"/>
  <c r="O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U64" i="6"/>
  <c r="D65" i="6"/>
  <c r="E65" i="6"/>
  <c r="I65" i="6"/>
  <c r="U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O74" i="6"/>
  <c r="S74" i="6"/>
  <c r="U74" i="6"/>
  <c r="Y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A5" i="24"/>
  <c r="H8" i="24"/>
  <c r="J8" i="24"/>
  <c r="N8" i="24"/>
  <c r="P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S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S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S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S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S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S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S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S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S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S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AR29" i="24"/>
  <c r="AS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AR32" i="24"/>
  <c r="AS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S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AR34" i="24"/>
  <c r="AS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AR35" i="24"/>
  <c r="AS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AR36" i="24"/>
  <c r="AS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AR40" i="24"/>
  <c r="AS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AR41" i="24"/>
  <c r="AS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AR42" i="24"/>
  <c r="AS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AR43" i="24"/>
  <c r="AS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AR45" i="24"/>
  <c r="AS45" i="24"/>
  <c r="D46" i="24"/>
  <c r="E46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S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AR49" i="24"/>
  <c r="AS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AR51" i="24"/>
  <c r="AS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AR54" i="24"/>
  <c r="AS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AR55" i="24"/>
  <c r="AS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AR56" i="24"/>
  <c r="AS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S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S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AR61" i="24"/>
  <c r="AS61" i="24"/>
  <c r="D63" i="24"/>
  <c r="E63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AR66" i="24"/>
  <c r="AS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AR70" i="24"/>
  <c r="AS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AR71" i="24"/>
  <c r="AS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AR72" i="24"/>
  <c r="AS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AR73" i="24"/>
  <c r="AS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AR74" i="24"/>
  <c r="AS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AR75" i="24"/>
  <c r="AS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AR76" i="24"/>
  <c r="AS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AR77" i="24"/>
  <c r="AS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AR78" i="24"/>
  <c r="AS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AR82" i="24"/>
  <c r="AS82" i="24"/>
  <c r="G84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N8" i="22"/>
  <c r="P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AP27" i="22"/>
  <c r="AQ27" i="22"/>
  <c r="AR27" i="22"/>
  <c r="AS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O28" i="22"/>
  <c r="AP28" i="22"/>
  <c r="AQ28" i="22"/>
  <c r="AR28" i="22"/>
  <c r="AS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AP29" i="22"/>
  <c r="AQ29" i="22"/>
  <c r="AR29" i="22"/>
  <c r="AS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AP32" i="22"/>
  <c r="AQ32" i="22"/>
  <c r="AR32" i="22"/>
  <c r="AS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AR33" i="22"/>
  <c r="AS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AP34" i="22"/>
  <c r="AQ34" i="22"/>
  <c r="AR34" i="22"/>
  <c r="AS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O35" i="22"/>
  <c r="AP35" i="22"/>
  <c r="AQ35" i="22"/>
  <c r="AR35" i="22"/>
  <c r="AS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AP36" i="22"/>
  <c r="AQ36" i="22"/>
  <c r="AR36" i="22"/>
  <c r="AS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R39" i="22"/>
  <c r="AS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AP40" i="22"/>
  <c r="AQ40" i="22"/>
  <c r="AR40" i="22"/>
  <c r="AS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AR41" i="22"/>
  <c r="AS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AP43" i="22"/>
  <c r="AQ43" i="22"/>
  <c r="AR43" i="22"/>
  <c r="AS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P45" i="22"/>
  <c r="AQ45" i="22"/>
  <c r="AR45" i="22"/>
  <c r="AS45" i="22"/>
  <c r="D46" i="22"/>
  <c r="E46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AP47" i="22"/>
  <c r="AQ47" i="22"/>
  <c r="AR47" i="22"/>
  <c r="AS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AP49" i="22"/>
  <c r="AQ49" i="22"/>
  <c r="AR49" i="22"/>
  <c r="AS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AN51" i="22"/>
  <c r="AO51" i="22"/>
  <c r="AP51" i="22"/>
  <c r="AQ51" i="22"/>
  <c r="AR51" i="22"/>
  <c r="AS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AP54" i="22"/>
  <c r="AQ54" i="22"/>
  <c r="AR54" i="22"/>
  <c r="AS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AN55" i="22"/>
  <c r="AO55" i="22"/>
  <c r="AP55" i="22"/>
  <c r="AQ55" i="22"/>
  <c r="AR55" i="22"/>
  <c r="AS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AP56" i="22"/>
  <c r="AQ56" i="22"/>
  <c r="AR56" i="22"/>
  <c r="AS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AP59" i="22"/>
  <c r="AQ59" i="22"/>
  <c r="AR59" i="22"/>
  <c r="AS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AN60" i="22"/>
  <c r="AO60" i="22"/>
  <c r="AP60" i="22"/>
  <c r="AQ60" i="22"/>
  <c r="AR60" i="22"/>
  <c r="AS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AP61" i="22"/>
  <c r="AQ61" i="22"/>
  <c r="AR61" i="22"/>
  <c r="AS61" i="22"/>
  <c r="D63" i="22"/>
  <c r="E63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AP64" i="22"/>
  <c r="AQ64" i="22"/>
  <c r="AR64" i="22"/>
  <c r="AS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AN65" i="22"/>
  <c r="AO65" i="22"/>
  <c r="AP65" i="22"/>
  <c r="AQ65" i="22"/>
  <c r="AR65" i="22"/>
  <c r="AS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AP66" i="22"/>
  <c r="AQ66" i="22"/>
  <c r="AR66" i="22"/>
  <c r="AS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AN70" i="22"/>
  <c r="AO70" i="22"/>
  <c r="AP70" i="22"/>
  <c r="AQ70" i="22"/>
  <c r="AR70" i="22"/>
  <c r="AS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AN71" i="22"/>
  <c r="AO71" i="22"/>
  <c r="AP71" i="22"/>
  <c r="AQ71" i="22"/>
  <c r="AR71" i="22"/>
  <c r="AS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AP72" i="22"/>
  <c r="AQ72" i="22"/>
  <c r="AR72" i="22"/>
  <c r="AS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AP73" i="22"/>
  <c r="AQ73" i="22"/>
  <c r="AR73" i="22"/>
  <c r="AS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AP74" i="22"/>
  <c r="AQ74" i="22"/>
  <c r="AR74" i="22"/>
  <c r="AS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AN75" i="22"/>
  <c r="AO75" i="22"/>
  <c r="AP75" i="22"/>
  <c r="AQ75" i="22"/>
  <c r="AR75" i="22"/>
  <c r="AS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O76" i="22"/>
  <c r="AP76" i="22"/>
  <c r="AQ76" i="22"/>
  <c r="AR76" i="22"/>
  <c r="AS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AN77" i="22"/>
  <c r="AO77" i="22"/>
  <c r="AP77" i="22"/>
  <c r="AQ77" i="22"/>
  <c r="AR77" i="22"/>
  <c r="AS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AP78" i="22"/>
  <c r="AQ78" i="22"/>
  <c r="AR78" i="22"/>
  <c r="AS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AR79" i="22"/>
  <c r="AS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AP80" i="22"/>
  <c r="AQ80" i="22"/>
  <c r="AR80" i="22"/>
  <c r="AS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N81" i="22"/>
  <c r="AO81" i="22"/>
  <c r="AP81" i="22"/>
  <c r="AQ81" i="22"/>
  <c r="AR81" i="22"/>
  <c r="AS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P82" i="22"/>
  <c r="AQ82" i="22"/>
  <c r="AR82" i="22"/>
  <c r="AS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N8" i="23"/>
  <c r="P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Q24" i="23"/>
  <c r="AR24" i="23"/>
  <c r="AS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AP27" i="23"/>
  <c r="AQ27" i="23"/>
  <c r="AR27" i="23"/>
  <c r="AS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AP28" i="23"/>
  <c r="AQ28" i="23"/>
  <c r="AR28" i="23"/>
  <c r="AS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AP29" i="23"/>
  <c r="AQ29" i="23"/>
  <c r="AR29" i="23"/>
  <c r="AS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AP32" i="23"/>
  <c r="AQ32" i="23"/>
  <c r="AR32" i="23"/>
  <c r="AS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AP33" i="23"/>
  <c r="AQ33" i="23"/>
  <c r="AR33" i="23"/>
  <c r="AS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AP34" i="23"/>
  <c r="AQ34" i="23"/>
  <c r="AR34" i="23"/>
  <c r="AS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AP35" i="23"/>
  <c r="AQ35" i="23"/>
  <c r="AR35" i="23"/>
  <c r="AS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AP36" i="23"/>
  <c r="AQ36" i="23"/>
  <c r="AR36" i="23"/>
  <c r="AS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Q39" i="23"/>
  <c r="AR39" i="23"/>
  <c r="AS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AP40" i="23"/>
  <c r="AQ40" i="23"/>
  <c r="AR40" i="23"/>
  <c r="AS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AP41" i="23"/>
  <c r="AQ41" i="23"/>
  <c r="AR41" i="23"/>
  <c r="AS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AP42" i="23"/>
  <c r="AQ42" i="23"/>
  <c r="AR42" i="23"/>
  <c r="AS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AP43" i="23"/>
  <c r="AQ43" i="23"/>
  <c r="AR43" i="23"/>
  <c r="AS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AP45" i="23"/>
  <c r="AQ45" i="23"/>
  <c r="AR45" i="23"/>
  <c r="AS45" i="23"/>
  <c r="D46" i="23"/>
  <c r="E46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AP47" i="23"/>
  <c r="AQ47" i="23"/>
  <c r="AR47" i="23"/>
  <c r="AS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AP49" i="23"/>
  <c r="AQ49" i="23"/>
  <c r="AR49" i="23"/>
  <c r="AS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AP51" i="23"/>
  <c r="AQ51" i="23"/>
  <c r="AR51" i="23"/>
  <c r="AS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AP54" i="23"/>
  <c r="AQ54" i="23"/>
  <c r="AR54" i="23"/>
  <c r="AS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AP55" i="23"/>
  <c r="AQ55" i="23"/>
  <c r="AR55" i="23"/>
  <c r="AS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AP56" i="23"/>
  <c r="AQ56" i="23"/>
  <c r="AR56" i="23"/>
  <c r="AS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AP59" i="23"/>
  <c r="AQ59" i="23"/>
  <c r="AR59" i="23"/>
  <c r="AS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AP60" i="23"/>
  <c r="AQ60" i="23"/>
  <c r="AR60" i="23"/>
  <c r="AS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AP61" i="23"/>
  <c r="AQ61" i="23"/>
  <c r="AR61" i="23"/>
  <c r="AS61" i="23"/>
  <c r="D63" i="23"/>
  <c r="E63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AP64" i="23"/>
  <c r="AQ64" i="23"/>
  <c r="AR64" i="23"/>
  <c r="AS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AP65" i="23"/>
  <c r="AQ65" i="23"/>
  <c r="AR65" i="23"/>
  <c r="AS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AP66" i="23"/>
  <c r="AQ66" i="23"/>
  <c r="AR66" i="23"/>
  <c r="AS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AP70" i="23"/>
  <c r="AQ70" i="23"/>
  <c r="AR70" i="23"/>
  <c r="AS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AP71" i="23"/>
  <c r="AQ71" i="23"/>
  <c r="AR71" i="23"/>
  <c r="AS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AP72" i="23"/>
  <c r="AQ72" i="23"/>
  <c r="AR72" i="23"/>
  <c r="AS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AP73" i="23"/>
  <c r="AQ73" i="23"/>
  <c r="AR73" i="23"/>
  <c r="AS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AP74" i="23"/>
  <c r="AQ74" i="23"/>
  <c r="AR74" i="23"/>
  <c r="AS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AP75" i="23"/>
  <c r="AQ75" i="23"/>
  <c r="AR75" i="23"/>
  <c r="AS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AP76" i="23"/>
  <c r="AQ76" i="23"/>
  <c r="AR76" i="23"/>
  <c r="AS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AP77" i="23"/>
  <c r="AQ77" i="23"/>
  <c r="AR77" i="23"/>
  <c r="AS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AP78" i="23"/>
  <c r="AQ78" i="23"/>
  <c r="AR78" i="23"/>
  <c r="AS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AP79" i="23"/>
  <c r="AQ79" i="23"/>
  <c r="AR79" i="23"/>
  <c r="AS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AP80" i="23"/>
  <c r="AQ80" i="23"/>
  <c r="AR80" i="23"/>
  <c r="AS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P81" i="23"/>
  <c r="AQ81" i="23"/>
  <c r="AR81" i="23"/>
  <c r="AS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P82" i="23"/>
  <c r="AQ82" i="23"/>
  <c r="AR82" i="23"/>
  <c r="AS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N8" i="30"/>
  <c r="P8" i="30"/>
  <c r="D11" i="30"/>
  <c r="E11" i="30"/>
  <c r="F11" i="30"/>
  <c r="G11" i="30"/>
  <c r="Q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AP24" i="30"/>
  <c r="AQ24" i="30"/>
  <c r="AR24" i="30"/>
  <c r="AS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AP29" i="30"/>
  <c r="AQ29" i="30"/>
  <c r="AR29" i="30"/>
  <c r="AS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AP36" i="30"/>
  <c r="AQ36" i="30"/>
  <c r="AR36" i="30"/>
  <c r="AS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AP42" i="30"/>
  <c r="AQ42" i="30"/>
  <c r="AR42" i="30"/>
  <c r="AS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AP43" i="30"/>
  <c r="AQ43" i="30"/>
  <c r="AR43" i="30"/>
  <c r="AS43" i="30"/>
  <c r="D45" i="30"/>
  <c r="E45" i="30"/>
  <c r="F45" i="30"/>
  <c r="G45" i="30"/>
  <c r="D46" i="30"/>
  <c r="E46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AP56" i="30"/>
  <c r="AQ56" i="30"/>
  <c r="AR56" i="30"/>
  <c r="AS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AP61" i="30"/>
  <c r="AQ61" i="30"/>
  <c r="AR61" i="30"/>
  <c r="AS61" i="30"/>
  <c r="D63" i="30"/>
  <c r="E63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AP66" i="30"/>
  <c r="AQ66" i="30"/>
  <c r="AR66" i="30"/>
  <c r="AS66" i="30"/>
  <c r="D70" i="30"/>
  <c r="E70" i="30"/>
  <c r="F70" i="30"/>
  <c r="G70" i="30"/>
  <c r="W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AP72" i="30"/>
  <c r="AQ72" i="30"/>
  <c r="AR72" i="30"/>
  <c r="AS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M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M81" i="30"/>
  <c r="Y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AP82" i="30"/>
  <c r="AQ82" i="30"/>
  <c r="AR82" i="30"/>
  <c r="AS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O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I70" i="7"/>
  <c r="S70" i="7"/>
  <c r="W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S74" i="7"/>
  <c r="D75" i="7"/>
  <c r="E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E84" i="7"/>
  <c r="D86" i="7"/>
  <c r="E86" i="7"/>
  <c r="S87" i="7"/>
  <c r="T87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E92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4" i="15"/>
  <c r="M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N8" i="27"/>
  <c r="P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D46" i="27"/>
  <c r="E46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D63" i="27"/>
  <c r="E63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AL86" i="27"/>
  <c r="AM86" i="27"/>
  <c r="AN86" i="27"/>
  <c r="AO86" i="27"/>
  <c r="AP86" i="27"/>
  <c r="AQ86" i="27"/>
  <c r="AR86" i="27"/>
  <c r="AS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AL87" i="27"/>
  <c r="AM87" i="27"/>
  <c r="AN87" i="27"/>
  <c r="AO87" i="27"/>
  <c r="AP87" i="27"/>
  <c r="AQ87" i="27"/>
  <c r="AR87" i="27"/>
  <c r="AS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AL88" i="27"/>
  <c r="AM88" i="27"/>
  <c r="AN88" i="27"/>
  <c r="AO88" i="27"/>
  <c r="AP88" i="27"/>
  <c r="AQ88" i="27"/>
  <c r="AR88" i="27"/>
  <c r="AS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AL89" i="27"/>
  <c r="AM89" i="27"/>
  <c r="AN89" i="27"/>
  <c r="AO89" i="27"/>
  <c r="AP89" i="27"/>
  <c r="AQ89" i="27"/>
  <c r="AR89" i="27"/>
  <c r="AS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L91" i="27"/>
  <c r="AM91" i="27"/>
  <c r="AN91" i="27"/>
  <c r="AO91" i="27"/>
  <c r="AP91" i="27"/>
  <c r="AQ91" i="27"/>
  <c r="AR91" i="27"/>
  <c r="AS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N8" i="25"/>
  <c r="P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P19" i="25"/>
  <c r="AR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D20" i="25"/>
  <c r="AF20" i="25"/>
  <c r="AH20" i="25"/>
  <c r="AJ20" i="25"/>
  <c r="AL20" i="25"/>
  <c r="AN20" i="25"/>
  <c r="AP20" i="25"/>
  <c r="AR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R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D46" i="25"/>
  <c r="E46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R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D63" i="25"/>
  <c r="E63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E85" i="14"/>
  <c r="A5" i="26"/>
  <c r="H8" i="26"/>
  <c r="J8" i="26"/>
  <c r="N8" i="26"/>
  <c r="P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AP29" i="26"/>
  <c r="AQ29" i="26"/>
  <c r="AR29" i="26"/>
  <c r="AS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AP32" i="26"/>
  <c r="AQ32" i="26"/>
  <c r="AR32" i="26"/>
  <c r="AS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AP34" i="26"/>
  <c r="AQ34" i="26"/>
  <c r="AR34" i="26"/>
  <c r="AS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AP35" i="26"/>
  <c r="AQ35" i="26"/>
  <c r="AR35" i="26"/>
  <c r="AS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AQ36" i="26"/>
  <c r="AR36" i="26"/>
  <c r="AS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AR39" i="26"/>
  <c r="AS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AP40" i="26"/>
  <c r="AQ40" i="26"/>
  <c r="AR40" i="26"/>
  <c r="AS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AP41" i="26"/>
  <c r="AQ41" i="26"/>
  <c r="AR41" i="26"/>
  <c r="AS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AR42" i="26"/>
  <c r="AS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AP43" i="26"/>
  <c r="AQ43" i="26"/>
  <c r="AR43" i="26"/>
  <c r="AS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S45" i="26"/>
  <c r="D46" i="26"/>
  <c r="E46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AR49" i="26"/>
  <c r="AS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AP59" i="26"/>
  <c r="AQ59" i="26"/>
  <c r="AR59" i="26"/>
  <c r="AS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AP60" i="26"/>
  <c r="AQ60" i="26"/>
  <c r="AR60" i="26"/>
  <c r="AS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AP61" i="26"/>
  <c r="AQ61" i="26"/>
  <c r="AR61" i="26"/>
  <c r="AS61" i="26"/>
  <c r="D63" i="26"/>
  <c r="E63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AP64" i="26"/>
  <c r="AQ64" i="26"/>
  <c r="AR64" i="26"/>
  <c r="AS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AP65" i="26"/>
  <c r="AQ65" i="26"/>
  <c r="AR65" i="26"/>
  <c r="AS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AP66" i="26"/>
  <c r="AQ66" i="26"/>
  <c r="AR66" i="26"/>
  <c r="AS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AP70" i="26"/>
  <c r="AQ70" i="26"/>
  <c r="AR70" i="26"/>
  <c r="AS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AP71" i="26"/>
  <c r="AQ71" i="26"/>
  <c r="AR71" i="26"/>
  <c r="AS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AP72" i="26"/>
  <c r="AQ72" i="26"/>
  <c r="AR72" i="26"/>
  <c r="AS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AP73" i="26"/>
  <c r="AQ73" i="26"/>
  <c r="AR73" i="26"/>
  <c r="AS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AP74" i="26"/>
  <c r="AQ74" i="26"/>
  <c r="AR74" i="26"/>
  <c r="AS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AP75" i="26"/>
  <c r="AQ75" i="26"/>
  <c r="AR75" i="26"/>
  <c r="AS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AP76" i="26"/>
  <c r="AQ76" i="26"/>
  <c r="AR76" i="26"/>
  <c r="AS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AP77" i="26"/>
  <c r="AQ77" i="26"/>
  <c r="AR77" i="26"/>
  <c r="AS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AP78" i="26"/>
  <c r="AQ78" i="26"/>
  <c r="AR78" i="26"/>
  <c r="AS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AP79" i="26"/>
  <c r="AQ79" i="26"/>
  <c r="AR79" i="26"/>
  <c r="AS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AP80" i="26"/>
  <c r="AQ80" i="26"/>
  <c r="AR80" i="26"/>
  <c r="AS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AP81" i="26"/>
  <c r="AQ81" i="26"/>
  <c r="AR81" i="26"/>
  <c r="AS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P82" i="26"/>
  <c r="AQ82" i="26"/>
  <c r="AR82" i="26"/>
  <c r="AS82" i="26"/>
  <c r="E85" i="26"/>
  <c r="E86" i="26"/>
  <c r="I86" i="26"/>
  <c r="K86" i="26"/>
  <c r="M86" i="26"/>
  <c r="O86" i="26"/>
  <c r="Q86" i="26"/>
  <c r="S86" i="26"/>
  <c r="U86" i="26"/>
  <c r="W86" i="26"/>
  <c r="Y86" i="26"/>
  <c r="AA86" i="26"/>
  <c r="AC86" i="26"/>
  <c r="AE86" i="26"/>
  <c r="AG86" i="26"/>
  <c r="AI86" i="26"/>
  <c r="AK86" i="26"/>
  <c r="AM86" i="26"/>
  <c r="AO86" i="26"/>
  <c r="AQ86" i="26"/>
  <c r="AS86" i="26"/>
  <c r="E87" i="26"/>
  <c r="I87" i="26"/>
  <c r="K87" i="26"/>
  <c r="M87" i="26"/>
  <c r="O87" i="26"/>
  <c r="Q87" i="26"/>
  <c r="S87" i="26"/>
  <c r="U87" i="26"/>
  <c r="W87" i="26"/>
  <c r="Y87" i="26"/>
  <c r="AA87" i="26"/>
  <c r="AC87" i="26"/>
  <c r="AE87" i="26"/>
  <c r="AG87" i="26"/>
  <c r="AI87" i="26"/>
  <c r="AK87" i="26"/>
  <c r="AM87" i="26"/>
  <c r="AO87" i="26"/>
  <c r="AQ87" i="26"/>
  <c r="AS87" i="26"/>
  <c r="E88" i="26"/>
  <c r="I88" i="26"/>
  <c r="K88" i="26"/>
  <c r="M88" i="26"/>
  <c r="O88" i="26"/>
  <c r="Q88" i="26"/>
  <c r="S88" i="26"/>
  <c r="U88" i="26"/>
  <c r="W88" i="26"/>
  <c r="Y88" i="26"/>
  <c r="AA88" i="26"/>
  <c r="AC88" i="26"/>
  <c r="AE88" i="26"/>
  <c r="AG88" i="26"/>
  <c r="AI88" i="26"/>
  <c r="AK88" i="26"/>
  <c r="AM88" i="26"/>
  <c r="AO88" i="26"/>
  <c r="AQ88" i="26"/>
  <c r="AS88" i="26"/>
  <c r="E90" i="26"/>
  <c r="I90" i="26"/>
  <c r="K90" i="26"/>
  <c r="M90" i="26"/>
  <c r="O90" i="26"/>
  <c r="Q90" i="26"/>
  <c r="S90" i="26"/>
  <c r="U90" i="26"/>
  <c r="W90" i="26"/>
  <c r="Y90" i="26"/>
  <c r="AA90" i="26"/>
  <c r="AC90" i="26"/>
  <c r="AE90" i="26"/>
  <c r="AG90" i="26"/>
  <c r="AI90" i="26"/>
  <c r="AK90" i="26"/>
  <c r="AM90" i="26"/>
  <c r="AO90" i="26"/>
  <c r="AQ90" i="26"/>
  <c r="AS90" i="26"/>
  <c r="E91" i="26"/>
  <c r="I91" i="26"/>
  <c r="K91" i="26"/>
  <c r="M91" i="26"/>
  <c r="O91" i="26"/>
  <c r="Q91" i="26"/>
  <c r="S91" i="26"/>
  <c r="U91" i="26"/>
  <c r="W91" i="26"/>
  <c r="Y91" i="26"/>
  <c r="AA91" i="26"/>
  <c r="AC91" i="26"/>
  <c r="AE91" i="26"/>
  <c r="AG91" i="26"/>
  <c r="AI91" i="26"/>
  <c r="AK91" i="26"/>
  <c r="AM91" i="26"/>
  <c r="AO91" i="26"/>
  <c r="AQ91" i="26"/>
  <c r="AS91" i="26"/>
  <c r="E9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A5" i="28"/>
  <c r="H8" i="28"/>
  <c r="J8" i="28"/>
  <c r="N8" i="28"/>
  <c r="P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D12" i="28"/>
  <c r="E12" i="28"/>
  <c r="F12" i="28"/>
  <c r="G12" i="28"/>
  <c r="H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D20" i="28"/>
  <c r="AF20" i="28"/>
  <c r="AH20" i="28"/>
  <c r="AJ20" i="28"/>
  <c r="AL20" i="28"/>
  <c r="AN20" i="28"/>
  <c r="AP20" i="28"/>
  <c r="AR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P35" i="28"/>
  <c r="AR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AP43" i="28"/>
  <c r="AQ43" i="28"/>
  <c r="AR43" i="28"/>
  <c r="AS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AP45" i="28"/>
  <c r="AQ45" i="28"/>
  <c r="AR45" i="28"/>
  <c r="AS45" i="28"/>
  <c r="D46" i="28"/>
  <c r="E46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AP47" i="28"/>
  <c r="AQ47" i="28"/>
  <c r="AR47" i="28"/>
  <c r="AS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AP49" i="28"/>
  <c r="AQ49" i="28"/>
  <c r="AR49" i="28"/>
  <c r="AS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AP51" i="28"/>
  <c r="AQ51" i="28"/>
  <c r="AR51" i="28"/>
  <c r="AS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AP54" i="28"/>
  <c r="AQ54" i="28"/>
  <c r="AR54" i="28"/>
  <c r="AS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AP55" i="28"/>
  <c r="AQ55" i="28"/>
  <c r="AR55" i="28"/>
  <c r="AS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AP56" i="28"/>
  <c r="AQ56" i="28"/>
  <c r="AR56" i="28"/>
  <c r="AS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AP59" i="28"/>
  <c r="AQ59" i="28"/>
  <c r="AR59" i="28"/>
  <c r="AS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AP60" i="28"/>
  <c r="AQ60" i="28"/>
  <c r="AR60" i="28"/>
  <c r="AS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AP61" i="28"/>
  <c r="AQ61" i="28"/>
  <c r="AR61" i="28"/>
  <c r="AS61" i="28"/>
  <c r="D63" i="28"/>
  <c r="E63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AP64" i="28"/>
  <c r="AQ64" i="28"/>
  <c r="AR64" i="28"/>
  <c r="AS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AP65" i="28"/>
  <c r="AQ65" i="28"/>
  <c r="AR65" i="28"/>
  <c r="AS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AP66" i="28"/>
  <c r="AQ66" i="28"/>
  <c r="AR66" i="28"/>
  <c r="AS66" i="28"/>
  <c r="D70" i="28"/>
  <c r="E70" i="28"/>
  <c r="F70" i="28"/>
  <c r="G70" i="28"/>
  <c r="H70" i="28"/>
  <c r="I70" i="28"/>
  <c r="J70" i="28"/>
  <c r="K70" i="28"/>
  <c r="L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AP70" i="28"/>
  <c r="AQ70" i="28"/>
  <c r="AR70" i="28"/>
  <c r="AS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AP71" i="28"/>
  <c r="AQ71" i="28"/>
  <c r="AR71" i="28"/>
  <c r="AS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AP72" i="28"/>
  <c r="AQ72" i="28"/>
  <c r="AR72" i="28"/>
  <c r="AS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AP73" i="28"/>
  <c r="AQ73" i="28"/>
  <c r="AR73" i="28"/>
  <c r="AS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AP74" i="28"/>
  <c r="AQ74" i="28"/>
  <c r="AR74" i="28"/>
  <c r="AS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AP75" i="28"/>
  <c r="AQ75" i="28"/>
  <c r="AR75" i="28"/>
  <c r="AS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AP76" i="28"/>
  <c r="AQ76" i="28"/>
  <c r="AR76" i="28"/>
  <c r="AS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AP77" i="28"/>
  <c r="AQ77" i="28"/>
  <c r="AR77" i="28"/>
  <c r="AS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AP78" i="28"/>
  <c r="AQ78" i="28"/>
  <c r="AR78" i="28"/>
  <c r="AS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AP79" i="28"/>
  <c r="AQ79" i="28"/>
  <c r="AR79" i="28"/>
  <c r="AS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AP80" i="28"/>
  <c r="AQ80" i="28"/>
  <c r="AR80" i="28"/>
  <c r="AS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AP81" i="28"/>
  <c r="AQ81" i="28"/>
  <c r="AR81" i="28"/>
  <c r="AS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P82" i="28"/>
  <c r="AQ82" i="28"/>
  <c r="AR82" i="28"/>
  <c r="AS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1058484 is weather liquidation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AK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  <comment ref="M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Transport demand reclass to 9901 per Cathy D.</t>
        </r>
      </text>
    </comment>
    <comment ref="S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Incorrect in Matrix Reclassed with Ontario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Liquidaiton PMA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Hyperion Entry
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reclass per m. sanchez</t>
        </r>
      </text>
    </comment>
    <comment ref="I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Inventory profits reclass per M. Sanchez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M. Sanchez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I/C revenue from the asset group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and liquidation adjustment across prod. Mths. Per P. Love
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  <comment ref="Q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February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I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Error - Reverses in April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adjustment with 9902 per cathy d.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I1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Hyperion Entry
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M5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Fuel reclass from Asset Group
</t>
        </r>
      </text>
    </comment>
    <comment ref="AA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</t>
        </r>
      </text>
    </comment>
    <comment ref="M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Demand charge reclasses from HPLR and HPLC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problem on the matrix, should be corrected on April Matrix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O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
</t>
        </r>
      </text>
    </comment>
    <comment ref="I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Booking Error - Reversed in April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not in GL reverses in May</t>
        </r>
      </text>
    </comment>
    <comment ref="S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Incorrect in Matrix.  Reversed out with Central region here as oppossed to Reclass Schedule</t>
        </r>
      </text>
    </comment>
  </commentList>
</comments>
</file>

<file path=xl/sharedStrings.xml><?xml version="1.0" encoding="utf-8"?>
<sst xmlns="http://schemas.openxmlformats.org/spreadsheetml/2006/main" count="5370" uniqueCount="209">
  <si>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</si>
  <si>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</si>
  <si>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</si>
  <si>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</si>
  <si>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</si>
  <si>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</si>
  <si>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</si>
  <si>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</si>
  <si>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</si>
  <si>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</si>
  <si>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</si>
  <si>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</si>
  <si>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</si>
  <si>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</si>
  <si>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</si>
  <si>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</si>
  <si>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</si>
  <si>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</si>
  <si>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</si>
  <si>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</si>
  <si>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</si>
  <si>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</si>
  <si>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</si>
  <si>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</si>
  <si>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</si>
  <si>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</si>
  <si>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</si>
  <si>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</si>
  <si>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</si>
  <si>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</si>
  <si>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</si>
  <si>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</si>
  <si>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</si>
  <si>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</si>
  <si>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</si>
  <si>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</si>
  <si>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</si>
  <si>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</si>
  <si>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</si>
  <si>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</si>
  <si>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</si>
  <si>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</si>
  <si>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</si>
  <si>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</si>
  <si>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</si>
  <si>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</si>
  <si>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</si>
  <si>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</si>
  <si>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</si>
  <si>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</si>
  <si>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</si>
  <si>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</si>
  <si>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</si>
  <si>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</si>
  <si>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</si>
  <si>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</si>
  <si>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</si>
  <si>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</si>
  <si>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</si>
  <si>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</si>
  <si>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</si>
  <si>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</si>
  <si>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</si>
  <si>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</si>
  <si>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</si>
  <si>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</si>
  <si>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</si>
  <si>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</si>
  <si>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</si>
  <si>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</si>
  <si>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</si>
  <si>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</si>
  <si>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</si>
  <si>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</si>
  <si>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</si>
  <si>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</si>
  <si>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</si>
  <si>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</si>
  <si>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</si>
  <si>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</si>
  <si>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</si>
  <si>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</si>
  <si>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</si>
  <si>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</si>
  <si>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</si>
  <si>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</si>
  <si>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</si>
  <si>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</si>
  <si>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</si>
  <si>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</si>
  <si>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</si>
  <si>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</si>
  <si>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</si>
  <si>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</si>
  <si>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</si>
  <si>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</si>
  <si>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</si>
  <si>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</si>
  <si>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</si>
  <si>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</si>
  <si>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</si>
  <si>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</si>
  <si>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</si>
  <si>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</si>
  <si>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</si>
  <si>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</si>
  <si>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</si>
  <si>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</si>
  <si>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</si>
  <si>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</si>
  <si>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</si>
  <si>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</si>
  <si>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</si>
  <si>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</si>
  <si>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</si>
  <si>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</si>
  <si>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</si>
  <si>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</si>
  <si>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</si>
  <si>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</si>
  <si>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</si>
  <si>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</si>
  <si>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</si>
  <si>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</si>
  <si>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</si>
  <si>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</si>
  <si>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</si>
  <si>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</si>
  <si>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</si>
  <si>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</si>
  <si>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</si>
  <si>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</si>
  <si>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</si>
  <si>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</si>
  <si>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</si>
  <si>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</si>
  <si>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</si>
  <si>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</si>
  <si>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</si>
  <si>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</si>
  <si>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</si>
  <si>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</si>
  <si>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</si>
  <si>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</si>
  <si>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</si>
  <si>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</si>
  <si>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</si>
  <si>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</si>
  <si>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</si>
  <si>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</si>
  <si>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</si>
  <si>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</si>
  <si>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</si>
  <si>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</si>
  <si>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</si>
  <si>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</si>
  <si>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</si>
  <si>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</si>
  <si>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</si>
  <si>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</si>
  <si>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</si>
  <si>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</si>
  <si>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</si>
  <si>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</si>
  <si>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</si>
  <si>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</si>
  <si>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</si>
  <si>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</si>
  <si>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</si>
  <si>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</si>
  <si>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</si>
  <si>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</si>
  <si>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</si>
  <si>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</si>
  <si>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</si>
  <si>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</si>
  <si>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</si>
  <si>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</si>
  <si>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</si>
  <si>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Ontario</t>
  </si>
  <si>
    <t>REGION:  ONTARIO</t>
  </si>
  <si>
    <t>March</t>
  </si>
  <si>
    <t>April</t>
  </si>
  <si>
    <t>9903V</t>
  </si>
  <si>
    <t>9903A</t>
  </si>
  <si>
    <t>ONTARIO</t>
  </si>
  <si>
    <t>PRODUCTION MONTH: 9903</t>
  </si>
  <si>
    <t>May</t>
  </si>
  <si>
    <t>FT-Ontario</t>
  </si>
  <si>
    <t>FT-South Texas</t>
  </si>
  <si>
    <t>FT-South East</t>
  </si>
  <si>
    <t>Current Month MTM</t>
  </si>
  <si>
    <t>TOTAL FIRM TRADING</t>
  </si>
  <si>
    <t>TOTAL GL</t>
  </si>
  <si>
    <t>FT-East</t>
  </si>
  <si>
    <t>TOTAL NGPL</t>
  </si>
  <si>
    <t>FT-Central</t>
  </si>
  <si>
    <t>TOTAL FIRM</t>
  </si>
  <si>
    <t>TOTAL TIEOUT</t>
  </si>
  <si>
    <t>June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</si>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</sst>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" fillId="0" borderId="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165" fontId="20" fillId="5" borderId="0" xfId="1" applyNumberFormat="1" applyFont="1" applyFill="1"/>
    <xf numFmtId="165" fontId="19" fillId="5" borderId="1" xfId="1" applyNumberFormat="1" applyFont="1" applyFill="1" applyBorder="1"/>
    <xf numFmtId="165" fontId="4" fillId="5" borderId="21" xfId="1" applyNumberFormat="1" applyFont="1" applyFill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3CFC1C1-B780-DC67-B204-0847E9401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D3472E1-BCCB-821E-0BA7-A97AED0B5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BAA5D17-16A8-F98F-FD1B-3CF58E54F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7AC4113-1EBB-114E-1D75-9277070B90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7C45F68-2786-5C73-11CB-3CE47E629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BE191F7-465B-00DD-A3B8-4C7DFA631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B1DDF3E-53A4-D89B-7154-059F731EC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54D72A5-F17B-4271-3B06-6B1C917CB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146439E-1042-57EF-D7D2-116E58863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BC49E36B-2911-B620-D825-4581F2B043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CA9ECEC0-1FDE-E5E0-BCE9-B63CE95465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3392937.7800000012</v>
          </cell>
        </row>
        <row r="43">
          <cell r="C43">
            <v>-6575112.0800000029</v>
          </cell>
          <cell r="G43">
            <v>421679.91999999713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1">
          <cell r="B41">
            <v>-1261754</v>
          </cell>
          <cell r="C41">
            <v>-4078285</v>
          </cell>
          <cell r="D41">
            <v>0</v>
          </cell>
          <cell r="E41">
            <v>0</v>
          </cell>
          <cell r="F41">
            <v>508114</v>
          </cell>
          <cell r="G41">
            <v>0</v>
          </cell>
          <cell r="H41">
            <v>1463819</v>
          </cell>
          <cell r="I41">
            <v>0</v>
          </cell>
          <cell r="J41">
            <v>0</v>
          </cell>
          <cell r="K41">
            <v>0</v>
          </cell>
          <cell r="L41">
            <v>-920775</v>
          </cell>
          <cell r="M41">
            <v>-2122790</v>
          </cell>
          <cell r="O41">
            <v>-585121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2">
          <cell r="M82">
            <v>53778.990112164873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0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C87" sqref="C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</f>
        <v>10167711</v>
      </c>
      <c r="E11" s="66">
        <f>'SE-EGM-FLSH'!E11+'SE-LRC-FLSH'!E11</f>
        <v>17389462</v>
      </c>
      <c r="F11" s="37">
        <f>H11-D11</f>
        <v>0</v>
      </c>
      <c r="G11" s="37">
        <f>I11-E11</f>
        <v>0</v>
      </c>
      <c r="H11" s="60">
        <f>'SE-EGM-FLSH'!H11+'SE-LRC-FLSH'!H11</f>
        <v>10167711</v>
      </c>
      <c r="I11" s="38">
        <f>'SE-EGM-FLSH'!I11+'SE-LRC-FLSH'!I11</f>
        <v>17389462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10167711</v>
      </c>
      <c r="M11" s="38">
        <f t="shared" si="0"/>
        <v>17389462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</f>
        <v>2625789</v>
      </c>
      <c r="E13" s="66">
        <f>'SE-EGM-FLSH'!E13+'SE-LRC-FLSH'!E13</f>
        <v>4594435.5199999996</v>
      </c>
      <c r="F13" s="60">
        <f t="shared" si="1"/>
        <v>0</v>
      </c>
      <c r="G13" s="37">
        <f t="shared" si="1"/>
        <v>0</v>
      </c>
      <c r="H13" s="60">
        <f>'SE-EGM-FLSH'!H13+'SE-LRC-FLSH'!H13</f>
        <v>2625789</v>
      </c>
      <c r="I13" s="38">
        <f>'SE-EGM-FLSH'!I13+'SE-LRC-FLSH'!I13</f>
        <v>4594435.5199999996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2625789</v>
      </c>
      <c r="M13" s="38">
        <f t="shared" si="0"/>
        <v>4594435.5199999996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12793500</v>
      </c>
      <c r="E16" s="39">
        <f>SUM(E11:E15)</f>
        <v>21983897.52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12793500</v>
      </c>
      <c r="I16" s="39">
        <f t="shared" si="2"/>
        <v>21983897.52</v>
      </c>
      <c r="J16" s="61">
        <f t="shared" si="2"/>
        <v>0</v>
      </c>
      <c r="K16" s="39">
        <f t="shared" si="2"/>
        <v>0</v>
      </c>
      <c r="L16" s="61">
        <f t="shared" si="2"/>
        <v>12793500</v>
      </c>
      <c r="M16" s="39">
        <f t="shared" si="2"/>
        <v>21983897.52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</f>
        <v>-3999526</v>
      </c>
      <c r="E19" s="66">
        <f>'SE-EGM-FLSH'!E19+'SE-LRC-FLSH'!E19</f>
        <v>-6884435</v>
      </c>
      <c r="F19" s="60">
        <f>H19-D19</f>
        <v>0</v>
      </c>
      <c r="G19" s="37">
        <f>I19-E19</f>
        <v>0</v>
      </c>
      <c r="H19" s="60">
        <f>'SE-EGM-FLSH'!H19+'SE-LRC-FLSH'!H19</f>
        <v>-3999526</v>
      </c>
      <c r="I19" s="38">
        <f>'SE-EGM-FLSH'!I19+'SE-LRC-FLSH'!I19</f>
        <v>-6884435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-3999526</v>
      </c>
      <c r="M19" s="38">
        <f t="shared" si="3"/>
        <v>-6884435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</f>
        <v>-9003725</v>
      </c>
      <c r="E21" s="66">
        <f>'SE-EGM-FLSH'!E21+'SE-LRC-FLSH'!E21</f>
        <v>-15955875</v>
      </c>
      <c r="F21" s="60">
        <f t="shared" si="4"/>
        <v>0</v>
      </c>
      <c r="G21" s="37">
        <f t="shared" si="4"/>
        <v>0</v>
      </c>
      <c r="H21" s="60">
        <f>'SE-EGM-FLSH'!H21+'SE-LRC-FLSH'!H21</f>
        <v>-9003725</v>
      </c>
      <c r="I21" s="38">
        <f>'SE-EGM-FLSH'!I21+'SE-LRC-FLSH'!I21</f>
        <v>-15955875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-9003725</v>
      </c>
      <c r="M21" s="38">
        <f t="shared" si="3"/>
        <v>-15955875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37</v>
      </c>
      <c r="C24" s="6"/>
      <c r="D24" s="61">
        <f>SUM(D19:D23)</f>
        <v>-13003251</v>
      </c>
      <c r="E24" s="39">
        <f>SUM(E19:E23)</f>
        <v>-22840310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-13003251</v>
      </c>
      <c r="I24" s="39">
        <f t="shared" si="5"/>
        <v>-22840310</v>
      </c>
      <c r="J24" s="61">
        <f t="shared" si="5"/>
        <v>0</v>
      </c>
      <c r="K24" s="39">
        <f t="shared" si="5"/>
        <v>0</v>
      </c>
      <c r="L24" s="61">
        <f t="shared" si="5"/>
        <v>-13003251</v>
      </c>
      <c r="M24" s="39">
        <f t="shared" si="5"/>
        <v>-22840310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</f>
        <v>914166</v>
      </c>
      <c r="E27" s="66">
        <f>'SE-EGM-FLSH'!E27+'SE-LRC-FLSH'!E27</f>
        <v>1586850</v>
      </c>
      <c r="F27" s="60">
        <f>H27-D27</f>
        <v>0</v>
      </c>
      <c r="G27" s="37">
        <f>I27-E27</f>
        <v>0</v>
      </c>
      <c r="H27" s="60">
        <f>'SE-EGM-FLSH'!H27+'SE-LRC-FLSH'!H27</f>
        <v>914166</v>
      </c>
      <c r="I27" s="38">
        <f>'SE-EGM-FLSH'!I27+'SE-LRC-FLSH'!I27</f>
        <v>1586850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914166</v>
      </c>
      <c r="M27" s="38">
        <f>I27+K27</f>
        <v>1586850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</f>
        <v>-624569</v>
      </c>
      <c r="E28" s="66">
        <f>'SE-EGM-FLSH'!E28+'SE-LRC-FLSH'!E28</f>
        <v>-1133654</v>
      </c>
      <c r="F28" s="60">
        <f>H28-D28</f>
        <v>0</v>
      </c>
      <c r="G28" s="37">
        <f>I28-E28</f>
        <v>0</v>
      </c>
      <c r="H28" s="60">
        <f>'SE-EGM-FLSH'!H28+'SE-LRC-FLSH'!H28</f>
        <v>-624569</v>
      </c>
      <c r="I28" s="38">
        <f>'SE-EGM-FLSH'!I28+'SE-LRC-FLSH'!I28</f>
        <v>-1133654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-624569</v>
      </c>
      <c r="M28" s="38">
        <f>I28+K28</f>
        <v>-1133654</v>
      </c>
    </row>
    <row r="29" spans="1:13" x14ac:dyDescent="0.2">
      <c r="A29" s="9"/>
      <c r="B29" s="7" t="s">
        <v>41</v>
      </c>
      <c r="C29" s="6"/>
      <c r="D29" s="61">
        <f>SUM(D27:D28)</f>
        <v>289597</v>
      </c>
      <c r="E29" s="39">
        <f>SUM(E27:E28)</f>
        <v>453196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289597</v>
      </c>
      <c r="I29" s="39">
        <f t="shared" si="6"/>
        <v>453196</v>
      </c>
      <c r="J29" s="61">
        <f t="shared" si="6"/>
        <v>0</v>
      </c>
      <c r="K29" s="39">
        <f t="shared" si="6"/>
        <v>0</v>
      </c>
      <c r="L29" s="61">
        <f t="shared" si="6"/>
        <v>289597</v>
      </c>
      <c r="M29" s="39">
        <f t="shared" si="6"/>
        <v>453196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</f>
        <v>0</v>
      </c>
      <c r="E32" s="66">
        <f>'SE-EGM-FLSH'!E32+'SE-LRC-FLSH'!E32</f>
        <v>0</v>
      </c>
      <c r="F32" s="60">
        <f>H32-D32</f>
        <v>0</v>
      </c>
      <c r="G32" s="37">
        <f>I32-E32</f>
        <v>0</v>
      </c>
      <c r="H32" s="60">
        <f>'SE-EGM-FLSH'!H32+'SE-LRC-FLSH'!H32</f>
        <v>0</v>
      </c>
      <c r="I32" s="38">
        <f>'SE-EGM-FLSH'!I32+'SE-LRC-FLSH'!I32</f>
        <v>0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</f>
        <v>0</v>
      </c>
      <c r="E33" s="66">
        <f>'SE-EGM-FLSH'!E33+'SE-LRC-FLSH'!E33</f>
        <v>0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0</v>
      </c>
      <c r="I33" s="38">
        <f>'SE-EGM-FLSH'!I33+'SE-LRC-FLSH'!I33</f>
        <v>0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</f>
        <v>882877</v>
      </c>
      <c r="E39" s="66">
        <f>'SE-EGM-FLSH'!E39+'SE-LRC-FLSH'!E39</f>
        <v>1447917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882877</v>
      </c>
      <c r="I39" s="38">
        <f>'SE-EGM-FLSH'!I39+'SE-LRC-FLSH'!I39</f>
        <v>1447917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882877</v>
      </c>
      <c r="M39" s="38">
        <f t="shared" si="11"/>
        <v>1447917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</f>
        <v>-625025</v>
      </c>
      <c r="E40" s="66">
        <f>'SE-EGM-FLSH'!E40+'SE-LRC-FLSH'!E40</f>
        <v>-1025040</v>
      </c>
      <c r="F40" s="60">
        <f t="shared" si="10"/>
        <v>0</v>
      </c>
      <c r="G40" s="37">
        <f t="shared" si="10"/>
        <v>0</v>
      </c>
      <c r="H40" s="60">
        <f>'SE-EGM-FLSH'!H40+'SE-LRC-FLSH'!H40</f>
        <v>-625025</v>
      </c>
      <c r="I40" s="38">
        <f>'SE-EGM-FLSH'!I40+'SE-LRC-FLSH'!I40</f>
        <v>-1025040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-625025</v>
      </c>
      <c r="M40" s="38">
        <f t="shared" si="11"/>
        <v>-1025040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-625025</v>
      </c>
      <c r="E42" s="39">
        <f>SUM(E40:E41)</f>
        <v>-1025040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-625025</v>
      </c>
      <c r="I42" s="39">
        <f t="shared" si="12"/>
        <v>-1025040</v>
      </c>
      <c r="J42" s="61">
        <f t="shared" si="12"/>
        <v>0</v>
      </c>
      <c r="K42" s="39">
        <f t="shared" si="12"/>
        <v>0</v>
      </c>
      <c r="L42" s="61">
        <f t="shared" si="12"/>
        <v>-625025</v>
      </c>
      <c r="M42" s="39">
        <f t="shared" si="12"/>
        <v>-1025040</v>
      </c>
    </row>
    <row r="43" spans="1:13" ht="21" customHeight="1" x14ac:dyDescent="0.2">
      <c r="A43" s="9"/>
      <c r="B43" s="7" t="s">
        <v>53</v>
      </c>
      <c r="C43" s="6"/>
      <c r="D43" s="61">
        <f>D42+D39</f>
        <v>257852</v>
      </c>
      <c r="E43" s="39">
        <f>E42+E39</f>
        <v>422877</v>
      </c>
      <c r="F43" s="61">
        <f t="shared" ref="F43:M43" si="13">F42+F39</f>
        <v>0</v>
      </c>
      <c r="G43" s="39">
        <f t="shared" si="13"/>
        <v>0</v>
      </c>
      <c r="H43" s="61">
        <f t="shared" si="13"/>
        <v>257852</v>
      </c>
      <c r="I43" s="39">
        <f t="shared" si="13"/>
        <v>422877</v>
      </c>
      <c r="J43" s="61">
        <f t="shared" si="13"/>
        <v>0</v>
      </c>
      <c r="K43" s="39">
        <f t="shared" si="13"/>
        <v>0</v>
      </c>
      <c r="L43" s="61">
        <f t="shared" si="13"/>
        <v>257852</v>
      </c>
      <c r="M43" s="39">
        <f t="shared" si="13"/>
        <v>422877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</f>
        <v>-397698</v>
      </c>
      <c r="E49" s="66">
        <f>'SE-EGM-FLSH'!E49+'SE-LRC-FLSH'!E49</f>
        <v>-697548.72748507408</v>
      </c>
      <c r="F49" s="60">
        <f>H49-D49</f>
        <v>0</v>
      </c>
      <c r="G49" s="37">
        <f>I49-E49</f>
        <v>0</v>
      </c>
      <c r="H49" s="60">
        <f>'SE-EGM-FLSH'!H49+'SE-LRC-FLSH'!H49</f>
        <v>-397698</v>
      </c>
      <c r="I49" s="38">
        <f>'SE-EGM-FLSH'!I49+'SE-LRC-FLSH'!I49</f>
        <v>-697548.72748507408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-397698</v>
      </c>
      <c r="M49" s="38">
        <f>I49+K49</f>
        <v>-697548.72748507408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123381.24799999999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123381.24799999999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123381.24799999999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123381.24799999999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123381.24799999999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123381.24799999999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-60000</v>
      </c>
      <c r="E82" s="74">
        <f>SUM(E72:E81)+E16+E24+E29+E36+E43+E45+E47+E49+E51+E56+E61+E66</f>
        <v>-3554506.9594850745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74">
        <f>SUM(I72:I81)+I16+I24+I29+I36+I43+I45+I47+I49+I51+I56+I61+I66</f>
        <v>-3554506.9594850745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-3554506.9594850745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</f>
        <v>-3554506.9594850745</v>
      </c>
      <c r="M84" s="45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A65" zoomScale="75" workbookViewId="0">
      <selection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'SE-EGM-FLSH'!D11+'SE-LRC-FLSH'!D11+'NE-FLSH'!D11+BGC_FLSH!D11</f>
        <v>122285288</v>
      </c>
      <c r="E11" s="66">
        <f>'SE-EGM-FLSH'!E11+'SE-LRC-FLSH'!E11+'NE-FLSH'!E11+BGC_FLSH!E11</f>
        <v>200555997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122285288</v>
      </c>
      <c r="I11" s="66">
        <f>'SE-EGM-FLSH'!I11+'SE-LRC-FLSH'!I11+'NE-FLSH'!I11+BGC_FLSH!I11</f>
        <v>200555997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122285288</v>
      </c>
      <c r="M11" s="38">
        <f t="shared" si="0"/>
        <v>200555997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'SE-EGM-FLSH'!D13+'SE-LRC-FLSH'!D13+'NE-FLSH'!D13+BGC_FLSH!D13</f>
        <v>88090702</v>
      </c>
      <c r="E13" s="66">
        <f>'SE-EGM-FLSH'!E13+'SE-LRC-FLSH'!E13+'NE-FLSH'!E13+BGC_FLSH!E13</f>
        <v>163720104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88090702</v>
      </c>
      <c r="I13" s="66">
        <f>'SE-EGM-FLSH'!I13+'SE-LRC-FLSH'!I13+'NE-FLSH'!I13+BGC_FLSH!I13</f>
        <v>163720104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88090702</v>
      </c>
      <c r="M13" s="38">
        <f t="shared" si="0"/>
        <v>163720104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-73636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-73636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-73636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210375990</v>
      </c>
      <c r="E16" s="39">
        <f>SUM(E11:E15)</f>
        <v>364202465</v>
      </c>
      <c r="F16" s="61">
        <f t="shared" ref="F16:M16" si="2">SUM(F11:F15)</f>
        <v>0</v>
      </c>
      <c r="G16" s="39">
        <f t="shared" si="2"/>
        <v>0</v>
      </c>
      <c r="H16" s="61">
        <f>SUM(H11:H15)</f>
        <v>210375990</v>
      </c>
      <c r="I16" s="39">
        <f>SUM(I11:I15)</f>
        <v>364202465</v>
      </c>
      <c r="J16" s="61">
        <f t="shared" si="2"/>
        <v>0</v>
      </c>
      <c r="K16" s="39">
        <f t="shared" si="2"/>
        <v>0</v>
      </c>
      <c r="L16" s="61">
        <f t="shared" si="2"/>
        <v>210375990</v>
      </c>
      <c r="M16" s="39">
        <f t="shared" si="2"/>
        <v>364202465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'SE-EGM-FLSH'!D19+'SE-LRC-FLSH'!D19+'NE-FLSH'!D19+BGC_FLSH!D19</f>
        <v>-120148388</v>
      </c>
      <c r="E19" s="66">
        <f>'SE-EGM-FLSH'!E19+'SE-LRC-FLSH'!E19+'NE-FLSH'!E19+BGC_FLSH!E19</f>
        <v>-196235349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-120148388</v>
      </c>
      <c r="I19" s="66">
        <f>'SE-EGM-FLSH'!I19+'SE-LRC-FLSH'!I19+'NE-FLSH'!I19+BGC_FLSH!I19</f>
        <v>-196235349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-120148388</v>
      </c>
      <c r="M19" s="38">
        <f t="shared" si="3"/>
        <v>-196235349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'SE-EGM-FLSH'!D21+'SE-LRC-FLSH'!D21+'NE-FLSH'!D21+BGC_FLSH!D21</f>
        <v>-87638738</v>
      </c>
      <c r="E21" s="66">
        <f>'SE-EGM-FLSH'!E21+'SE-LRC-FLSH'!E21+'NE-FLSH'!E21+BGC_FLSH!E21</f>
        <v>-163816870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-87638738</v>
      </c>
      <c r="I21" s="66">
        <f>'SE-EGM-FLSH'!I21+'SE-LRC-FLSH'!I21+'NE-FLSH'!I21+BGC_FLSH!I21</f>
        <v>-163816870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-87638738</v>
      </c>
      <c r="M21" s="38">
        <f t="shared" si="3"/>
        <v>-163816870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'SE-EGM-FLSH'!D23+'SE-LRC-FLSH'!D23+'NE-FLSH'!D23+BGC_FLSH!D23</f>
        <v>1167941</v>
      </c>
      <c r="E23" s="66">
        <f>'SE-EGM-FLSH'!E23+'SE-LRC-FLSH'!E23+'NE-FLSH'!E23+BGC_FLSH!E23</f>
        <v>2104698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1167941</v>
      </c>
      <c r="I23" s="66">
        <f>'SE-EGM-FLSH'!I23+'SE-LRC-FLSH'!I23+'NE-FLSH'!I23+BGC_FLSH!I23</f>
        <v>2104698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1167941</v>
      </c>
      <c r="M23" s="38">
        <f t="shared" si="3"/>
        <v>2104698</v>
      </c>
    </row>
    <row r="24" spans="1:13" x14ac:dyDescent="0.2">
      <c r="A24" s="9"/>
      <c r="B24" s="7" t="s">
        <v>37</v>
      </c>
      <c r="C24" s="6"/>
      <c r="D24" s="61">
        <f>SUM(D19:D23)</f>
        <v>-206619185</v>
      </c>
      <c r="E24" s="39">
        <f>SUM(E19:E23)</f>
        <v>-357947521</v>
      </c>
      <c r="F24" s="61">
        <f t="shared" ref="F24:M24" si="5">SUM(F19:F23)</f>
        <v>0</v>
      </c>
      <c r="G24" s="39">
        <f t="shared" si="5"/>
        <v>0</v>
      </c>
      <c r="H24" s="61">
        <f>SUM(H19:H23)</f>
        <v>-206619185</v>
      </c>
      <c r="I24" s="39">
        <f>SUM(I19:I23)</f>
        <v>-357947521</v>
      </c>
      <c r="J24" s="61">
        <f t="shared" si="5"/>
        <v>0</v>
      </c>
      <c r="K24" s="39">
        <f t="shared" si="5"/>
        <v>0</v>
      </c>
      <c r="L24" s="61">
        <f t="shared" si="5"/>
        <v>-206619185</v>
      </c>
      <c r="M24" s="39">
        <f t="shared" si="5"/>
        <v>-357947521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'SE-EGM-FLSH'!D32+'SE-LRC-FLSH'!D32+'NE-FLSH'!D32+BGC_FLSH!D32</f>
        <v>527947</v>
      </c>
      <c r="E32" s="66">
        <f>'SE-EGM-FLSH'!E32+'SE-LRC-FLSH'!E32+'NE-FLSH'!E32+BGC_FLSH!E32</f>
        <v>917553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527947</v>
      </c>
      <c r="I32" s="66">
        <f>'SE-EGM-FLSH'!I32+'SE-LRC-FLSH'!I32+'NE-FLSH'!I32+BGC_FLSH!I32</f>
        <v>917553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527947</v>
      </c>
      <c r="M32" s="38">
        <f t="shared" si="7"/>
        <v>917553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'SE-EGM-FLSH'!D33+'SE-LRC-FLSH'!D33+'NE-FLSH'!D33+BGC_FLSH!D33</f>
        <v>-417247</v>
      </c>
      <c r="E33" s="66">
        <f>'SE-EGM-FLSH'!E33+'SE-LRC-FLSH'!E33+'NE-FLSH'!E33+BGC_FLSH!E33</f>
        <v>-805403.31682523829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-417247</v>
      </c>
      <c r="I33" s="66">
        <f>'SE-EGM-FLSH'!I33+'SE-LRC-FLSH'!I33+'NE-FLSH'!I33+BGC_FLSH!I33</f>
        <v>-805403.31682523829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-417247</v>
      </c>
      <c r="M33" s="38">
        <f t="shared" si="7"/>
        <v>-805403.31682523829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'SE-EGM-FLSH'!D34+'SE-LRC-FLSH'!D34+'NE-FLSH'!D34+BGC_FLSH!D34</f>
        <v>511944</v>
      </c>
      <c r="E34" s="66">
        <f>'SE-EGM-FLSH'!E34+'SE-LRC-FLSH'!E34+'NE-FLSH'!E34+BGC_FLSH!E34</f>
        <v>899915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511944</v>
      </c>
      <c r="I34" s="66">
        <f>'SE-EGM-FLSH'!I34+'SE-LRC-FLSH'!I34+'NE-FLSH'!I34+BGC_FLSH!I34</f>
        <v>899915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511944</v>
      </c>
      <c r="M34" s="38">
        <f t="shared" si="7"/>
        <v>899915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'SE-EGM-FLSH'!D35+'SE-LRC-FLSH'!D35+'NE-FLSH'!D35+BGC_FLSH!D35</f>
        <v>-751562</v>
      </c>
      <c r="E35" s="66">
        <f>'SE-EGM-FLSH'!E35+'SE-LRC-FLSH'!E35+'NE-FLSH'!E35+BGC_FLSH!E35</f>
        <v>-1330601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-751562</v>
      </c>
      <c r="I35" s="66">
        <f>'SE-EGM-FLSH'!I35+'SE-LRC-FLSH'!I35+'NE-FLSH'!I35+BGC_FLSH!I35</f>
        <v>-1330601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-751562</v>
      </c>
      <c r="M35" s="38">
        <f t="shared" si="7"/>
        <v>-1330601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-128918</v>
      </c>
      <c r="E36" s="39">
        <f t="shared" si="9"/>
        <v>-318536.31682523829</v>
      </c>
      <c r="F36" s="61">
        <f t="shared" si="9"/>
        <v>0</v>
      </c>
      <c r="G36" s="39">
        <f t="shared" si="9"/>
        <v>0</v>
      </c>
      <c r="H36" s="61">
        <f t="shared" si="9"/>
        <v>-128918</v>
      </c>
      <c r="I36" s="39">
        <f t="shared" si="9"/>
        <v>-318536.31682523829</v>
      </c>
      <c r="J36" s="61">
        <f>SUM(J32:J34)</f>
        <v>0</v>
      </c>
      <c r="K36" s="39">
        <f>SUM(K32:K34)</f>
        <v>0</v>
      </c>
      <c r="L36" s="61">
        <f>SUM(L32:L35)</f>
        <v>-128918</v>
      </c>
      <c r="M36" s="39">
        <f>SUM(M32:M35)</f>
        <v>-318536.31682523829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'SE-EGM-FLSH'!D39+'SE-LRC-FLSH'!D39+'NE-FLSH'!D39+BGC_FLSH!D39</f>
        <v>2909268</v>
      </c>
      <c r="E39" s="66">
        <f>'SE-EGM-FLSH'!E39+'SE-LRC-FLSH'!E39+'NE-FLSH'!E39+BGC_FLSH!E39</f>
        <v>4892357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2909268</v>
      </c>
      <c r="I39" s="66">
        <f>'SE-EGM-FLSH'!I39+'SE-LRC-FLSH'!I39+'NE-FLSH'!I39+BGC_FLSH!I39</f>
        <v>4892357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2909268</v>
      </c>
      <c r="M39" s="38">
        <f t="shared" si="11"/>
        <v>4892357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'SE-EGM-FLSH'!D40+'SE-LRC-FLSH'!D40+'NE-FLSH'!D40+BGC_FLSH!D40</f>
        <v>-6537155</v>
      </c>
      <c r="E40" s="66">
        <f>'SE-EGM-FLSH'!E40+'SE-LRC-FLSH'!E40+'NE-FLSH'!E40+BGC_FLSH!E40</f>
        <v>-4322847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-6537155</v>
      </c>
      <c r="I40" s="66">
        <f>'SE-EGM-FLSH'!I40+'SE-LRC-FLSH'!I40+'NE-FLSH'!I40+BGC_FLSH!I40</f>
        <v>-4322847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-6537155</v>
      </c>
      <c r="M40" s="38">
        <f t="shared" si="11"/>
        <v>-4322847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-6537155</v>
      </c>
      <c r="E42" s="39">
        <f>SUM(E40:E41)</f>
        <v>-4322847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-6537155</v>
      </c>
      <c r="I42" s="39">
        <f>SUM(I40:I41)</f>
        <v>-4322847</v>
      </c>
      <c r="J42" s="61">
        <f t="shared" si="12"/>
        <v>0</v>
      </c>
      <c r="K42" s="39">
        <f t="shared" si="12"/>
        <v>0</v>
      </c>
      <c r="L42" s="61">
        <f t="shared" si="12"/>
        <v>-6537155</v>
      </c>
      <c r="M42" s="39">
        <f t="shared" si="12"/>
        <v>-4322847</v>
      </c>
    </row>
    <row r="43" spans="1:13" ht="21" customHeight="1" x14ac:dyDescent="0.2">
      <c r="A43" s="9"/>
      <c r="B43" s="7" t="s">
        <v>53</v>
      </c>
      <c r="C43" s="6"/>
      <c r="D43" s="61">
        <f>D42+D39</f>
        <v>-3627887</v>
      </c>
      <c r="E43" s="39">
        <f>E42+E39</f>
        <v>569510</v>
      </c>
      <c r="F43" s="61">
        <f t="shared" ref="F43:M43" si="13">F42+F39</f>
        <v>0</v>
      </c>
      <c r="G43" s="39">
        <f t="shared" si="13"/>
        <v>0</v>
      </c>
      <c r="H43" s="61">
        <f>H42+H39</f>
        <v>-3627887</v>
      </c>
      <c r="I43" s="39">
        <f>I42+I39</f>
        <v>569510</v>
      </c>
      <c r="J43" s="61">
        <f t="shared" si="13"/>
        <v>0</v>
      </c>
      <c r="K43" s="39">
        <f t="shared" si="13"/>
        <v>0</v>
      </c>
      <c r="L43" s="61">
        <f t="shared" si="13"/>
        <v>-3627887</v>
      </c>
      <c r="M43" s="39">
        <f t="shared" si="13"/>
        <v>569510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'SE-EGM-FLSH'!D51+'SE-LRC-FLSH'!D51+'NE-FLSH'!D51+BGC_FLSH!D51</f>
        <v>-1167941</v>
      </c>
      <c r="E51" s="66">
        <f>'SE-EGM-FLSH'!E51+'SE-LRC-FLSH'!E51+'NE-FLSH'!E51+BGC_FLSH!E51</f>
        <v>-2104698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-1167941</v>
      </c>
      <c r="I51" s="66">
        <f>'SE-EGM-FLSH'!I51+'SE-LRC-FLSH'!I51+'NE-FLSH'!I51+BGC_FLSH!I51</f>
        <v>-2104698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-1167941</v>
      </c>
      <c r="M51" s="38">
        <f>I51+K51</f>
        <v>-2104698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-1688878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-1688878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-1688878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-13274658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-13274658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-13274658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-14963536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-14963536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-14963536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163760.72419047618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163760.72419047618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163760.72419047618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163760.72419047618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163760.72419047618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163760.72419047618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6061805.5833007991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6061805.5833007991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6061805.5833007991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6895881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6895881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6895881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12957686.583300799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12957686.583300799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12957686.583300799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-15561495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-15561495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-15561495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165980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165980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165980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-27985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-27985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-27985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-1271726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-1271726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-1271726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25066.445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25066.445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25066.445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12767106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12767106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12767106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109984.08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109984.08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109984.08</v>
      </c>
    </row>
    <row r="81" spans="1:67" x14ac:dyDescent="0.2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-1713690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-1713690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-1713690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-2947628.4843339575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-2947628.4843339575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-2947628.4843339575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+'SE-LRC-FLSH'!E82+'SE-EGM-FLSH'!E82+'NE-FLSH'!E82+BGC_FLSH!E82</f>
        <v>-2947628.4843339394</v>
      </c>
      <c r="G84" s="31">
        <f>+'SE-LRC-FLSH'!G82+'SE-EGM-FLSH'!G82+'NE-FLSH'!G82+BGC_FLSH!G82</f>
        <v>0</v>
      </c>
      <c r="I84" s="31">
        <f>+'SE-LRC-FLSH'!I82+'SE-EGM-FLSH'!I82+'NE-FLSH'!I82+BGC_FLSH!I82</f>
        <v>-2947628.4843339394</v>
      </c>
      <c r="K84" s="31">
        <f>+'SE-LRC-FLSH'!K82+'SE-EGM-FLSH'!K82+'NE-FLSH'!K82+BGC_FLSH!K82</f>
        <v>0</v>
      </c>
      <c r="M84" s="31">
        <f>+'SE-LRC-FLSH'!M82+'SE-EGM-FLSH'!M82+'NE-FLSH'!M82+BGC_FLSH!M82</f>
        <v>-2947628.4843339394</v>
      </c>
    </row>
    <row r="85" spans="1:67" x14ac:dyDescent="0.2">
      <c r="A85" s="4" t="s">
        <v>194</v>
      </c>
      <c r="B85" s="3"/>
      <c r="K85" s="45"/>
    </row>
    <row r="86" spans="1:67" s="3" customFormat="1" x14ac:dyDescent="0.2">
      <c r="A86" s="182"/>
      <c r="C86" s="10" t="s">
        <v>191</v>
      </c>
      <c r="D86" s="168">
        <f>'SE-EGM-FLSH'!D86+'SE-LRC-FLSH'!D86+'NE-FLSH'!D86+BGC_FLSH!D86</f>
        <v>0</v>
      </c>
      <c r="E86" s="168">
        <f>'SE-EGM-FLSH'!E86+'SE-LRC-FLSH'!E86+'NE-FLSH'!E86+BGC_FLSH!E86</f>
        <v>4377</v>
      </c>
      <c r="F86" s="168">
        <f t="shared" ref="F86:G88" si="20">H86-D86</f>
        <v>0</v>
      </c>
      <c r="G86" s="168">
        <f t="shared" si="20"/>
        <v>0</v>
      </c>
      <c r="H86" s="168">
        <f>'SE-EGM-FLSH'!H86+'SE-LRC-FLSH'!H86+'NE-FLSH'!H86+BGC_FLSH!H86</f>
        <v>0</v>
      </c>
      <c r="I86" s="168">
        <f>'SE-EGM-FLSH'!I86+'SE-LRC-FLSH'!I86+'NE-FLSH'!I86+BGC_FLSH!I86</f>
        <v>4377</v>
      </c>
      <c r="J86" s="168">
        <f>'SE-EGM-FLSH'!J86+'SE-LRC-FLSH'!J86</f>
        <v>0</v>
      </c>
      <c r="K86" s="168">
        <f>'SE-EGM-FLSH'!K86+'SE-LRC-FLSH'!K86</f>
        <v>0</v>
      </c>
      <c r="L86" s="168">
        <f t="shared" ref="L86:M88" si="21">H86+J86</f>
        <v>0</v>
      </c>
      <c r="M86" s="168">
        <f t="shared" si="21"/>
        <v>4377</v>
      </c>
    </row>
    <row r="87" spans="1:67" s="3" customFormat="1" x14ac:dyDescent="0.2">
      <c r="A87" s="182"/>
      <c r="C87" s="10" t="s">
        <v>75</v>
      </c>
      <c r="D87" s="169">
        <f>'SE-EGM-FLSH'!D87+'SE-LRC-FLSH'!D87+'NE-FLSH'!D87+BGC_FLSH!D87</f>
        <v>0</v>
      </c>
      <c r="E87" s="169">
        <f>'SE-EGM-FLSH'!E87+'SE-LRC-FLSH'!E87+'NE-FLSH'!E87+BGC_FLSH!E87</f>
        <v>0</v>
      </c>
      <c r="F87" s="169">
        <f t="shared" si="20"/>
        <v>0</v>
      </c>
      <c r="G87" s="169">
        <f t="shared" si="20"/>
        <v>0</v>
      </c>
      <c r="H87" s="169">
        <f>'SE-EGM-FLSH'!H87+'SE-LRC-FLSH'!H87+'NE-FLSH'!H87+BGC_FLSH!H87</f>
        <v>0</v>
      </c>
      <c r="I87" s="169">
        <f>'SE-EGM-FLSH'!I87+'SE-LRC-FLSH'!I87+'NE-FLSH'!I87+BGC_FLSH!I87</f>
        <v>0</v>
      </c>
      <c r="J87" s="169">
        <f>'SE-EGM-FLSH'!J87+'SE-LRC-FLSH'!J87</f>
        <v>0</v>
      </c>
      <c r="K87" s="169">
        <f>'SE-EGM-FLSH'!K87+'SE-LRC-FLSH'!K87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2"/>
      <c r="C88" s="10" t="s">
        <v>76</v>
      </c>
      <c r="D88" s="170">
        <f>'SE-EGM-FLSH'!D88+'SE-LRC-FLSH'!D88+'NE-FLSH'!D88+BGC_FLSH!D88</f>
        <v>0</v>
      </c>
      <c r="E88" s="170">
        <f>'SE-EGM-FLSH'!E88+'SE-LRC-FLSH'!E88+'NE-FLSH'!E88+BGC_FLSH!E88</f>
        <v>0</v>
      </c>
      <c r="F88" s="170">
        <f t="shared" si="20"/>
        <v>0</v>
      </c>
      <c r="G88" s="170">
        <f t="shared" si="20"/>
        <v>0</v>
      </c>
      <c r="H88" s="170">
        <f>'SE-EGM-FLSH'!H88+'SE-LRC-FLSH'!H88+'NE-FLSH'!H88+BGC_FLSH!H88</f>
        <v>0</v>
      </c>
      <c r="I88" s="170">
        <f>'SE-EGM-FLSH'!I88+'SE-LRC-FLSH'!I88+'NE-FLSH'!I88+BGC_FLSH!I88</f>
        <v>0</v>
      </c>
      <c r="J88" s="170">
        <f>'SE-EGM-FLSH'!J88+'SE-LRC-FLSH'!J88</f>
        <v>0</v>
      </c>
      <c r="K88" s="170">
        <f>'SE-EGM-FLSH'!K88+'SE-LRC-FLSH'!K88</f>
        <v>0</v>
      </c>
      <c r="L88" s="170">
        <f t="shared" si="21"/>
        <v>0</v>
      </c>
      <c r="M88" s="170">
        <f t="shared" si="21"/>
        <v>0</v>
      </c>
    </row>
    <row r="89" spans="1:67" s="44" customFormat="1" ht="20.25" customHeight="1" x14ac:dyDescent="0.2">
      <c r="A89" s="191"/>
      <c r="B89" s="192"/>
      <c r="C89" s="193" t="s">
        <v>192</v>
      </c>
      <c r="D89" s="194">
        <f>SUM(D86:D88)</f>
        <v>0</v>
      </c>
      <c r="E89" s="194">
        <f t="shared" ref="E89:M89" si="22">SUM(E86:E88)</f>
        <v>4377</v>
      </c>
      <c r="F89" s="194">
        <f t="shared" si="22"/>
        <v>0</v>
      </c>
      <c r="G89" s="194">
        <f t="shared" si="22"/>
        <v>0</v>
      </c>
      <c r="H89" s="194">
        <f t="shared" si="22"/>
        <v>0</v>
      </c>
      <c r="I89" s="194">
        <f t="shared" si="22"/>
        <v>4377</v>
      </c>
      <c r="J89" s="194">
        <f t="shared" si="22"/>
        <v>0</v>
      </c>
      <c r="K89" s="194">
        <f t="shared" si="22"/>
        <v>0</v>
      </c>
      <c r="L89" s="194">
        <f t="shared" si="22"/>
        <v>0</v>
      </c>
      <c r="M89" s="194">
        <f t="shared" si="22"/>
        <v>4377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4">
        <f>+D82+D89</f>
        <v>0</v>
      </c>
      <c r="E91" s="194">
        <f t="shared" ref="E91:M91" si="23">+E82+E89</f>
        <v>-2943251.4843339575</v>
      </c>
      <c r="F91" s="194">
        <f t="shared" si="23"/>
        <v>0</v>
      </c>
      <c r="G91" s="194">
        <f t="shared" si="23"/>
        <v>0</v>
      </c>
      <c r="H91" s="194">
        <f t="shared" si="23"/>
        <v>0</v>
      </c>
      <c r="I91" s="194">
        <f t="shared" si="23"/>
        <v>-2943251.4843339575</v>
      </c>
      <c r="J91" s="194">
        <f t="shared" si="23"/>
        <v>0</v>
      </c>
      <c r="K91" s="194">
        <f t="shared" si="23"/>
        <v>0</v>
      </c>
      <c r="L91" s="194">
        <f t="shared" si="23"/>
        <v>0</v>
      </c>
      <c r="M91" s="194">
        <f t="shared" si="23"/>
        <v>-2943251.4843339575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4" sqref="E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31380295</v>
      </c>
      <c r="E11" s="38">
        <v>51074660.93</v>
      </c>
      <c r="F11" s="65">
        <f>H11-D11</f>
        <v>0</v>
      </c>
      <c r="G11" s="63">
        <f>I11-E11</f>
        <v>0</v>
      </c>
      <c r="H11" s="65">
        <f>D11</f>
        <v>31380295</v>
      </c>
      <c r="I11" s="66">
        <f>E11</f>
        <v>51074660.93</v>
      </c>
      <c r="J11" s="60"/>
      <c r="K11" s="38"/>
      <c r="L11" s="60">
        <f t="shared" ref="L11:M15" si="0">H11+J11</f>
        <v>31380295</v>
      </c>
      <c r="M11" s="38">
        <f t="shared" si="0"/>
        <v>51074660.93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4233712</v>
      </c>
      <c r="E13" s="38">
        <v>7481059.0800000001</v>
      </c>
      <c r="F13" s="65">
        <f t="shared" si="1"/>
        <v>0</v>
      </c>
      <c r="G13" s="63">
        <f t="shared" si="1"/>
        <v>0</v>
      </c>
      <c r="H13" s="65">
        <f t="shared" si="2"/>
        <v>4233712</v>
      </c>
      <c r="I13" s="66">
        <f t="shared" si="2"/>
        <v>7481059.0800000001</v>
      </c>
      <c r="J13" s="60"/>
      <c r="K13" s="38"/>
      <c r="L13" s="60">
        <f t="shared" si="0"/>
        <v>4233712</v>
      </c>
      <c r="M13" s="38">
        <f t="shared" si="0"/>
        <v>7481059.0800000001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35614007</v>
      </c>
      <c r="E16" s="39">
        <v>58555720.009999998</v>
      </c>
      <c r="F16" s="61">
        <f t="shared" ref="F16:M16" si="3">SUM(F11:F15)</f>
        <v>0</v>
      </c>
      <c r="G16" s="39">
        <f t="shared" si="3"/>
        <v>0</v>
      </c>
      <c r="H16" s="61">
        <f>SUM(H11:H15)</f>
        <v>35614007</v>
      </c>
      <c r="I16" s="39">
        <f>SUM(I11:I15)</f>
        <v>58555720.009999998</v>
      </c>
      <c r="J16" s="61">
        <f t="shared" si="3"/>
        <v>0</v>
      </c>
      <c r="K16" s="39">
        <f t="shared" si="3"/>
        <v>0</v>
      </c>
      <c r="L16" s="61">
        <f t="shared" si="3"/>
        <v>35614007</v>
      </c>
      <c r="M16" s="39">
        <f t="shared" si="3"/>
        <v>58555720.009999998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-32360163</v>
      </c>
      <c r="E19" s="38">
        <v>-50963686.001299992</v>
      </c>
      <c r="F19" s="65">
        <f>H19-D19</f>
        <v>0</v>
      </c>
      <c r="G19" s="63">
        <f>I19-E19</f>
        <v>0</v>
      </c>
      <c r="H19" s="65">
        <f t="shared" si="4"/>
        <v>-32360163</v>
      </c>
      <c r="I19" s="66">
        <f t="shared" si="4"/>
        <v>-50963686.001299992</v>
      </c>
      <c r="J19" s="60"/>
      <c r="K19" s="38"/>
      <c r="L19" s="60">
        <f t="shared" ref="L19:M23" si="5">H19+J19</f>
        <v>-32360163</v>
      </c>
      <c r="M19" s="38">
        <f t="shared" si="5"/>
        <v>-50963686.001299992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-4216311</v>
      </c>
      <c r="E21" s="38">
        <v>-7366436.4400000004</v>
      </c>
      <c r="F21" s="65">
        <f t="shared" si="6"/>
        <v>0</v>
      </c>
      <c r="G21" s="63">
        <f t="shared" si="6"/>
        <v>0</v>
      </c>
      <c r="H21" s="65">
        <f t="shared" si="4"/>
        <v>-4216311</v>
      </c>
      <c r="I21" s="66">
        <f t="shared" si="4"/>
        <v>-7366436.4400000004</v>
      </c>
      <c r="J21" s="60"/>
      <c r="K21" s="38"/>
      <c r="L21" s="60">
        <f t="shared" si="5"/>
        <v>-4216311</v>
      </c>
      <c r="M21" s="38">
        <f t="shared" si="5"/>
        <v>-7366436.4400000004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668</v>
      </c>
      <c r="E23" s="38">
        <v>1138.46</v>
      </c>
      <c r="F23" s="65">
        <f t="shared" si="6"/>
        <v>0</v>
      </c>
      <c r="G23" s="63">
        <f t="shared" si="6"/>
        <v>0</v>
      </c>
      <c r="H23" s="65">
        <f t="shared" si="4"/>
        <v>668</v>
      </c>
      <c r="I23" s="66">
        <f t="shared" si="4"/>
        <v>1138.46</v>
      </c>
      <c r="J23" s="60"/>
      <c r="K23" s="38"/>
      <c r="L23" s="60">
        <f t="shared" si="5"/>
        <v>668</v>
      </c>
      <c r="M23" s="38">
        <f t="shared" si="5"/>
        <v>1138.46</v>
      </c>
    </row>
    <row r="24" spans="1:13" x14ac:dyDescent="0.2">
      <c r="A24" s="9"/>
      <c r="B24" s="7" t="s">
        <v>37</v>
      </c>
      <c r="C24" s="6"/>
      <c r="D24" s="61">
        <v>-36575806</v>
      </c>
      <c r="E24" s="39">
        <v>-58328983.981299989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-36575806</v>
      </c>
      <c r="I24" s="39">
        <f>SUM(I19:I23)</f>
        <v>-58328983.981299989</v>
      </c>
      <c r="J24" s="61">
        <f t="shared" si="7"/>
        <v>0</v>
      </c>
      <c r="K24" s="39">
        <f t="shared" si="7"/>
        <v>0</v>
      </c>
      <c r="L24" s="61">
        <f t="shared" si="7"/>
        <v>-36575806</v>
      </c>
      <c r="M24" s="39">
        <f t="shared" si="7"/>
        <v>-58328983.981299989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32125532</v>
      </c>
      <c r="E27" s="38">
        <v>54612316.879999995</v>
      </c>
      <c r="F27" s="65">
        <f>H27-D27</f>
        <v>0</v>
      </c>
      <c r="G27" s="63">
        <f>I27-E27</f>
        <v>0</v>
      </c>
      <c r="H27" s="65">
        <f>D27</f>
        <v>32125532</v>
      </c>
      <c r="I27" s="66">
        <f>E27</f>
        <v>54612316.879999995</v>
      </c>
      <c r="J27" s="60"/>
      <c r="K27" s="38"/>
      <c r="L27" s="60">
        <f>H27+J27</f>
        <v>32125532</v>
      </c>
      <c r="M27" s="38">
        <f>I27+K27</f>
        <v>54612316.879999995</v>
      </c>
    </row>
    <row r="28" spans="1:13" x14ac:dyDescent="0.2">
      <c r="A28" s="9">
        <v>12</v>
      </c>
      <c r="B28" s="7"/>
      <c r="C28" s="18" t="s">
        <v>40</v>
      </c>
      <c r="D28" s="60">
        <v>-30941648</v>
      </c>
      <c r="E28" s="38">
        <v>-53562657.949999996</v>
      </c>
      <c r="F28" s="65">
        <f>H28-D28</f>
        <v>0</v>
      </c>
      <c r="G28" s="63">
        <f>I28-E28</f>
        <v>0</v>
      </c>
      <c r="H28" s="65">
        <f>D28</f>
        <v>-30941648</v>
      </c>
      <c r="I28" s="66">
        <f>E28</f>
        <v>-53562657.949999996</v>
      </c>
      <c r="J28" s="60"/>
      <c r="K28" s="38"/>
      <c r="L28" s="60">
        <f>H28+J28</f>
        <v>-30941648</v>
      </c>
      <c r="M28" s="38">
        <f>I28+K28</f>
        <v>-53562657.949999996</v>
      </c>
    </row>
    <row r="29" spans="1:13" x14ac:dyDescent="0.2">
      <c r="A29" s="9"/>
      <c r="B29" s="7" t="s">
        <v>41</v>
      </c>
      <c r="C29" s="6"/>
      <c r="D29" s="61">
        <v>1183884</v>
      </c>
      <c r="E29" s="39">
        <v>1049658.93</v>
      </c>
      <c r="F29" s="61">
        <f t="shared" ref="F29:M29" si="8">SUM(F27:F28)</f>
        <v>0</v>
      </c>
      <c r="G29" s="39">
        <f t="shared" si="8"/>
        <v>0</v>
      </c>
      <c r="H29" s="61">
        <f>SUM(H27:H28)</f>
        <v>1183884</v>
      </c>
      <c r="I29" s="39">
        <f>SUM(I27:I28)</f>
        <v>1049658.9299999997</v>
      </c>
      <c r="J29" s="61">
        <f t="shared" si="8"/>
        <v>0</v>
      </c>
      <c r="K29" s="39">
        <f t="shared" si="8"/>
        <v>0</v>
      </c>
      <c r="L29" s="61">
        <f t="shared" si="8"/>
        <v>1183884</v>
      </c>
      <c r="M29" s="39">
        <f t="shared" si="8"/>
        <v>1049658.9299999997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4706694</v>
      </c>
      <c r="E33" s="38">
        <v>8079290.7541920207</v>
      </c>
      <c r="F33" s="65">
        <f t="shared" ref="F33:G35" si="11">H33-D33</f>
        <v>0</v>
      </c>
      <c r="G33" s="63">
        <f t="shared" si="11"/>
        <v>0</v>
      </c>
      <c r="H33" s="65">
        <f t="shared" si="9"/>
        <v>4706694</v>
      </c>
      <c r="I33" s="66">
        <f t="shared" si="9"/>
        <v>8079290.7541920207</v>
      </c>
      <c r="J33" s="60"/>
      <c r="K33" s="38"/>
      <c r="L33" s="60">
        <f t="shared" si="10"/>
        <v>4706694</v>
      </c>
      <c r="M33" s="38">
        <f t="shared" si="10"/>
        <v>8079290.7541920207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4706694</v>
      </c>
      <c r="E36" s="39">
        <v>8079290.7541920207</v>
      </c>
      <c r="F36" s="61">
        <f>SUM(F32:F35)</f>
        <v>0</v>
      </c>
      <c r="G36" s="39">
        <f>SUM(G32:G35)</f>
        <v>0</v>
      </c>
      <c r="H36" s="61">
        <f>SUM(H32:H35)</f>
        <v>4706694</v>
      </c>
      <c r="I36" s="39">
        <f>SUM(I32:I35)</f>
        <v>8079290.7541920207</v>
      </c>
      <c r="J36" s="61">
        <f>SUM(J32:J34)</f>
        <v>0</v>
      </c>
      <c r="K36" s="39">
        <f>SUM(K32:K34)</f>
        <v>0</v>
      </c>
      <c r="L36" s="61">
        <f>SUM(L32:L35)</f>
        <v>4706694</v>
      </c>
      <c r="M36" s="39">
        <f>SUM(M32:M35)</f>
        <v>8079290.7541920207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994162</v>
      </c>
      <c r="E39" s="38">
        <v>1829413.25</v>
      </c>
      <c r="F39" s="65">
        <f t="shared" ref="F39:G41" si="13">H39-D39</f>
        <v>0</v>
      </c>
      <c r="G39" s="63">
        <f t="shared" si="13"/>
        <v>0</v>
      </c>
      <c r="H39" s="65">
        <f t="shared" si="12"/>
        <v>994162</v>
      </c>
      <c r="I39" s="66">
        <f t="shared" si="12"/>
        <v>1829413.25</v>
      </c>
      <c r="J39" s="60"/>
      <c r="K39" s="38"/>
      <c r="L39" s="60">
        <f t="shared" ref="L39:M41" si="14">H39+J39</f>
        <v>994162</v>
      </c>
      <c r="M39" s="38">
        <f t="shared" si="14"/>
        <v>1829413.25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-5922941</v>
      </c>
      <c r="E40" s="38">
        <v>-10961586.9087</v>
      </c>
      <c r="F40" s="65">
        <f t="shared" si="13"/>
        <v>0</v>
      </c>
      <c r="G40" s="63">
        <f t="shared" si="13"/>
        <v>0</v>
      </c>
      <c r="H40" s="65">
        <f t="shared" si="12"/>
        <v>-5922941</v>
      </c>
      <c r="I40" s="66">
        <f t="shared" si="12"/>
        <v>-10961586.9087</v>
      </c>
      <c r="J40" s="60"/>
      <c r="K40" s="38"/>
      <c r="L40" s="60">
        <f t="shared" si="14"/>
        <v>-5922941</v>
      </c>
      <c r="M40" s="38">
        <f t="shared" si="14"/>
        <v>-10961586.9087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-5922941</v>
      </c>
      <c r="E42" s="39">
        <v>-10961586.9087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-5922941</v>
      </c>
      <c r="I42" s="39">
        <f>SUM(I40:I41)</f>
        <v>-10961586.9087</v>
      </c>
      <c r="J42" s="61">
        <f t="shared" si="15"/>
        <v>0</v>
      </c>
      <c r="K42" s="39">
        <f t="shared" si="15"/>
        <v>0</v>
      </c>
      <c r="L42" s="69">
        <f t="shared" si="15"/>
        <v>-5922941</v>
      </c>
      <c r="M42" s="70">
        <f t="shared" si="15"/>
        <v>-10961586.9087</v>
      </c>
    </row>
    <row r="43" spans="1:13" ht="21" customHeight="1" x14ac:dyDescent="0.2">
      <c r="A43" s="9"/>
      <c r="B43" s="7" t="s">
        <v>53</v>
      </c>
      <c r="C43" s="6"/>
      <c r="D43" s="60">
        <v>-4928779</v>
      </c>
      <c r="E43" s="38">
        <v>-9132173.6587000005</v>
      </c>
      <c r="F43" s="61">
        <f t="shared" ref="F43:M43" si="16">F42+F39</f>
        <v>0</v>
      </c>
      <c r="G43" s="39">
        <f t="shared" si="16"/>
        <v>0</v>
      </c>
      <c r="H43" s="61">
        <f>H42+H39</f>
        <v>-4928779</v>
      </c>
      <c r="I43" s="39">
        <f>I42+I39</f>
        <v>-9132173.6587000005</v>
      </c>
      <c r="J43" s="61">
        <f t="shared" si="16"/>
        <v>0</v>
      </c>
      <c r="K43" s="39">
        <f t="shared" si="16"/>
        <v>0</v>
      </c>
      <c r="L43" s="61">
        <f t="shared" si="16"/>
        <v>-4928779</v>
      </c>
      <c r="M43" s="39">
        <f t="shared" si="16"/>
        <v>-9132173.6587000005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-668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-668</v>
      </c>
      <c r="I51" s="66">
        <f>E51</f>
        <v>-25000</v>
      </c>
      <c r="J51" s="60"/>
      <c r="K51" s="38"/>
      <c r="L51" s="60">
        <f>H51+J51</f>
        <v>-668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-803059.21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-803059.21</v>
      </c>
      <c r="J54" s="60"/>
      <c r="K54" s="38"/>
      <c r="L54" s="60">
        <f>H54+J54</f>
        <v>0</v>
      </c>
      <c r="M54" s="38">
        <f>I54+K54</f>
        <v>-803059.21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-803059.21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-803059.21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-803059.21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300495.52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300495.52</v>
      </c>
      <c r="J70" s="60"/>
      <c r="K70" s="38"/>
      <c r="L70" s="60">
        <f t="shared" si="20"/>
        <v>0</v>
      </c>
      <c r="M70" s="38">
        <f t="shared" si="20"/>
        <v>300495.52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-421545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-421545</v>
      </c>
      <c r="J71" s="60"/>
      <c r="K71" s="38"/>
      <c r="L71" s="60">
        <f t="shared" si="20"/>
        <v>0</v>
      </c>
      <c r="M71" s="38">
        <f t="shared" si="20"/>
        <v>-421545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-121049.48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-121049.47999999998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-121049.47999999998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1032373.95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1032373.95</v>
      </c>
      <c r="J74" s="60"/>
      <c r="K74" s="38"/>
      <c r="L74" s="60">
        <f t="shared" si="23"/>
        <v>0</v>
      </c>
      <c r="M74" s="38">
        <f t="shared" si="23"/>
        <v>1032373.95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1776930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1776930</v>
      </c>
      <c r="J75" s="60"/>
      <c r="K75" s="38"/>
      <c r="L75" s="60">
        <f t="shared" si="23"/>
        <v>0</v>
      </c>
      <c r="M75" s="38">
        <f t="shared" si="23"/>
        <v>1776930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-7855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-7855</v>
      </c>
      <c r="J76" s="60"/>
      <c r="K76" s="38"/>
      <c r="L76" s="60">
        <f t="shared" si="23"/>
        <v>0</v>
      </c>
      <c r="M76" s="38">
        <f t="shared" si="23"/>
        <v>-7855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-30000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-30000</v>
      </c>
      <c r="J77" s="60"/>
      <c r="K77" s="38"/>
      <c r="L77" s="60">
        <f t="shared" si="23"/>
        <v>0</v>
      </c>
      <c r="M77" s="38">
        <f t="shared" si="23"/>
        <v>-30000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892374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892374</v>
      </c>
      <c r="J81" s="60"/>
      <c r="K81" s="38"/>
      <c r="L81" s="60">
        <f t="shared" si="23"/>
        <v>0</v>
      </c>
      <c r="M81" s="38">
        <f t="shared" si="23"/>
        <v>892374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2938226.3141920278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2938226.3141920278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2938226.3141920278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189</v>
      </c>
      <c r="B85" s="3"/>
      <c r="M85" s="45">
        <f>M82+'[3]TX-HPL-FLSH'!M82</f>
        <v>2992005.3043041928</v>
      </c>
    </row>
    <row r="86" spans="1:67" s="3" customFormat="1" x14ac:dyDescent="0.2">
      <c r="A86" s="182"/>
      <c r="C86" s="10" t="s">
        <v>191</v>
      </c>
      <c r="D86" s="168">
        <v>0</v>
      </c>
      <c r="E86" s="168">
        <v>11696534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11696534</v>
      </c>
      <c r="J86" s="168"/>
      <c r="K86" s="168"/>
      <c r="L86" s="168">
        <f t="shared" ref="L86:M88" si="27">H86+J86</f>
        <v>0</v>
      </c>
      <c r="M86" s="168">
        <f t="shared" si="27"/>
        <v>11696534</v>
      </c>
    </row>
    <row r="87" spans="1:67" s="3" customFormat="1" x14ac:dyDescent="0.2">
      <c r="A87" s="182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">
      <c r="A88" s="182"/>
      <c r="C88" s="10" t="s">
        <v>76</v>
      </c>
      <c r="D88" s="170">
        <v>0</v>
      </c>
      <c r="E88" s="170">
        <v>-11438321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-11438321</v>
      </c>
      <c r="J88" s="170"/>
      <c r="K88" s="170"/>
      <c r="L88" s="170">
        <f t="shared" si="27"/>
        <v>0</v>
      </c>
      <c r="M88" s="170">
        <f t="shared" si="27"/>
        <v>-11438321</v>
      </c>
    </row>
    <row r="89" spans="1:67" s="44" customFormat="1" ht="20.25" customHeight="1" x14ac:dyDescent="0.2">
      <c r="A89" s="191"/>
      <c r="B89" s="192"/>
      <c r="C89" s="193" t="s">
        <v>192</v>
      </c>
      <c r="D89" s="195">
        <f>SUM(D86:D88)</f>
        <v>0</v>
      </c>
      <c r="E89" s="195">
        <f t="shared" ref="E89:M89" si="28">SUM(E86:E88)</f>
        <v>258213</v>
      </c>
      <c r="F89" s="195">
        <f t="shared" si="28"/>
        <v>0</v>
      </c>
      <c r="G89" s="195">
        <f t="shared" si="28"/>
        <v>0</v>
      </c>
      <c r="H89" s="195">
        <f t="shared" si="28"/>
        <v>0</v>
      </c>
      <c r="I89" s="195">
        <f t="shared" si="28"/>
        <v>258213</v>
      </c>
      <c r="J89" s="195">
        <f t="shared" si="28"/>
        <v>0</v>
      </c>
      <c r="K89" s="195">
        <f t="shared" si="28"/>
        <v>0</v>
      </c>
      <c r="L89" s="195">
        <f t="shared" si="28"/>
        <v>0</v>
      </c>
      <c r="M89" s="195">
        <f t="shared" si="28"/>
        <v>258213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5">
        <f>+D82+D89</f>
        <v>0</v>
      </c>
      <c r="E91" s="195">
        <f t="shared" ref="E91:M91" si="29">+E82+E89</f>
        <v>3196439.3141920278</v>
      </c>
      <c r="F91" s="195">
        <f t="shared" si="29"/>
        <v>0</v>
      </c>
      <c r="G91" s="195">
        <f t="shared" si="29"/>
        <v>0</v>
      </c>
      <c r="H91" s="195">
        <f t="shared" si="29"/>
        <v>0</v>
      </c>
      <c r="I91" s="195">
        <f t="shared" si="29"/>
        <v>3196439.3141920278</v>
      </c>
      <c r="J91" s="195">
        <f t="shared" si="29"/>
        <v>0</v>
      </c>
      <c r="K91" s="195">
        <f t="shared" si="29"/>
        <v>0</v>
      </c>
      <c r="L91" s="195">
        <f t="shared" si="29"/>
        <v>0</v>
      </c>
      <c r="M91" s="195">
        <f t="shared" si="29"/>
        <v>3196439.3141920278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K63" activePane="bottomRight" state="frozen"/>
      <selection activeCell="E14" sqref="E14"/>
      <selection pane="topRight" activeCell="E14" sqref="E14"/>
      <selection pane="bottomLeft" activeCell="E14" sqref="E14"/>
      <selection pane="bottomRight" activeCell="K63" sqref="K6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16975874</v>
      </c>
      <c r="E11" s="60">
        <v>27418103.07</v>
      </c>
      <c r="F11" s="60">
        <f>H11-D11</f>
        <v>0</v>
      </c>
      <c r="G11" s="37">
        <f>I11-E11</f>
        <v>0</v>
      </c>
      <c r="H11" s="65">
        <f>D11</f>
        <v>16975874</v>
      </c>
      <c r="I11" s="66">
        <f>E11</f>
        <v>27418103.07</v>
      </c>
      <c r="J11" s="60"/>
      <c r="K11" s="38"/>
      <c r="L11" s="60">
        <f t="shared" ref="L11:M15" si="0">H11+J11</f>
        <v>16975874</v>
      </c>
      <c r="M11" s="38">
        <f t="shared" si="0"/>
        <v>27418103.07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-2984498</v>
      </c>
      <c r="E13" s="60">
        <v>-5320357.08</v>
      </c>
      <c r="F13" s="60">
        <f t="shared" si="1"/>
        <v>0</v>
      </c>
      <c r="G13" s="37">
        <f t="shared" si="1"/>
        <v>0</v>
      </c>
      <c r="H13" s="65">
        <f t="shared" si="2"/>
        <v>-2984498</v>
      </c>
      <c r="I13" s="66">
        <f t="shared" si="2"/>
        <v>-5320357.08</v>
      </c>
      <c r="J13" s="60"/>
      <c r="K13" s="38"/>
      <c r="L13" s="60">
        <f t="shared" si="0"/>
        <v>-2984498</v>
      </c>
      <c r="M13" s="38">
        <f t="shared" si="0"/>
        <v>-5320357.08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v>13991376</v>
      </c>
      <c r="E16" s="39">
        <v>22217745.990000002</v>
      </c>
      <c r="F16" s="61">
        <f t="shared" ref="F16:M16" si="3">SUM(F11:F15)</f>
        <v>0</v>
      </c>
      <c r="G16" s="39">
        <f t="shared" si="3"/>
        <v>0</v>
      </c>
      <c r="H16" s="61">
        <f>SUM(H11:H15)</f>
        <v>13991376</v>
      </c>
      <c r="I16" s="39">
        <f>SUM(I11:I15)</f>
        <v>22217745.990000002</v>
      </c>
      <c r="J16" s="61">
        <f t="shared" si="3"/>
        <v>0</v>
      </c>
      <c r="K16" s="39">
        <f t="shared" si="3"/>
        <v>0</v>
      </c>
      <c r="L16" s="61">
        <f t="shared" si="3"/>
        <v>13991376</v>
      </c>
      <c r="M16" s="39">
        <f t="shared" si="3"/>
        <v>22217745.990000002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-12001040</v>
      </c>
      <c r="E19" s="60">
        <v>-20492160.998700008</v>
      </c>
      <c r="F19" s="60">
        <f>H19-D19</f>
        <v>0</v>
      </c>
      <c r="G19" s="37">
        <f>I19-E19</f>
        <v>0</v>
      </c>
      <c r="H19" s="65">
        <f t="shared" si="4"/>
        <v>-12001040</v>
      </c>
      <c r="I19" s="66">
        <f t="shared" si="4"/>
        <v>-20492160.998700008</v>
      </c>
      <c r="J19" s="60"/>
      <c r="K19" s="38"/>
      <c r="L19" s="60">
        <f t="shared" ref="L19:M23" si="5">H19+J19</f>
        <v>-12001040</v>
      </c>
      <c r="M19" s="38">
        <f t="shared" si="5"/>
        <v>-20492160.998700008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2984498</v>
      </c>
      <c r="E21" s="60">
        <v>5320355.4400000004</v>
      </c>
      <c r="F21" s="60">
        <f t="shared" si="6"/>
        <v>0</v>
      </c>
      <c r="G21" s="37">
        <f t="shared" si="6"/>
        <v>0</v>
      </c>
      <c r="H21" s="65">
        <f t="shared" si="4"/>
        <v>2984498</v>
      </c>
      <c r="I21" s="66">
        <f t="shared" si="4"/>
        <v>5320355.4400000004</v>
      </c>
      <c r="J21" s="60"/>
      <c r="K21" s="38"/>
      <c r="L21" s="60">
        <f t="shared" si="5"/>
        <v>2984498</v>
      </c>
      <c r="M21" s="38">
        <f t="shared" si="5"/>
        <v>5320355.4400000004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0.53999999999996362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0.53999999999996362</v>
      </c>
      <c r="J23" s="60"/>
      <c r="K23" s="38"/>
      <c r="L23" s="60">
        <f t="shared" si="5"/>
        <v>0</v>
      </c>
      <c r="M23" s="38">
        <f t="shared" si="5"/>
        <v>0.53999999999996362</v>
      </c>
    </row>
    <row r="24" spans="1:13" x14ac:dyDescent="0.2">
      <c r="A24" s="9"/>
      <c r="B24" s="7" t="s">
        <v>37</v>
      </c>
      <c r="C24" s="6"/>
      <c r="D24" s="61">
        <v>-9016542</v>
      </c>
      <c r="E24" s="39">
        <v>-15171805.018700007</v>
      </c>
      <c r="F24" s="61">
        <f t="shared" ref="F24:M24" si="7">SUM(F19:F23)</f>
        <v>0</v>
      </c>
      <c r="G24" s="39">
        <f t="shared" si="7"/>
        <v>0</v>
      </c>
      <c r="H24" s="61">
        <f>SUM(H19:H23)</f>
        <v>-9016542</v>
      </c>
      <c r="I24" s="39">
        <f>SUM(I19:I23)</f>
        <v>-15171805.018700007</v>
      </c>
      <c r="J24" s="61">
        <f t="shared" si="7"/>
        <v>0</v>
      </c>
      <c r="K24" s="39">
        <f t="shared" si="7"/>
        <v>0</v>
      </c>
      <c r="L24" s="61">
        <f t="shared" si="7"/>
        <v>-9016542</v>
      </c>
      <c r="M24" s="39">
        <f t="shared" si="7"/>
        <v>-15171805.018700007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2385827</v>
      </c>
      <c r="E27" s="60">
        <v>4842147.12</v>
      </c>
      <c r="F27" s="60">
        <f>H27-D27</f>
        <v>0</v>
      </c>
      <c r="G27" s="37">
        <f>I27-E27</f>
        <v>0</v>
      </c>
      <c r="H27" s="65">
        <f>D27</f>
        <v>2385827</v>
      </c>
      <c r="I27" s="66">
        <f>E27</f>
        <v>4842147.12</v>
      </c>
      <c r="J27" s="60"/>
      <c r="K27" s="38"/>
      <c r="L27" s="60">
        <f>H27+J27</f>
        <v>2385827</v>
      </c>
      <c r="M27" s="38">
        <f>I27+K27</f>
        <v>4842147.12</v>
      </c>
    </row>
    <row r="28" spans="1:13" x14ac:dyDescent="0.2">
      <c r="A28" s="9">
        <v>12</v>
      </c>
      <c r="B28" s="7"/>
      <c r="C28" s="18" t="s">
        <v>40</v>
      </c>
      <c r="D28" s="60">
        <v>-3569711</v>
      </c>
      <c r="E28" s="60">
        <v>-5891806.0500000045</v>
      </c>
      <c r="F28" s="60">
        <f>H28-D28</f>
        <v>0</v>
      </c>
      <c r="G28" s="37">
        <f>I28-E28</f>
        <v>0</v>
      </c>
      <c r="H28" s="65">
        <f>D28</f>
        <v>-3569711</v>
      </c>
      <c r="I28" s="66">
        <f>E28</f>
        <v>-5891806.0500000045</v>
      </c>
      <c r="J28" s="60"/>
      <c r="K28" s="38"/>
      <c r="L28" s="60">
        <f>H28+J28</f>
        <v>-3569711</v>
      </c>
      <c r="M28" s="38">
        <f>I28+K28</f>
        <v>-5891806.0500000045</v>
      </c>
    </row>
    <row r="29" spans="1:13" x14ac:dyDescent="0.2">
      <c r="A29" s="9"/>
      <c r="B29" s="7" t="s">
        <v>41</v>
      </c>
      <c r="C29" s="6"/>
      <c r="D29" s="61">
        <v>-1183884</v>
      </c>
      <c r="E29" s="39">
        <v>-1049658.93</v>
      </c>
      <c r="F29" s="61">
        <f t="shared" ref="F29:M29" si="8">SUM(F27:F28)</f>
        <v>0</v>
      </c>
      <c r="G29" s="39">
        <f t="shared" si="8"/>
        <v>0</v>
      </c>
      <c r="H29" s="61">
        <f>SUM(H27:H28)</f>
        <v>-1183884</v>
      </c>
      <c r="I29" s="39">
        <f>SUM(I27:I28)</f>
        <v>-1049658.9300000044</v>
      </c>
      <c r="J29" s="61">
        <f t="shared" si="8"/>
        <v>0</v>
      </c>
      <c r="K29" s="39">
        <f t="shared" si="8"/>
        <v>0</v>
      </c>
      <c r="L29" s="61">
        <f t="shared" si="8"/>
        <v>-1183884</v>
      </c>
      <c r="M29" s="39">
        <f t="shared" si="8"/>
        <v>-1049658.9300000044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-3790950</v>
      </c>
      <c r="E33" s="60">
        <v>-6671178.306412736</v>
      </c>
      <c r="F33" s="60">
        <f t="shared" ref="F33:G35" si="11">H33-D33</f>
        <v>0</v>
      </c>
      <c r="G33" s="37">
        <f t="shared" si="11"/>
        <v>0</v>
      </c>
      <c r="H33" s="65">
        <f t="shared" si="9"/>
        <v>-3790950</v>
      </c>
      <c r="I33" s="66">
        <f t="shared" si="9"/>
        <v>-6671178.306412736</v>
      </c>
      <c r="J33" s="60"/>
      <c r="K33" s="38"/>
      <c r="L33" s="60">
        <f t="shared" si="10"/>
        <v>-3790950</v>
      </c>
      <c r="M33" s="38">
        <f t="shared" si="10"/>
        <v>-6671178.306412736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-3790950</v>
      </c>
      <c r="E36" s="39">
        <v>-6671178.306412736</v>
      </c>
      <c r="F36" s="61">
        <f>SUM(F32:F35)</f>
        <v>0</v>
      </c>
      <c r="G36" s="39">
        <f>SUM(G32:G35)</f>
        <v>0</v>
      </c>
      <c r="H36" s="61">
        <f>SUM(H32:H35)</f>
        <v>-3790950</v>
      </c>
      <c r="I36" s="39">
        <f>SUM(I32:I35)</f>
        <v>-6671178.306412736</v>
      </c>
      <c r="J36" s="61">
        <f>SUM(J32:J34)</f>
        <v>0</v>
      </c>
      <c r="K36" s="39">
        <f>SUM(K32:K34)</f>
        <v>0</v>
      </c>
      <c r="L36" s="61">
        <f>SUM(L32:L35)</f>
        <v>-3790950</v>
      </c>
      <c r="M36" s="39">
        <f>SUM(M32:M35)</f>
        <v>-6671178.306412736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-0.25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-0.25</v>
      </c>
      <c r="J39" s="60"/>
      <c r="K39" s="38"/>
      <c r="L39" s="60">
        <f t="shared" ref="L39:M41" si="14">H39+J39</f>
        <v>0</v>
      </c>
      <c r="M39" s="38">
        <f t="shared" si="14"/>
        <v>-0.25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39">
        <v>-0.25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-0.25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-0.25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668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668</v>
      </c>
      <c r="I51" s="66">
        <f>E51</f>
        <v>25000</v>
      </c>
      <c r="J51" s="60"/>
      <c r="K51" s="38"/>
      <c r="L51" s="60">
        <f>H51+J51</f>
        <v>668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-649896.51511274092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-649896.51511274558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-649896.51511274558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E82+'TX-EGM-FLSH'!E82</f>
        <v>2288329.7990792869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D86" activePane="bottomRight" state="frozen"/>
      <selection activeCell="E14" sqref="E14"/>
      <selection pane="topRight" activeCell="E14" sqref="E14"/>
      <selection pane="bottomLeft" activeCell="E14" sqref="E14"/>
      <selection pane="bottomRight"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f>'TX-EGM-FLSH'!D11+'TX-HPL-FLSH'!D11</f>
        <v>48356169</v>
      </c>
      <c r="E11" s="38">
        <f>'TX-EGM-FLSH'!E11+'TX-HPL-FLSH'!E11</f>
        <v>78492764</v>
      </c>
      <c r="F11" s="60">
        <f>H11-D11</f>
        <v>0</v>
      </c>
      <c r="G11" s="37">
        <f>I11-E11</f>
        <v>0</v>
      </c>
      <c r="H11" s="60">
        <f>'TX-EGM-FLSH'!H11+'TX-HPL-FLSH'!H11</f>
        <v>48356169</v>
      </c>
      <c r="I11" s="38">
        <f>'TX-EGM-FLSH'!I11+'TX-HPL-FLSH'!I11</f>
        <v>78492764</v>
      </c>
      <c r="J11" s="60">
        <f>'TX-EGM-FLSH'!J11+'TX-HPL-FLSH'!J11</f>
        <v>0</v>
      </c>
      <c r="K11" s="38">
        <f>'TX-EGM-FLSH'!K11+'TX-HPL-FLSH'!K11</f>
        <v>0</v>
      </c>
      <c r="L11" s="60">
        <f t="shared" ref="L11:M15" si="0">H11+J11</f>
        <v>48356169</v>
      </c>
      <c r="M11" s="38">
        <f t="shared" si="0"/>
        <v>78492764</v>
      </c>
    </row>
    <row r="12" spans="1:26" x14ac:dyDescent="0.2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f>'TX-EGM-FLSH'!D13+'TX-HPL-FLSH'!D13</f>
        <v>1249214</v>
      </c>
      <c r="E13" s="38">
        <f>'TX-EGM-FLSH'!E13+'TX-HPL-FLSH'!E13</f>
        <v>2160702</v>
      </c>
      <c r="F13" s="60">
        <f t="shared" si="1"/>
        <v>0</v>
      </c>
      <c r="G13" s="37">
        <f t="shared" si="1"/>
        <v>0</v>
      </c>
      <c r="H13" s="60">
        <f>'TX-EGM-FLSH'!H13+'TX-HPL-FLSH'!H13</f>
        <v>1249214</v>
      </c>
      <c r="I13" s="38">
        <f>'TX-EGM-FLSH'!I13+'TX-HPL-FLSH'!I13</f>
        <v>2160702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1249214</v>
      </c>
      <c r="M13" s="38">
        <f t="shared" si="0"/>
        <v>2160702</v>
      </c>
    </row>
    <row r="14" spans="1:26" x14ac:dyDescent="0.2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f t="shared" ref="D16:M16" si="2">SUM(D11:D15)</f>
        <v>49605383</v>
      </c>
      <c r="E16" s="39">
        <f t="shared" si="2"/>
        <v>80773466</v>
      </c>
      <c r="F16" s="61">
        <f t="shared" si="2"/>
        <v>0</v>
      </c>
      <c r="G16" s="39">
        <f t="shared" si="2"/>
        <v>0</v>
      </c>
      <c r="H16" s="61">
        <f t="shared" si="2"/>
        <v>49605383</v>
      </c>
      <c r="I16" s="39">
        <f t="shared" si="2"/>
        <v>80773466</v>
      </c>
      <c r="J16" s="61">
        <f t="shared" si="2"/>
        <v>0</v>
      </c>
      <c r="K16" s="39">
        <f t="shared" si="2"/>
        <v>0</v>
      </c>
      <c r="L16" s="61">
        <f t="shared" si="2"/>
        <v>49605383</v>
      </c>
      <c r="M16" s="39">
        <f t="shared" si="2"/>
        <v>80773466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f>'TX-EGM-FLSH'!D19+'TX-HPL-FLSH'!D19</f>
        <v>-44361203</v>
      </c>
      <c r="E19" s="38">
        <f>'TX-EGM-FLSH'!E19+'TX-HPL-FLSH'!E19</f>
        <v>-71455847</v>
      </c>
      <c r="F19" s="60">
        <f>H19-D19</f>
        <v>0</v>
      </c>
      <c r="G19" s="37">
        <f>I19-E19</f>
        <v>0</v>
      </c>
      <c r="H19" s="60">
        <f>'TX-EGM-FLSH'!H19+'TX-HPL-FLSH'!H19</f>
        <v>-44361203</v>
      </c>
      <c r="I19" s="38">
        <f>'TX-EGM-FLSH'!I19+'TX-HPL-FLSH'!I19</f>
        <v>-71455847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-44361203</v>
      </c>
      <c r="M19" s="38">
        <f t="shared" si="3"/>
        <v>-71455847</v>
      </c>
    </row>
    <row r="20" spans="1:13" x14ac:dyDescent="0.2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0">
        <f>'TX-EGM-FLSH'!D21+'TX-HPL-FLSH'!D21</f>
        <v>-1231813</v>
      </c>
      <c r="E21" s="38">
        <f>'TX-EGM-FLSH'!E21+'TX-HPL-FLSH'!E21</f>
        <v>-2046081</v>
      </c>
      <c r="F21" s="60">
        <f t="shared" si="4"/>
        <v>0</v>
      </c>
      <c r="G21" s="37">
        <f t="shared" si="4"/>
        <v>0</v>
      </c>
      <c r="H21" s="60">
        <f>'TX-EGM-FLSH'!H21+'TX-HPL-FLSH'!H21</f>
        <v>-1231813</v>
      </c>
      <c r="I21" s="38">
        <f>'TX-EGM-FLSH'!I21+'TX-HPL-FLSH'!I21</f>
        <v>-2046081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-1231813</v>
      </c>
      <c r="M21" s="38">
        <f t="shared" si="3"/>
        <v>-2046081</v>
      </c>
    </row>
    <row r="22" spans="1:13" x14ac:dyDescent="0.2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0">
        <f>'TX-EGM-FLSH'!D23+'TX-HPL-FLSH'!D23</f>
        <v>668</v>
      </c>
      <c r="E23" s="38">
        <f>'TX-EGM-FLSH'!E23+'TX-HPL-FLSH'!E23</f>
        <v>1139</v>
      </c>
      <c r="F23" s="60">
        <f t="shared" si="4"/>
        <v>0</v>
      </c>
      <c r="G23" s="37">
        <f t="shared" si="4"/>
        <v>0</v>
      </c>
      <c r="H23" s="60">
        <f>'TX-EGM-FLSH'!H23+'TX-HPL-FLSH'!H23</f>
        <v>668</v>
      </c>
      <c r="I23" s="38">
        <f>'TX-EGM-FLSH'!I23+'TX-HPL-FLSH'!I23</f>
        <v>1139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668</v>
      </c>
      <c r="M23" s="38">
        <f t="shared" si="3"/>
        <v>1139</v>
      </c>
    </row>
    <row r="24" spans="1:13" x14ac:dyDescent="0.2">
      <c r="A24" s="9"/>
      <c r="B24" s="7" t="s">
        <v>37</v>
      </c>
      <c r="C24" s="6"/>
      <c r="D24" s="61">
        <f t="shared" ref="D24:M24" si="5">SUM(D19:D23)</f>
        <v>-45592348</v>
      </c>
      <c r="E24" s="39">
        <f t="shared" si="5"/>
        <v>-73500789</v>
      </c>
      <c r="F24" s="61">
        <f t="shared" si="5"/>
        <v>0</v>
      </c>
      <c r="G24" s="39">
        <f t="shared" si="5"/>
        <v>0</v>
      </c>
      <c r="H24" s="61">
        <f t="shared" si="5"/>
        <v>-45592348</v>
      </c>
      <c r="I24" s="39">
        <f t="shared" si="5"/>
        <v>-73500789</v>
      </c>
      <c r="J24" s="61">
        <f t="shared" si="5"/>
        <v>0</v>
      </c>
      <c r="K24" s="39">
        <f t="shared" si="5"/>
        <v>0</v>
      </c>
      <c r="L24" s="61">
        <f t="shared" si="5"/>
        <v>-45592348</v>
      </c>
      <c r="M24" s="39">
        <f t="shared" si="5"/>
        <v>-73500789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f>'TX-EGM-FLSH'!D27+'TX-HPL-FLSH'!D27</f>
        <v>34511359</v>
      </c>
      <c r="E27" s="38">
        <f>'TX-EGM-FLSH'!E27+'TX-HPL-FLSH'!E27</f>
        <v>59454463.999999993</v>
      </c>
      <c r="F27" s="60">
        <f>H27-D27</f>
        <v>0</v>
      </c>
      <c r="G27" s="37">
        <f>I27-E27</f>
        <v>0</v>
      </c>
      <c r="H27" s="60">
        <f>'TX-EGM-FLSH'!H27+'TX-HPL-FLSH'!H27</f>
        <v>34511359</v>
      </c>
      <c r="I27" s="38">
        <f>'TX-EGM-FLSH'!I27+'TX-HPL-FLSH'!I27</f>
        <v>59454463.999999993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34511359</v>
      </c>
      <c r="M27" s="38">
        <f>I27+K27</f>
        <v>59454463.999999993</v>
      </c>
    </row>
    <row r="28" spans="1:13" x14ac:dyDescent="0.2">
      <c r="A28" s="9">
        <v>12</v>
      </c>
      <c r="B28" s="7"/>
      <c r="C28" s="18" t="s">
        <v>40</v>
      </c>
      <c r="D28" s="60">
        <f>'TX-EGM-FLSH'!D28+'TX-HPL-FLSH'!D28</f>
        <v>-34511359</v>
      </c>
      <c r="E28" s="38">
        <f>'TX-EGM-FLSH'!E28+'TX-HPL-FLSH'!E28</f>
        <v>-59454464</v>
      </c>
      <c r="F28" s="60">
        <f>H28-D28</f>
        <v>0</v>
      </c>
      <c r="G28" s="37">
        <f>I28-E28</f>
        <v>0</v>
      </c>
      <c r="H28" s="60">
        <f>'TX-EGM-FLSH'!H28+'TX-HPL-FLSH'!H28</f>
        <v>-34511359</v>
      </c>
      <c r="I28" s="38">
        <f>'TX-EGM-FLSH'!I28+'TX-HPL-FLSH'!I28</f>
        <v>-59454464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-34511359</v>
      </c>
      <c r="M28" s="38">
        <f>I28+K28</f>
        <v>-59454464</v>
      </c>
    </row>
    <row r="29" spans="1:13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0">
        <f>'TX-EGM-FLSH'!D33+'TX-HPL-FLSH'!D33</f>
        <v>915744</v>
      </c>
      <c r="E33" s="38">
        <f>'TX-EGM-FLSH'!E33+'TX-HPL-FLSH'!E33</f>
        <v>1408112.4477792848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915744</v>
      </c>
      <c r="I33" s="38">
        <f>'TX-EGM-FLSH'!I33+'TX-HPL-FLSH'!I33</f>
        <v>1408112.4477792848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915744</v>
      </c>
      <c r="M33" s="38">
        <f t="shared" si="7"/>
        <v>1408112.4477792848</v>
      </c>
    </row>
    <row r="34" spans="1:13" x14ac:dyDescent="0.2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915744</v>
      </c>
      <c r="E36" s="39">
        <f t="shared" si="9"/>
        <v>1408112.4477792848</v>
      </c>
      <c r="F36" s="61">
        <f t="shared" si="9"/>
        <v>0</v>
      </c>
      <c r="G36" s="39">
        <f t="shared" si="9"/>
        <v>0</v>
      </c>
      <c r="H36" s="61">
        <f t="shared" si="9"/>
        <v>915744</v>
      </c>
      <c r="I36" s="39">
        <f t="shared" si="9"/>
        <v>1408112.4477792848</v>
      </c>
      <c r="J36" s="61">
        <f>SUM(J32:J34)</f>
        <v>0</v>
      </c>
      <c r="K36" s="39">
        <f>SUM(K32:K34)</f>
        <v>0</v>
      </c>
      <c r="L36" s="61">
        <f>SUM(L32:L35)</f>
        <v>915744</v>
      </c>
      <c r="M36" s="39">
        <f>SUM(M32:M35)</f>
        <v>1408112.4477792848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f>'TX-EGM-FLSH'!D39+'TX-HPL-FLSH'!D39</f>
        <v>994162</v>
      </c>
      <c r="E39" s="38">
        <f>'TX-EGM-FLSH'!E39+'TX-HPL-FLSH'!E39</f>
        <v>1829413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994162</v>
      </c>
      <c r="I39" s="38">
        <f>'TX-EGM-FLSH'!I39+'TX-HPL-FLSH'!I39</f>
        <v>1829413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994162</v>
      </c>
      <c r="M39" s="38">
        <f t="shared" si="11"/>
        <v>1829413</v>
      </c>
    </row>
    <row r="40" spans="1:13" ht="22.5" customHeight="1" x14ac:dyDescent="0.2">
      <c r="A40" s="9">
        <v>18</v>
      </c>
      <c r="B40" s="7"/>
      <c r="C40" s="18" t="s">
        <v>50</v>
      </c>
      <c r="D40" s="60">
        <f>'TX-EGM-FLSH'!D40+'TX-HPL-FLSH'!D40</f>
        <v>-5922941</v>
      </c>
      <c r="E40" s="38">
        <f>'TX-EGM-FLSH'!E40+'TX-HPL-FLSH'!E40</f>
        <v>-10961586.9087</v>
      </c>
      <c r="F40" s="60">
        <f t="shared" si="10"/>
        <v>0</v>
      </c>
      <c r="G40" s="37">
        <f t="shared" si="10"/>
        <v>0</v>
      </c>
      <c r="H40" s="60">
        <f>'TX-EGM-FLSH'!H40+'TX-HPL-FLSH'!H40</f>
        <v>-5922941</v>
      </c>
      <c r="I40" s="38">
        <f>'TX-EGM-FLSH'!I40+'TX-HPL-FLSH'!I40</f>
        <v>-10961586.9087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-5922941</v>
      </c>
      <c r="M40" s="38">
        <f t="shared" si="11"/>
        <v>-10961586.9087</v>
      </c>
    </row>
    <row r="41" spans="1:13" x14ac:dyDescent="0.2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 t="shared" ref="D42:M42" si="12">SUM(D40:D41)</f>
        <v>-5922941</v>
      </c>
      <c r="E42" s="39">
        <f t="shared" si="12"/>
        <v>-10961586.9087</v>
      </c>
      <c r="F42" s="61">
        <f t="shared" si="12"/>
        <v>0</v>
      </c>
      <c r="G42" s="39">
        <f t="shared" si="12"/>
        <v>0</v>
      </c>
      <c r="H42" s="61">
        <f t="shared" si="12"/>
        <v>-5922941</v>
      </c>
      <c r="I42" s="39">
        <f t="shared" si="12"/>
        <v>-10961586.9087</v>
      </c>
      <c r="J42" s="61">
        <f t="shared" si="12"/>
        <v>0</v>
      </c>
      <c r="K42" s="39">
        <f t="shared" si="12"/>
        <v>0</v>
      </c>
      <c r="L42" s="61">
        <f t="shared" si="12"/>
        <v>-5922941</v>
      </c>
      <c r="M42" s="39">
        <f t="shared" si="12"/>
        <v>-10961586.9087</v>
      </c>
    </row>
    <row r="43" spans="1:13" ht="21" customHeight="1" x14ac:dyDescent="0.2">
      <c r="A43" s="9"/>
      <c r="B43" s="7" t="s">
        <v>53</v>
      </c>
      <c r="C43" s="6"/>
      <c r="D43" s="61">
        <f t="shared" ref="D43:M43" si="13">D42+D39</f>
        <v>-4928779</v>
      </c>
      <c r="E43" s="39">
        <f t="shared" si="13"/>
        <v>-9132173.9087000005</v>
      </c>
      <c r="F43" s="61">
        <f t="shared" si="13"/>
        <v>0</v>
      </c>
      <c r="G43" s="39">
        <f t="shared" si="13"/>
        <v>0</v>
      </c>
      <c r="H43" s="61">
        <f t="shared" si="13"/>
        <v>-4928779</v>
      </c>
      <c r="I43" s="39">
        <f t="shared" si="13"/>
        <v>-9132173.9087000005</v>
      </c>
      <c r="J43" s="61">
        <f t="shared" si="13"/>
        <v>0</v>
      </c>
      <c r="K43" s="39">
        <f t="shared" si="13"/>
        <v>0</v>
      </c>
      <c r="L43" s="61">
        <f t="shared" si="13"/>
        <v>-4928779</v>
      </c>
      <c r="M43" s="39">
        <f t="shared" si="13"/>
        <v>-9132173.9087000005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-803059.21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-803059.21</v>
      </c>
      <c r="J54" s="60">
        <f>'TX-EGM-FLSH'!J54+'TX-HPL-FLSH'!J54</f>
        <v>0</v>
      </c>
      <c r="K54" s="38">
        <f>'TX-EGM-FLSH'!K54+'TX-HPL-FLSH'!K54</f>
        <v>0</v>
      </c>
      <c r="L54" s="60">
        <f>H54+J54</f>
        <v>0</v>
      </c>
      <c r="M54" s="38">
        <f>I54+K54</f>
        <v>-803059.21</v>
      </c>
    </row>
    <row r="55" spans="1:15" x14ac:dyDescent="0.2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-803059.21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-803059.21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-803059.21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300495.52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300495.52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300495.52</v>
      </c>
    </row>
    <row r="71" spans="1:13" x14ac:dyDescent="0.2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-421545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-421545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-421545</v>
      </c>
    </row>
    <row r="72" spans="1:13" x14ac:dyDescent="0.2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-121049.47999999998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-121049.47999999998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-121049.47999999998</v>
      </c>
    </row>
    <row r="73" spans="1:13" x14ac:dyDescent="0.2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1032373.95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1032373.95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1032373.95</v>
      </c>
    </row>
    <row r="75" spans="1:13" x14ac:dyDescent="0.2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1776930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1776930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1776930</v>
      </c>
    </row>
    <row r="76" spans="1:13" x14ac:dyDescent="0.2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-7855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-7855</v>
      </c>
      <c r="J76" s="60">
        <f>'TX-EGM-FLSH'!J76+'TX-HPL-FLSH'!J76</f>
        <v>0</v>
      </c>
      <c r="K76" s="38">
        <f>'TX-EGM-FLSH'!K76+'TX-HPL-FLSH'!K76</f>
        <v>0</v>
      </c>
      <c r="L76" s="60">
        <f t="shared" si="18"/>
        <v>0</v>
      </c>
      <c r="M76" s="38">
        <f t="shared" si="18"/>
        <v>-7855</v>
      </c>
    </row>
    <row r="77" spans="1:13" x14ac:dyDescent="0.2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-30000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-30000</v>
      </c>
      <c r="J77" s="60">
        <f>'TX-EGM-FLSH'!J77+'TX-HPL-FLSH'!J77</f>
        <v>0</v>
      </c>
      <c r="K77" s="38">
        <f>'TX-EGM-FLSH'!K77+'TX-HPL-FLSH'!K77</f>
        <v>0</v>
      </c>
      <c r="L77" s="60">
        <f t="shared" si="18"/>
        <v>0</v>
      </c>
      <c r="M77" s="38">
        <f t="shared" si="18"/>
        <v>-30000</v>
      </c>
    </row>
    <row r="78" spans="1:13" x14ac:dyDescent="0.2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892374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892374</v>
      </c>
      <c r="J81" s="60">
        <f>'TX-EGM-FLSH'!J81+'TX-HPL-FLSH'!J81</f>
        <v>0</v>
      </c>
      <c r="K81" s="38">
        <f>'TX-EGM-FLSH'!K81+'TX-HPL-FLSH'!K81</f>
        <v>0</v>
      </c>
      <c r="L81" s="60">
        <f t="shared" si="18"/>
        <v>0</v>
      </c>
      <c r="M81" s="38">
        <f t="shared" si="18"/>
        <v>892374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2288329.7990792831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2288329.7990792831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2288329.7990792831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+'TX-HPL-FLSH'!E82+'TX-EGM-FLSH'!E82</f>
        <v>2288329.7990792869</v>
      </c>
    </row>
    <row r="85" spans="1:67" x14ac:dyDescent="0.2">
      <c r="A85" s="4" t="s">
        <v>189</v>
      </c>
      <c r="B85" s="3"/>
      <c r="M85" s="45">
        <f>M82+'[3]TX-HPL-FLSH'!M82</f>
        <v>2342108.7891914481</v>
      </c>
    </row>
    <row r="86" spans="1:67" s="3" customFormat="1" x14ac:dyDescent="0.2">
      <c r="A86" s="182"/>
      <c r="C86" s="10" t="s">
        <v>191</v>
      </c>
      <c r="D86" s="168">
        <f>'TX-EGM-FLSH'!D86+'TX-HPL-FLSH'!D86</f>
        <v>0</v>
      </c>
      <c r="E86" s="168">
        <f>'TX-EGM-FLSH'!E86+'TX-HPL-FLSH'!E86</f>
        <v>11696534</v>
      </c>
      <c r="F86" s="168">
        <f t="shared" ref="F86:G88" si="20">H86-D86</f>
        <v>0</v>
      </c>
      <c r="G86" s="168">
        <f t="shared" si="20"/>
        <v>0</v>
      </c>
      <c r="H86" s="168">
        <f>'TX-EGM-FLSH'!H86+'TX-HPL-FLSH'!H86</f>
        <v>0</v>
      </c>
      <c r="I86" s="168">
        <f>'TX-EGM-FLSH'!I86+'TX-HPL-FLSH'!I86</f>
        <v>11696534</v>
      </c>
      <c r="J86" s="168">
        <f>'TX-EGM-FLSH'!J86+'TX-HPL-FLSH'!J86</f>
        <v>0</v>
      </c>
      <c r="K86" s="168">
        <f>'TX-EGM-FLSH'!K86+'TX-HPL-FLSH'!K86</f>
        <v>0</v>
      </c>
      <c r="L86" s="168">
        <f t="shared" ref="L86:M88" si="21">H86+J86</f>
        <v>0</v>
      </c>
      <c r="M86" s="168">
        <f t="shared" si="21"/>
        <v>11696534</v>
      </c>
    </row>
    <row r="87" spans="1:67" s="3" customFormat="1" x14ac:dyDescent="0.2">
      <c r="A87" s="182"/>
      <c r="C87" s="10" t="s">
        <v>75</v>
      </c>
      <c r="D87" s="169">
        <f>'TX-EGM-FLSH'!D87+'TX-HPL-FLSH'!D87</f>
        <v>0</v>
      </c>
      <c r="E87" s="169">
        <f>'TX-EGM-FLSH'!E87+'TX-HPL-FLSH'!E87</f>
        <v>0</v>
      </c>
      <c r="F87" s="169">
        <f t="shared" si="20"/>
        <v>0</v>
      </c>
      <c r="G87" s="169">
        <f t="shared" si="20"/>
        <v>0</v>
      </c>
      <c r="H87" s="169">
        <f>'TX-EGM-FLSH'!H87+'TX-HPL-FLSH'!H87</f>
        <v>0</v>
      </c>
      <c r="I87" s="169">
        <f>'TX-EGM-FLSH'!I87+'TX-HPL-FLSH'!I87</f>
        <v>0</v>
      </c>
      <c r="J87" s="169">
        <f>'TX-EGM-FLSH'!J87+'TX-HPL-FLSH'!J87</f>
        <v>0</v>
      </c>
      <c r="K87" s="169">
        <f>'TX-EGM-FLSH'!K87+'TX-HPL-FLSH'!K87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2"/>
      <c r="C88" s="10" t="s">
        <v>76</v>
      </c>
      <c r="D88" s="170">
        <f>'TX-EGM-FLSH'!D88+'TX-HPL-FLSH'!D88</f>
        <v>0</v>
      </c>
      <c r="E88" s="170">
        <f>'TX-EGM-FLSH'!E88+'TX-HPL-FLSH'!E88</f>
        <v>-11438321</v>
      </c>
      <c r="F88" s="170">
        <f t="shared" si="20"/>
        <v>0</v>
      </c>
      <c r="G88" s="170">
        <f t="shared" si="20"/>
        <v>0</v>
      </c>
      <c r="H88" s="170">
        <f>'TX-EGM-FLSH'!H88+'TX-HPL-FLSH'!H88</f>
        <v>0</v>
      </c>
      <c r="I88" s="170">
        <f>'TX-EGM-FLSH'!I88+'TX-HPL-FLSH'!I88</f>
        <v>-11438321</v>
      </c>
      <c r="J88" s="170">
        <f>'TX-EGM-FLSH'!J88+'TX-HPL-FLSH'!J88</f>
        <v>0</v>
      </c>
      <c r="K88" s="170">
        <f>'TX-EGM-FLSH'!K88+'TX-HPL-FLSH'!K88</f>
        <v>0</v>
      </c>
      <c r="L88" s="170">
        <f t="shared" si="21"/>
        <v>0</v>
      </c>
      <c r="M88" s="170">
        <f t="shared" si="21"/>
        <v>-11438321</v>
      </c>
    </row>
    <row r="89" spans="1:67" s="44" customFormat="1" ht="20.25" customHeight="1" x14ac:dyDescent="0.2">
      <c r="A89" s="191"/>
      <c r="B89" s="192"/>
      <c r="C89" s="193" t="s">
        <v>192</v>
      </c>
      <c r="D89" s="195">
        <f>SUM(D86:D88)</f>
        <v>0</v>
      </c>
      <c r="E89" s="195">
        <f t="shared" ref="E89:M89" si="22">SUM(E86:E88)</f>
        <v>258213</v>
      </c>
      <c r="F89" s="195">
        <f t="shared" si="22"/>
        <v>0</v>
      </c>
      <c r="G89" s="195">
        <f t="shared" si="22"/>
        <v>0</v>
      </c>
      <c r="H89" s="195">
        <f t="shared" si="22"/>
        <v>0</v>
      </c>
      <c r="I89" s="195">
        <f t="shared" si="22"/>
        <v>258213</v>
      </c>
      <c r="J89" s="195">
        <f t="shared" si="22"/>
        <v>0</v>
      </c>
      <c r="K89" s="195">
        <f t="shared" si="22"/>
        <v>0</v>
      </c>
      <c r="L89" s="195">
        <f t="shared" si="22"/>
        <v>0</v>
      </c>
      <c r="M89" s="195">
        <f t="shared" si="22"/>
        <v>258213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5">
        <f>+D82+D89</f>
        <v>0</v>
      </c>
      <c r="E91" s="195">
        <f t="shared" ref="E91:M91" si="23">+E82+E89</f>
        <v>2546542.7990792831</v>
      </c>
      <c r="F91" s="195">
        <f t="shared" si="23"/>
        <v>0</v>
      </c>
      <c r="G91" s="195">
        <f t="shared" si="23"/>
        <v>0</v>
      </c>
      <c r="H91" s="195">
        <f t="shared" si="23"/>
        <v>0</v>
      </c>
      <c r="I91" s="195">
        <f t="shared" si="23"/>
        <v>2546542.7990792831</v>
      </c>
      <c r="J91" s="195">
        <f t="shared" si="23"/>
        <v>0</v>
      </c>
      <c r="K91" s="195">
        <f t="shared" si="23"/>
        <v>0</v>
      </c>
      <c r="L91" s="195">
        <f t="shared" si="23"/>
        <v>0</v>
      </c>
      <c r="M91" s="195">
        <f t="shared" si="23"/>
        <v>2546542.7990792831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D23" sqref="D2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32341331</v>
      </c>
      <c r="E11" s="65">
        <v>51294159</v>
      </c>
      <c r="F11" s="60">
        <f>H11-D11</f>
        <v>0</v>
      </c>
      <c r="G11" s="37">
        <f>I11-E11</f>
        <v>0</v>
      </c>
      <c r="H11" s="65">
        <f>D11</f>
        <v>32341331</v>
      </c>
      <c r="I11" s="66">
        <f>E11</f>
        <v>51294159</v>
      </c>
      <c r="J11" s="60"/>
      <c r="K11" s="38"/>
      <c r="L11" s="60">
        <f t="shared" ref="L11:M15" si="0">H11+J11</f>
        <v>32341331</v>
      </c>
      <c r="M11" s="38">
        <f t="shared" si="0"/>
        <v>51294159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20542796</v>
      </c>
      <c r="E13" s="65">
        <v>33990434</v>
      </c>
      <c r="F13" s="60">
        <f t="shared" si="1"/>
        <v>0</v>
      </c>
      <c r="G13" s="37">
        <f t="shared" si="1"/>
        <v>0</v>
      </c>
      <c r="H13" s="65">
        <f t="shared" si="2"/>
        <v>20542796</v>
      </c>
      <c r="I13" s="66">
        <f t="shared" si="2"/>
        <v>33990434</v>
      </c>
      <c r="J13" s="60"/>
      <c r="K13" s="38"/>
      <c r="L13" s="60">
        <f t="shared" si="0"/>
        <v>20542796</v>
      </c>
      <c r="M13" s="38">
        <f t="shared" si="0"/>
        <v>33990434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52884127</v>
      </c>
      <c r="E16" s="39">
        <v>85284593</v>
      </c>
      <c r="F16" s="61">
        <f t="shared" ref="F16:M16" si="3">SUM(F11:F15)</f>
        <v>0</v>
      </c>
      <c r="G16" s="39">
        <f t="shared" si="3"/>
        <v>0</v>
      </c>
      <c r="H16" s="61">
        <f>SUM(H11:H15)</f>
        <v>52884127</v>
      </c>
      <c r="I16" s="39">
        <f>SUM(I11:I15)</f>
        <v>85284593</v>
      </c>
      <c r="J16" s="61">
        <f t="shared" si="3"/>
        <v>0</v>
      </c>
      <c r="K16" s="39">
        <f t="shared" si="3"/>
        <v>0</v>
      </c>
      <c r="L16" s="61">
        <f t="shared" si="3"/>
        <v>52884127</v>
      </c>
      <c r="M16" s="39">
        <f t="shared" si="3"/>
        <v>85284593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-31298286</v>
      </c>
      <c r="E19" s="65">
        <v>-48084677</v>
      </c>
      <c r="F19" s="60">
        <f>H19-D19</f>
        <v>0</v>
      </c>
      <c r="G19" s="37">
        <f>I19-E19</f>
        <v>0</v>
      </c>
      <c r="H19" s="65">
        <f t="shared" si="4"/>
        <v>-31298286</v>
      </c>
      <c r="I19" s="66">
        <f t="shared" si="4"/>
        <v>-48084677</v>
      </c>
      <c r="J19" s="60"/>
      <c r="K19" s="38"/>
      <c r="L19" s="60">
        <f t="shared" ref="L19:M23" si="5">H19+J19</f>
        <v>-31298286</v>
      </c>
      <c r="M19" s="38">
        <f t="shared" si="5"/>
        <v>-48084677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-21837526</v>
      </c>
      <c r="E21" s="65">
        <v>-35920688</v>
      </c>
      <c r="F21" s="60">
        <f t="shared" si="6"/>
        <v>0</v>
      </c>
      <c r="G21" s="37">
        <f t="shared" si="6"/>
        <v>0</v>
      </c>
      <c r="H21" s="65">
        <f t="shared" si="4"/>
        <v>-21837526</v>
      </c>
      <c r="I21" s="66">
        <f t="shared" si="4"/>
        <v>-35920688</v>
      </c>
      <c r="J21" s="60"/>
      <c r="K21" s="38"/>
      <c r="L21" s="60">
        <f t="shared" si="5"/>
        <v>-21837526</v>
      </c>
      <c r="M21" s="38">
        <f t="shared" si="5"/>
        <v>-35920688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288145</v>
      </c>
      <c r="E23" s="65">
        <v>450360</v>
      </c>
      <c r="F23" s="60">
        <f t="shared" si="6"/>
        <v>0</v>
      </c>
      <c r="G23" s="37">
        <f t="shared" si="6"/>
        <v>0</v>
      </c>
      <c r="H23" s="65">
        <f t="shared" si="4"/>
        <v>288145</v>
      </c>
      <c r="I23" s="66">
        <f t="shared" si="4"/>
        <v>450360</v>
      </c>
      <c r="J23" s="60"/>
      <c r="K23" s="38"/>
      <c r="L23" s="60">
        <f t="shared" si="5"/>
        <v>288145</v>
      </c>
      <c r="M23" s="38">
        <f t="shared" si="5"/>
        <v>450360</v>
      </c>
    </row>
    <row r="24" spans="1:13" x14ac:dyDescent="0.2">
      <c r="A24" s="9"/>
      <c r="B24" s="7" t="s">
        <v>37</v>
      </c>
      <c r="C24" s="6"/>
      <c r="D24" s="61">
        <v>-52847667</v>
      </c>
      <c r="E24" s="39">
        <v>-83555005</v>
      </c>
      <c r="F24" s="61">
        <f t="shared" ref="F24:M24" si="7">SUM(F19:F23)</f>
        <v>0</v>
      </c>
      <c r="G24" s="39">
        <f t="shared" si="7"/>
        <v>0</v>
      </c>
      <c r="H24" s="61">
        <f>SUM(H19:H23)</f>
        <v>-52847667</v>
      </c>
      <c r="I24" s="39">
        <f>SUM(I19:I23)</f>
        <v>-83555005</v>
      </c>
      <c r="J24" s="61">
        <f t="shared" si="7"/>
        <v>0</v>
      </c>
      <c r="K24" s="39">
        <f t="shared" si="7"/>
        <v>0</v>
      </c>
      <c r="L24" s="61">
        <f t="shared" si="7"/>
        <v>-52847667</v>
      </c>
      <c r="M24" s="39">
        <f t="shared" si="7"/>
        <v>-83555005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60725</v>
      </c>
      <c r="E32" s="65">
        <v>91517</v>
      </c>
      <c r="F32" s="60">
        <f>H32-D32</f>
        <v>0</v>
      </c>
      <c r="G32" s="37">
        <f>I32-E32</f>
        <v>0</v>
      </c>
      <c r="H32" s="65">
        <f t="shared" ref="H32:I35" si="9">D32</f>
        <v>60725</v>
      </c>
      <c r="I32" s="66">
        <f t="shared" si="9"/>
        <v>91517</v>
      </c>
      <c r="J32" s="60"/>
      <c r="K32" s="38"/>
      <c r="L32" s="60">
        <f t="shared" ref="L32:M35" si="10">H32+J32</f>
        <v>60725</v>
      </c>
      <c r="M32" s="38">
        <f t="shared" si="10"/>
        <v>91517</v>
      </c>
    </row>
    <row r="33" spans="1:13" x14ac:dyDescent="0.2">
      <c r="A33" s="9">
        <v>14</v>
      </c>
      <c r="B33" s="7"/>
      <c r="C33" s="18" t="s">
        <v>44</v>
      </c>
      <c r="D33" s="65">
        <v>-76114</v>
      </c>
      <c r="E33" s="65">
        <v>-116426.25069875982</v>
      </c>
      <c r="F33" s="60">
        <f t="shared" ref="F33:G35" si="11">H33-D33</f>
        <v>0</v>
      </c>
      <c r="G33" s="37">
        <f t="shared" si="11"/>
        <v>0</v>
      </c>
      <c r="H33" s="65">
        <f t="shared" si="9"/>
        <v>-76114</v>
      </c>
      <c r="I33" s="66">
        <f t="shared" si="9"/>
        <v>-116426.25069875982</v>
      </c>
      <c r="J33" s="60"/>
      <c r="K33" s="38"/>
      <c r="L33" s="60">
        <f t="shared" si="10"/>
        <v>-76114</v>
      </c>
      <c r="M33" s="38">
        <f t="shared" si="10"/>
        <v>-116426.25069875982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-15389</v>
      </c>
      <c r="E36" s="39">
        <v>-24909.250698759817</v>
      </c>
      <c r="F36" s="61">
        <f>SUM(F32:F35)</f>
        <v>0</v>
      </c>
      <c r="G36" s="39">
        <f>SUM(G32:G35)</f>
        <v>0</v>
      </c>
      <c r="H36" s="61">
        <f>SUM(H32:H35)</f>
        <v>-15389</v>
      </c>
      <c r="I36" s="39">
        <f>SUM(I32:I35)</f>
        <v>-24909.250698759817</v>
      </c>
      <c r="J36" s="61">
        <f>SUM(J32:J34)</f>
        <v>0</v>
      </c>
      <c r="K36" s="39">
        <f>SUM(K32:K34)</f>
        <v>0</v>
      </c>
      <c r="L36" s="61">
        <f>SUM(L32:L35)</f>
        <v>-15389</v>
      </c>
      <c r="M36" s="39">
        <f>SUM(M32:M35)</f>
        <v>-24909.250698759817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15222</v>
      </c>
      <c r="E39" s="65">
        <v>21478</v>
      </c>
      <c r="F39" s="60">
        <f t="shared" ref="F39:G41" si="13">H39-D39</f>
        <v>0</v>
      </c>
      <c r="G39" s="37">
        <f t="shared" si="13"/>
        <v>0</v>
      </c>
      <c r="H39" s="65">
        <f t="shared" si="12"/>
        <v>15222</v>
      </c>
      <c r="I39" s="66">
        <f t="shared" si="12"/>
        <v>21478</v>
      </c>
      <c r="J39" s="60"/>
      <c r="K39" s="38"/>
      <c r="L39" s="60">
        <f t="shared" ref="L39:M41" si="14">H39+J39</f>
        <v>15222</v>
      </c>
      <c r="M39" s="38">
        <f t="shared" si="14"/>
        <v>21478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-36293</v>
      </c>
      <c r="E40" s="65">
        <v>-54451</v>
      </c>
      <c r="F40" s="60">
        <f t="shared" si="13"/>
        <v>0</v>
      </c>
      <c r="G40" s="37">
        <f t="shared" si="13"/>
        <v>0</v>
      </c>
      <c r="H40" s="65">
        <f t="shared" si="12"/>
        <v>-36293</v>
      </c>
      <c r="I40" s="66">
        <f t="shared" si="12"/>
        <v>-54451</v>
      </c>
      <c r="J40" s="60"/>
      <c r="K40" s="38"/>
      <c r="L40" s="60">
        <f t="shared" si="14"/>
        <v>-36293</v>
      </c>
      <c r="M40" s="38">
        <f t="shared" si="14"/>
        <v>-54451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-36293</v>
      </c>
      <c r="E42" s="39">
        <v>-54451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-36293</v>
      </c>
      <c r="I42" s="39">
        <f>SUM(I40:I41)</f>
        <v>-54451</v>
      </c>
      <c r="J42" s="61">
        <f t="shared" si="15"/>
        <v>0</v>
      </c>
      <c r="K42" s="39">
        <f t="shared" si="15"/>
        <v>0</v>
      </c>
      <c r="L42" s="61">
        <f t="shared" si="15"/>
        <v>-36293</v>
      </c>
      <c r="M42" s="39">
        <f t="shared" si="15"/>
        <v>-54451</v>
      </c>
    </row>
    <row r="43" spans="1:13" ht="21" customHeight="1" x14ac:dyDescent="0.2">
      <c r="A43" s="9"/>
      <c r="B43" s="7" t="s">
        <v>53</v>
      </c>
      <c r="C43" s="6"/>
      <c r="D43" s="61">
        <v>-21071</v>
      </c>
      <c r="E43" s="39">
        <v>-32973</v>
      </c>
      <c r="F43" s="61">
        <f t="shared" ref="F43:M43" si="16">F42+F39</f>
        <v>0</v>
      </c>
      <c r="G43" s="39">
        <f t="shared" si="16"/>
        <v>0</v>
      </c>
      <c r="H43" s="61">
        <f>H42+H39</f>
        <v>-21071</v>
      </c>
      <c r="I43" s="39">
        <f>I42+I39</f>
        <v>-32973</v>
      </c>
      <c r="J43" s="61">
        <f t="shared" si="16"/>
        <v>0</v>
      </c>
      <c r="K43" s="39">
        <f t="shared" si="16"/>
        <v>0</v>
      </c>
      <c r="L43" s="61">
        <f t="shared" si="16"/>
        <v>-21071</v>
      </c>
      <c r="M43" s="39">
        <f t="shared" si="16"/>
        <v>-32973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-288145</v>
      </c>
      <c r="E51" s="65">
        <v>-450360</v>
      </c>
      <c r="F51" s="60">
        <f>H51-D51</f>
        <v>0</v>
      </c>
      <c r="G51" s="37">
        <f>I51-E51</f>
        <v>0</v>
      </c>
      <c r="H51" s="65">
        <f>D51</f>
        <v>-288145</v>
      </c>
      <c r="I51" s="66">
        <f>E51</f>
        <v>-450360</v>
      </c>
      <c r="J51" s="60"/>
      <c r="K51" s="38"/>
      <c r="L51" s="60">
        <f>H51+J51</f>
        <v>-288145</v>
      </c>
      <c r="M51" s="38">
        <f>I51+K51</f>
        <v>-450360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-286994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-286994</v>
      </c>
      <c r="J54" s="60"/>
      <c r="K54" s="38"/>
      <c r="L54" s="60">
        <f>H54+J54</f>
        <v>0</v>
      </c>
      <c r="M54" s="38">
        <f>I54+K54</f>
        <v>-286994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-2881984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-2881984</v>
      </c>
      <c r="J55" s="60"/>
      <c r="K55" s="38"/>
      <c r="L55" s="60">
        <f>H55+J55</f>
        <v>0</v>
      </c>
      <c r="M55" s="38">
        <f>I55+K55</f>
        <v>-2881984</v>
      </c>
    </row>
    <row r="56" spans="1:15" x14ac:dyDescent="0.2">
      <c r="A56" s="9"/>
      <c r="B56" s="7" t="s">
        <v>61</v>
      </c>
      <c r="C56" s="6"/>
      <c r="D56" s="61">
        <v>0</v>
      </c>
      <c r="E56" s="39">
        <v>-3168978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-3168978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-3168978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559245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559245</v>
      </c>
      <c r="J70" s="60"/>
      <c r="K70" s="38"/>
      <c r="L70" s="60">
        <f>H70+J70</f>
        <v>0</v>
      </c>
      <c r="M70" s="38">
        <f>I70+K70</f>
        <v>559245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133064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133064</v>
      </c>
      <c r="J71" s="60"/>
      <c r="K71" s="38"/>
      <c r="L71" s="60">
        <f>H71+J71</f>
        <v>0</v>
      </c>
      <c r="M71" s="38">
        <f>I71+K71</f>
        <v>133064</v>
      </c>
    </row>
    <row r="72" spans="1:13" x14ac:dyDescent="0.2">
      <c r="A72" s="9"/>
      <c r="B72" s="3"/>
      <c r="C72" s="55" t="s">
        <v>73</v>
      </c>
      <c r="D72" s="61">
        <v>0</v>
      </c>
      <c r="E72" s="39">
        <v>692309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692309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692309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-1361513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-1361513</v>
      </c>
      <c r="J74" s="60"/>
      <c r="K74" s="38"/>
      <c r="L74" s="60">
        <f t="shared" si="22"/>
        <v>0</v>
      </c>
      <c r="M74" s="38">
        <f t="shared" si="22"/>
        <v>-1361513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203189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203189</v>
      </c>
      <c r="J75" s="60"/>
      <c r="K75" s="38"/>
      <c r="L75" s="60">
        <f t="shared" si="22"/>
        <v>0</v>
      </c>
      <c r="M75" s="38">
        <f t="shared" si="22"/>
        <v>203189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-13105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-13105</v>
      </c>
      <c r="J76" s="60"/>
      <c r="K76" s="38"/>
      <c r="L76" s="60">
        <f t="shared" si="22"/>
        <v>0</v>
      </c>
      <c r="M76" s="38">
        <f t="shared" si="22"/>
        <v>-13105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1610995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1610995</v>
      </c>
      <c r="J79" s="60"/>
      <c r="K79" s="38"/>
      <c r="L79" s="60">
        <f t="shared" si="22"/>
        <v>0</v>
      </c>
      <c r="M79" s="38">
        <f t="shared" si="22"/>
        <v>1610995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273537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273537</v>
      </c>
      <c r="J81" s="60"/>
      <c r="K81" s="38"/>
      <c r="L81" s="60">
        <f t="shared" si="22"/>
        <v>0</v>
      </c>
      <c r="M81" s="38">
        <f t="shared" si="22"/>
        <v>273537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-542220.25069875969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-542220.25069875969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-542220.25069875969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68" activePane="bottomRight" state="frozen"/>
      <selection activeCell="E14" sqref="E14"/>
      <selection pane="topRight" activeCell="E14" sqref="E14"/>
      <selection pane="bottomLeft" activeCell="E14" sqref="E14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v>-5707071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-5707071</v>
      </c>
      <c r="J70" s="65"/>
      <c r="K70" s="38"/>
      <c r="L70" s="60">
        <f t="shared" si="21"/>
        <v>0</v>
      </c>
      <c r="M70" s="38">
        <f t="shared" si="21"/>
        <v>-5707071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-5707071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-5707071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-5707071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0"/>
      <c r="E81" s="38">
        <f>-1149000+5707071</f>
        <v>4558071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4558071</v>
      </c>
      <c r="J81" s="60"/>
      <c r="K81" s="38"/>
      <c r="L81" s="60">
        <f t="shared" si="24"/>
        <v>0</v>
      </c>
      <c r="M81" s="38">
        <f t="shared" si="24"/>
        <v>4558071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-1149000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-1149000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-1149000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topLeftCell="G70" zoomScale="75" workbookViewId="0">
      <selection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180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6159597</v>
      </c>
      <c r="E11" s="38">
        <v>11207074</v>
      </c>
      <c r="F11" s="60">
        <f>H11-D11</f>
        <v>0</v>
      </c>
      <c r="G11" s="37">
        <f>I11-E11</f>
        <v>0</v>
      </c>
      <c r="H11" s="65">
        <f>D11</f>
        <v>6159597</v>
      </c>
      <c r="I11" s="66">
        <f>E11</f>
        <v>11207074</v>
      </c>
      <c r="J11" s="60"/>
      <c r="K11" s="38"/>
      <c r="L11" s="60">
        <f t="shared" ref="L11:M15" si="0">H11+J11</f>
        <v>6159597</v>
      </c>
      <c r="M11" s="38">
        <f t="shared" si="0"/>
        <v>11207074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6270300</v>
      </c>
      <c r="E13" s="38">
        <v>11222319</v>
      </c>
      <c r="F13" s="60">
        <f t="shared" si="1"/>
        <v>0</v>
      </c>
      <c r="G13" s="37">
        <f t="shared" si="1"/>
        <v>0</v>
      </c>
      <c r="H13" s="65">
        <f t="shared" si="2"/>
        <v>6270300</v>
      </c>
      <c r="I13" s="66">
        <f t="shared" si="2"/>
        <v>11222319</v>
      </c>
      <c r="J13" s="60"/>
      <c r="K13" s="38"/>
      <c r="L13" s="60">
        <f t="shared" si="0"/>
        <v>6270300</v>
      </c>
      <c r="M13" s="38">
        <f t="shared" si="0"/>
        <v>11222319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12429897</v>
      </c>
      <c r="E16" s="39">
        <v>22429393</v>
      </c>
      <c r="F16" s="61">
        <f t="shared" ref="F16:M16" si="3">SUM(F11:F15)</f>
        <v>0</v>
      </c>
      <c r="G16" s="39">
        <f t="shared" si="3"/>
        <v>0</v>
      </c>
      <c r="H16" s="61">
        <f>SUM(H11:H15)</f>
        <v>12429897</v>
      </c>
      <c r="I16" s="39">
        <f>SUM(I11:I15)</f>
        <v>22429393</v>
      </c>
      <c r="J16" s="61">
        <f t="shared" si="3"/>
        <v>0</v>
      </c>
      <c r="K16" s="39">
        <f t="shared" si="3"/>
        <v>0</v>
      </c>
      <c r="L16" s="61">
        <f t="shared" si="3"/>
        <v>12429897</v>
      </c>
      <c r="M16" s="39">
        <f t="shared" si="3"/>
        <v>22429393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-7515130</v>
      </c>
      <c r="E19" s="38">
        <v>-13688974</v>
      </c>
      <c r="F19" s="60">
        <f>H19-D19</f>
        <v>0</v>
      </c>
      <c r="G19" s="37">
        <f>I19-E19</f>
        <v>0</v>
      </c>
      <c r="H19" s="65">
        <f t="shared" si="4"/>
        <v>-7515130</v>
      </c>
      <c r="I19" s="66">
        <f t="shared" si="4"/>
        <v>-13688974</v>
      </c>
      <c r="J19" s="60"/>
      <c r="K19" s="38"/>
      <c r="L19" s="60">
        <f t="shared" ref="L19:M23" si="5">H19+J19</f>
        <v>-7515130</v>
      </c>
      <c r="M19" s="38">
        <f t="shared" si="5"/>
        <v>-13688974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-6090347</v>
      </c>
      <c r="E21" s="38">
        <v>-10871090</v>
      </c>
      <c r="F21" s="60">
        <f t="shared" si="6"/>
        <v>0</v>
      </c>
      <c r="G21" s="37">
        <f t="shared" si="6"/>
        <v>0</v>
      </c>
      <c r="H21" s="65">
        <f t="shared" si="4"/>
        <v>-6090347</v>
      </c>
      <c r="I21" s="66">
        <f t="shared" si="4"/>
        <v>-10871090</v>
      </c>
      <c r="J21" s="60"/>
      <c r="K21" s="38"/>
      <c r="L21" s="60">
        <f t="shared" si="5"/>
        <v>-6090347</v>
      </c>
      <c r="M21" s="38">
        <f t="shared" si="5"/>
        <v>-10871090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-13605477</v>
      </c>
      <c r="E24" s="39">
        <v>-24560064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-13605477</v>
      </c>
      <c r="I24" s="39">
        <f>SUM(I19:I23)</f>
        <v>-24560064</v>
      </c>
      <c r="J24" s="61">
        <f t="shared" si="7"/>
        <v>0</v>
      </c>
      <c r="K24" s="39">
        <f t="shared" si="7"/>
        <v>0</v>
      </c>
      <c r="L24" s="61">
        <f t="shared" si="7"/>
        <v>-13605477</v>
      </c>
      <c r="M24" s="39">
        <f t="shared" si="7"/>
        <v>-24560064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54807</v>
      </c>
      <c r="E33" s="38">
        <v>111806.28</v>
      </c>
      <c r="F33" s="60">
        <f t="shared" ref="F33:G35" si="11">H33-D33</f>
        <v>0</v>
      </c>
      <c r="G33" s="37">
        <f t="shared" si="11"/>
        <v>0</v>
      </c>
      <c r="H33" s="65">
        <f t="shared" si="9"/>
        <v>54807</v>
      </c>
      <c r="I33" s="66">
        <f t="shared" si="9"/>
        <v>111806.28</v>
      </c>
      <c r="J33" s="60"/>
      <c r="K33" s="38"/>
      <c r="L33" s="60">
        <f t="shared" si="10"/>
        <v>54807</v>
      </c>
      <c r="M33" s="38">
        <f t="shared" si="10"/>
        <v>111806.28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54807</v>
      </c>
      <c r="E36" s="39">
        <v>111806.28</v>
      </c>
      <c r="F36" s="61">
        <f>SUM(F32:F35)</f>
        <v>0</v>
      </c>
      <c r="G36" s="39">
        <f>SUM(G32:G35)</f>
        <v>0</v>
      </c>
      <c r="H36" s="61">
        <f>SUM(H32:H35)</f>
        <v>54807</v>
      </c>
      <c r="I36" s="39">
        <f>SUM(I32:I35)</f>
        <v>111806.28</v>
      </c>
      <c r="J36" s="61">
        <f>SUM(J32:J34)</f>
        <v>0</v>
      </c>
      <c r="K36" s="39">
        <f>SUM(K32:K34)</f>
        <v>0</v>
      </c>
      <c r="L36" s="61">
        <f>SUM(L32:L35)</f>
        <v>54807</v>
      </c>
      <c r="M36" s="39">
        <f>SUM(M32:M35)</f>
        <v>111806.28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1120773</v>
      </c>
      <c r="E39" s="38">
        <v>1992178</v>
      </c>
      <c r="F39" s="60">
        <f t="shared" ref="F39:G41" si="13">H39-D39</f>
        <v>0</v>
      </c>
      <c r="G39" s="37">
        <f t="shared" si="13"/>
        <v>0</v>
      </c>
      <c r="H39" s="65">
        <f t="shared" si="12"/>
        <v>1120773</v>
      </c>
      <c r="I39" s="66">
        <f t="shared" si="12"/>
        <v>1992178</v>
      </c>
      <c r="J39" s="60"/>
      <c r="K39" s="38"/>
      <c r="L39" s="60">
        <f t="shared" ref="L39:M41" si="14">H39+J39</f>
        <v>1120773</v>
      </c>
      <c r="M39" s="38">
        <f t="shared" si="14"/>
        <v>1992178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1120773</v>
      </c>
      <c r="E43" s="39">
        <v>1992178</v>
      </c>
      <c r="F43" s="61">
        <f t="shared" ref="F43:M43" si="16">F42+F39</f>
        <v>0</v>
      </c>
      <c r="G43" s="39">
        <f t="shared" si="16"/>
        <v>0</v>
      </c>
      <c r="H43" s="61">
        <f>H42+H39</f>
        <v>1120773</v>
      </c>
      <c r="I43" s="39">
        <f>I42+I39</f>
        <v>1992178</v>
      </c>
      <c r="J43" s="61">
        <f t="shared" si="16"/>
        <v>0</v>
      </c>
      <c r="K43" s="39">
        <f t="shared" si="16"/>
        <v>0</v>
      </c>
      <c r="L43" s="61">
        <f t="shared" si="16"/>
        <v>1120773</v>
      </c>
      <c r="M43" s="39">
        <f t="shared" si="16"/>
        <v>1992178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-207749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-207749</v>
      </c>
      <c r="J70" s="65"/>
      <c r="K70" s="38"/>
      <c r="L70" s="60">
        <f t="shared" si="20"/>
        <v>0</v>
      </c>
      <c r="M70" s="38">
        <f t="shared" si="20"/>
        <v>-207749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-176228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-176228</v>
      </c>
      <c r="J71" s="65"/>
      <c r="K71" s="38"/>
      <c r="L71" s="60">
        <f t="shared" si="20"/>
        <v>0</v>
      </c>
      <c r="M71" s="38">
        <f t="shared" si="20"/>
        <v>-176228</v>
      </c>
    </row>
    <row r="72" spans="1:13" x14ac:dyDescent="0.2">
      <c r="A72" s="9"/>
      <c r="B72" s="3"/>
      <c r="C72" s="55" t="s">
        <v>73</v>
      </c>
      <c r="D72" s="61">
        <v>0</v>
      </c>
      <c r="E72" s="39">
        <v>-383977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-383977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-383977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683221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683221</v>
      </c>
      <c r="J74" s="60"/>
      <c r="K74" s="38"/>
      <c r="L74" s="60">
        <f t="shared" si="23"/>
        <v>0</v>
      </c>
      <c r="M74" s="38">
        <f t="shared" si="23"/>
        <v>683221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-9112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-9112</v>
      </c>
      <c r="J76" s="60"/>
      <c r="K76" s="38"/>
      <c r="L76" s="60">
        <f t="shared" si="23"/>
        <v>0</v>
      </c>
      <c r="M76" s="38">
        <f t="shared" si="23"/>
        <v>-9112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82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25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263445.28000000003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263445.28000000003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263445.28000000003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188</v>
      </c>
      <c r="B85" s="3"/>
      <c r="L85" s="45"/>
    </row>
    <row r="86" spans="1:13" s="3" customFormat="1" x14ac:dyDescent="0.2">
      <c r="A86" s="182"/>
      <c r="C86" s="10" t="s">
        <v>191</v>
      </c>
      <c r="D86" s="168">
        <v>0</v>
      </c>
      <c r="E86" s="168">
        <v>-110642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-110642</v>
      </c>
      <c r="J86" s="168"/>
      <c r="K86" s="168"/>
      <c r="L86" s="168">
        <f t="shared" ref="L86:M88" si="27">H86+J86</f>
        <v>0</v>
      </c>
      <c r="M86" s="168">
        <f t="shared" si="27"/>
        <v>-110642</v>
      </c>
    </row>
    <row r="87" spans="1:13" s="3" customFormat="1" x14ac:dyDescent="0.2">
      <c r="A87" s="182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13" s="3" customFormat="1" x14ac:dyDescent="0.2">
      <c r="A88" s="182"/>
      <c r="C88" s="10" t="s">
        <v>76</v>
      </c>
      <c r="D88" s="170">
        <v>0</v>
      </c>
      <c r="E88" s="170">
        <v>0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0</v>
      </c>
      <c r="J88" s="170"/>
      <c r="K88" s="170"/>
      <c r="L88" s="170">
        <f t="shared" si="27"/>
        <v>0</v>
      </c>
      <c r="M88" s="170">
        <f t="shared" si="27"/>
        <v>0</v>
      </c>
    </row>
    <row r="89" spans="1:13" s="2" customFormat="1" ht="20.25" customHeight="1" x14ac:dyDescent="0.2">
      <c r="A89" s="182"/>
      <c r="B89" s="4"/>
      <c r="C89" s="196" t="s">
        <v>192</v>
      </c>
      <c r="D89" s="195">
        <f>SUM(D86:D88)</f>
        <v>0</v>
      </c>
      <c r="E89" s="195">
        <f t="shared" ref="E89:M89" si="28">SUM(E86:E88)</f>
        <v>-110642</v>
      </c>
      <c r="F89" s="195">
        <f t="shared" si="28"/>
        <v>0</v>
      </c>
      <c r="G89" s="195">
        <f t="shared" si="28"/>
        <v>0</v>
      </c>
      <c r="H89" s="195">
        <f t="shared" si="28"/>
        <v>0</v>
      </c>
      <c r="I89" s="195">
        <f t="shared" si="28"/>
        <v>-110642</v>
      </c>
      <c r="J89" s="195">
        <f t="shared" si="28"/>
        <v>0</v>
      </c>
      <c r="K89" s="195">
        <f t="shared" si="28"/>
        <v>0</v>
      </c>
      <c r="L89" s="195">
        <f t="shared" si="28"/>
        <v>0</v>
      </c>
      <c r="M89" s="195">
        <f t="shared" si="28"/>
        <v>-110642</v>
      </c>
    </row>
    <row r="90" spans="1:13" x14ac:dyDescent="0.2">
      <c r="A90" s="4"/>
      <c r="B90" s="3"/>
    </row>
    <row r="91" spans="1:13" s="2" customFormat="1" ht="20.25" customHeight="1" x14ac:dyDescent="0.2">
      <c r="A91" s="182"/>
      <c r="B91" s="4"/>
      <c r="C91" s="196" t="s">
        <v>195</v>
      </c>
      <c r="D91" s="195">
        <f>+D82+D89</f>
        <v>0</v>
      </c>
      <c r="E91" s="195">
        <f t="shared" ref="E91:M91" si="29">+E82+E89</f>
        <v>152803.28000000003</v>
      </c>
      <c r="F91" s="195">
        <f t="shared" si="29"/>
        <v>0</v>
      </c>
      <c r="G91" s="195">
        <f t="shared" si="29"/>
        <v>0</v>
      </c>
      <c r="H91" s="195">
        <f t="shared" si="29"/>
        <v>0</v>
      </c>
      <c r="I91" s="195">
        <f t="shared" si="29"/>
        <v>152803.28000000003</v>
      </c>
      <c r="J91" s="195">
        <f t="shared" si="29"/>
        <v>0</v>
      </c>
      <c r="K91" s="195">
        <f t="shared" si="29"/>
        <v>0</v>
      </c>
      <c r="L91" s="195">
        <f t="shared" si="29"/>
        <v>0</v>
      </c>
      <c r="M91" s="195">
        <f t="shared" si="29"/>
        <v>152803.28000000003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zoomScale="75" workbookViewId="0"/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5539729</v>
      </c>
      <c r="E11" s="65">
        <v>6102564</v>
      </c>
      <c r="F11" s="60">
        <f>H11-D11</f>
        <v>0</v>
      </c>
      <c r="G11" s="37">
        <f>I11-E11</f>
        <v>0</v>
      </c>
      <c r="H11" s="65">
        <f>D11</f>
        <v>5539729</v>
      </c>
      <c r="I11" s="66">
        <f>E11</f>
        <v>6102564</v>
      </c>
      <c r="J11" s="60"/>
      <c r="K11" s="38"/>
      <c r="L11" s="60">
        <f t="shared" ref="L11:M15" si="0">H11+J11</f>
        <v>5539729</v>
      </c>
      <c r="M11" s="38">
        <f t="shared" si="0"/>
        <v>6102564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11170675</v>
      </c>
      <c r="E13" s="65">
        <v>22517317</v>
      </c>
      <c r="F13" s="60">
        <f t="shared" si="1"/>
        <v>0</v>
      </c>
      <c r="G13" s="37">
        <f t="shared" si="1"/>
        <v>0</v>
      </c>
      <c r="H13" s="65">
        <f t="shared" si="2"/>
        <v>11170675</v>
      </c>
      <c r="I13" s="66">
        <f t="shared" si="2"/>
        <v>22517317</v>
      </c>
      <c r="J13" s="60"/>
      <c r="K13" s="38"/>
      <c r="L13" s="60">
        <f t="shared" si="0"/>
        <v>11170675</v>
      </c>
      <c r="M13" s="38">
        <f t="shared" si="0"/>
        <v>22517317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16710404</v>
      </c>
      <c r="E16" s="39">
        <v>28619881</v>
      </c>
      <c r="F16" s="61">
        <f t="shared" ref="F16:M16" si="3">SUM(F11:F15)</f>
        <v>0</v>
      </c>
      <c r="G16" s="39">
        <f t="shared" si="3"/>
        <v>0</v>
      </c>
      <c r="H16" s="61">
        <f>SUM(H11:H15)</f>
        <v>16710404</v>
      </c>
      <c r="I16" s="39">
        <f>SUM(I11:I15)</f>
        <v>28619881</v>
      </c>
      <c r="J16" s="61">
        <f t="shared" si="3"/>
        <v>0</v>
      </c>
      <c r="K16" s="39">
        <f t="shared" si="3"/>
        <v>0</v>
      </c>
      <c r="L16" s="61">
        <f t="shared" si="3"/>
        <v>16710404</v>
      </c>
      <c r="M16" s="39">
        <f t="shared" si="3"/>
        <v>28619881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-3146663</v>
      </c>
      <c r="E19" s="65">
        <v>-2560765</v>
      </c>
      <c r="F19" s="60">
        <f>H19-D19</f>
        <v>0</v>
      </c>
      <c r="G19" s="37">
        <f>I19-E19</f>
        <v>0</v>
      </c>
      <c r="H19" s="65">
        <f t="shared" si="4"/>
        <v>-3146663</v>
      </c>
      <c r="I19" s="66">
        <f t="shared" si="4"/>
        <v>-2560765</v>
      </c>
      <c r="J19" s="60"/>
      <c r="K19" s="38"/>
      <c r="L19" s="60">
        <f t="shared" ref="L19:M23" si="5">H19+J19</f>
        <v>-3146663</v>
      </c>
      <c r="M19" s="38">
        <f t="shared" si="5"/>
        <v>-2560765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-13053354</v>
      </c>
      <c r="E21" s="65">
        <v>-25305233</v>
      </c>
      <c r="F21" s="60">
        <f t="shared" si="6"/>
        <v>0</v>
      </c>
      <c r="G21" s="37">
        <f t="shared" si="6"/>
        <v>0</v>
      </c>
      <c r="H21" s="65">
        <f t="shared" si="4"/>
        <v>-13053354</v>
      </c>
      <c r="I21" s="66">
        <f t="shared" si="4"/>
        <v>-25305233</v>
      </c>
      <c r="J21" s="60"/>
      <c r="K21" s="38"/>
      <c r="L21" s="60">
        <f t="shared" si="5"/>
        <v>-13053354</v>
      </c>
      <c r="M21" s="38">
        <f t="shared" si="5"/>
        <v>-25305233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316085</v>
      </c>
      <c r="E23" s="65">
        <v>579242</v>
      </c>
      <c r="F23" s="60">
        <f t="shared" si="6"/>
        <v>0</v>
      </c>
      <c r="G23" s="37">
        <f t="shared" si="6"/>
        <v>0</v>
      </c>
      <c r="H23" s="65">
        <f t="shared" si="4"/>
        <v>316085</v>
      </c>
      <c r="I23" s="66">
        <f t="shared" si="4"/>
        <v>579242</v>
      </c>
      <c r="J23" s="60"/>
      <c r="K23" s="38"/>
      <c r="L23" s="60">
        <f t="shared" si="5"/>
        <v>316085</v>
      </c>
      <c r="M23" s="38">
        <f t="shared" si="5"/>
        <v>579242</v>
      </c>
    </row>
    <row r="24" spans="1:13" x14ac:dyDescent="0.2">
      <c r="A24" s="9"/>
      <c r="B24" s="7" t="s">
        <v>37</v>
      </c>
      <c r="C24" s="6"/>
      <c r="D24" s="61">
        <v>-15883932</v>
      </c>
      <c r="E24" s="39">
        <v>-27286756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-15883932</v>
      </c>
      <c r="I24" s="39">
        <f>SUM(I19:I23)</f>
        <v>-27286756</v>
      </c>
      <c r="J24" s="61">
        <f t="shared" si="7"/>
        <v>0</v>
      </c>
      <c r="K24" s="39">
        <f t="shared" si="7"/>
        <v>0</v>
      </c>
      <c r="L24" s="61">
        <f t="shared" si="7"/>
        <v>-15883932</v>
      </c>
      <c r="M24" s="39">
        <f t="shared" si="7"/>
        <v>-27286756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5">
        <v>37747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37747</v>
      </c>
      <c r="I33" s="66">
        <f t="shared" si="9"/>
        <v>0</v>
      </c>
      <c r="J33" s="60"/>
      <c r="K33" s="38"/>
      <c r="L33" s="60">
        <f t="shared" si="10"/>
        <v>37747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5">
        <v>51682</v>
      </c>
      <c r="E34" s="65">
        <v>102343</v>
      </c>
      <c r="F34" s="60">
        <f t="shared" si="11"/>
        <v>0</v>
      </c>
      <c r="G34" s="37">
        <f t="shared" si="11"/>
        <v>0</v>
      </c>
      <c r="H34" s="65">
        <f t="shared" si="9"/>
        <v>51682</v>
      </c>
      <c r="I34" s="66">
        <f t="shared" si="9"/>
        <v>102343</v>
      </c>
      <c r="J34" s="60"/>
      <c r="K34" s="38"/>
      <c r="L34" s="60">
        <f t="shared" si="10"/>
        <v>51682</v>
      </c>
      <c r="M34" s="38">
        <f t="shared" si="10"/>
        <v>102343</v>
      </c>
    </row>
    <row r="35" spans="1:13" x14ac:dyDescent="0.2">
      <c r="A35" s="9">
        <v>16</v>
      </c>
      <c r="B35" s="7"/>
      <c r="C35" s="18" t="s">
        <v>46</v>
      </c>
      <c r="D35" s="65">
        <v>-60899</v>
      </c>
      <c r="E35" s="65">
        <v>-129782</v>
      </c>
      <c r="F35" s="60">
        <f t="shared" si="11"/>
        <v>0</v>
      </c>
      <c r="G35" s="37">
        <f t="shared" si="11"/>
        <v>0</v>
      </c>
      <c r="H35" s="65">
        <f t="shared" si="9"/>
        <v>-60899</v>
      </c>
      <c r="I35" s="66">
        <f t="shared" si="9"/>
        <v>-129782</v>
      </c>
      <c r="J35" s="60"/>
      <c r="K35" s="38"/>
      <c r="L35" s="60">
        <f t="shared" si="10"/>
        <v>-60899</v>
      </c>
      <c r="M35" s="38">
        <f t="shared" si="10"/>
        <v>-129782</v>
      </c>
    </row>
    <row r="36" spans="1:13" x14ac:dyDescent="0.2">
      <c r="A36" s="9"/>
      <c r="B36" s="7" t="s">
        <v>47</v>
      </c>
      <c r="C36" s="6"/>
      <c r="D36" s="61">
        <v>28530</v>
      </c>
      <c r="E36" s="39">
        <v>-27439</v>
      </c>
      <c r="F36" s="61">
        <f>SUM(F32:F35)</f>
        <v>0</v>
      </c>
      <c r="G36" s="39">
        <f>SUM(G32:G35)</f>
        <v>0</v>
      </c>
      <c r="H36" s="61">
        <f>SUM(H32:H35)</f>
        <v>28530</v>
      </c>
      <c r="I36" s="39">
        <f>SUM(I32:I35)</f>
        <v>-27439</v>
      </c>
      <c r="J36" s="61">
        <f>SUM(J32:J34)</f>
        <v>0</v>
      </c>
      <c r="K36" s="39">
        <f>SUM(K32:K34)</f>
        <v>0</v>
      </c>
      <c r="L36" s="61">
        <f>SUM(L32:L35)</f>
        <v>28530</v>
      </c>
      <c r="M36" s="39">
        <f>SUM(M32:M35)</f>
        <v>-27439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13048</v>
      </c>
      <c r="E39" s="65">
        <v>23225</v>
      </c>
      <c r="F39" s="60">
        <f t="shared" ref="F39:G41" si="13">H39-D39</f>
        <v>0</v>
      </c>
      <c r="G39" s="37">
        <f t="shared" si="13"/>
        <v>0</v>
      </c>
      <c r="H39" s="65">
        <f t="shared" si="12"/>
        <v>13048</v>
      </c>
      <c r="I39" s="66">
        <f t="shared" si="12"/>
        <v>23225</v>
      </c>
      <c r="J39" s="60"/>
      <c r="K39" s="38"/>
      <c r="L39" s="60">
        <f t="shared" ref="L39:M41" si="14">H39+J39</f>
        <v>13048</v>
      </c>
      <c r="M39" s="38">
        <f t="shared" si="14"/>
        <v>23225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-868050</v>
      </c>
      <c r="E40" s="65">
        <v>-87524</v>
      </c>
      <c r="F40" s="60">
        <f t="shared" si="13"/>
        <v>0</v>
      </c>
      <c r="G40" s="37">
        <f t="shared" si="13"/>
        <v>0</v>
      </c>
      <c r="H40" s="65">
        <f t="shared" si="12"/>
        <v>-868050</v>
      </c>
      <c r="I40" s="66">
        <f t="shared" si="12"/>
        <v>-87524</v>
      </c>
      <c r="J40" s="65"/>
      <c r="K40" s="38"/>
      <c r="L40" s="60">
        <f t="shared" si="14"/>
        <v>-868050</v>
      </c>
      <c r="M40" s="38">
        <f t="shared" si="14"/>
        <v>-87524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-868050</v>
      </c>
      <c r="E42" s="39">
        <v>-87524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-868050</v>
      </c>
      <c r="I42" s="39">
        <f>SUM(I40:I41)</f>
        <v>-87524</v>
      </c>
      <c r="J42" s="69">
        <f t="shared" si="15"/>
        <v>0</v>
      </c>
      <c r="K42" s="39">
        <f t="shared" si="15"/>
        <v>0</v>
      </c>
      <c r="L42" s="69">
        <f t="shared" si="15"/>
        <v>-868050</v>
      </c>
      <c r="M42" s="39">
        <f t="shared" si="15"/>
        <v>-87524</v>
      </c>
    </row>
    <row r="43" spans="1:13" ht="21" customHeight="1" x14ac:dyDescent="0.2">
      <c r="A43" s="9"/>
      <c r="B43" s="7" t="s">
        <v>53</v>
      </c>
      <c r="C43" s="6"/>
      <c r="D43" s="61">
        <v>-855002</v>
      </c>
      <c r="E43" s="39">
        <v>-64299</v>
      </c>
      <c r="F43" s="61">
        <f t="shared" ref="F43:M43" si="16">F42+F39</f>
        <v>0</v>
      </c>
      <c r="G43" s="39">
        <f t="shared" si="16"/>
        <v>0</v>
      </c>
      <c r="H43" s="61">
        <f>H42+H39</f>
        <v>-855002</v>
      </c>
      <c r="I43" s="39">
        <f>I42+I39</f>
        <v>-64299</v>
      </c>
      <c r="J43" s="61">
        <f t="shared" si="16"/>
        <v>0</v>
      </c>
      <c r="K43" s="39">
        <f t="shared" si="16"/>
        <v>0</v>
      </c>
      <c r="L43" s="61">
        <f t="shared" si="16"/>
        <v>-855002</v>
      </c>
      <c r="M43" s="39">
        <f t="shared" si="16"/>
        <v>-64299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-316085</v>
      </c>
      <c r="E51" s="65">
        <v>-579242</v>
      </c>
      <c r="F51" s="60">
        <f>H51-D51</f>
        <v>0</v>
      </c>
      <c r="G51" s="37">
        <f>I51-E51</f>
        <v>0</v>
      </c>
      <c r="H51" s="65">
        <f>D51</f>
        <v>-316085</v>
      </c>
      <c r="I51" s="66">
        <f>E51</f>
        <v>-579242</v>
      </c>
      <c r="J51" s="60"/>
      <c r="K51" s="38"/>
      <c r="L51" s="60">
        <f>H51+J51</f>
        <v>-316085</v>
      </c>
      <c r="M51" s="38">
        <f>I51+K51</f>
        <v>-579242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-474256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-474256</v>
      </c>
      <c r="J54" s="60"/>
      <c r="K54" s="38"/>
      <c r="L54" s="60">
        <f>H54+J54</f>
        <v>0</v>
      </c>
      <c r="M54" s="38">
        <f>I54+K54</f>
        <v>-474256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-974389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-974389</v>
      </c>
      <c r="J55" s="60"/>
      <c r="K55" s="38"/>
      <c r="L55" s="60">
        <f>H55+J55</f>
        <v>0</v>
      </c>
      <c r="M55" s="38">
        <f>I55+K55</f>
        <v>-974389</v>
      </c>
    </row>
    <row r="56" spans="1:15" x14ac:dyDescent="0.2">
      <c r="A56" s="9"/>
      <c r="B56" s="7" t="s">
        <v>61</v>
      </c>
      <c r="C56" s="6"/>
      <c r="D56" s="61">
        <v>0</v>
      </c>
      <c r="E56" s="39">
        <v>-1448645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-1448645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-1448645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0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149339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149339</v>
      </c>
      <c r="J74" s="60"/>
      <c r="K74" s="38"/>
      <c r="L74" s="60">
        <f t="shared" si="23"/>
        <v>0</v>
      </c>
      <c r="M74" s="38">
        <f t="shared" si="23"/>
        <v>149339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974389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974389</v>
      </c>
      <c r="J79" s="60"/>
      <c r="K79" s="38"/>
      <c r="L79" s="60">
        <f t="shared" si="23"/>
        <v>0</v>
      </c>
      <c r="M79" s="38">
        <f t="shared" si="23"/>
        <v>974389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-337772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-337772</v>
      </c>
      <c r="J81" s="60"/>
      <c r="K81" s="38"/>
      <c r="L81" s="60">
        <f t="shared" si="23"/>
        <v>0</v>
      </c>
      <c r="M81" s="38">
        <f t="shared" si="23"/>
        <v>-337772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-544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S179"/>
  <sheetViews>
    <sheetView zoomScale="75" workbookViewId="0">
      <pane xSplit="3" ySplit="9" topLeftCell="D53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N647" sqref="AN64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">
        <v>181</v>
      </c>
      <c r="I8" s="27"/>
      <c r="J8" s="26" t="s">
        <v>182</v>
      </c>
      <c r="K8" s="27"/>
      <c r="L8" s="26" t="s">
        <v>187</v>
      </c>
      <c r="M8" s="27"/>
      <c r="N8" s="26" t="s">
        <v>199</v>
      </c>
      <c r="O8" s="27"/>
      <c r="P8" s="26" t="s">
        <v>200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48417783</v>
      </c>
      <c r="E11" s="38">
        <f t="shared" si="0"/>
        <v>95036387.339999989</v>
      </c>
      <c r="F11" s="60">
        <f>'TIE-OUT'!F11+RECLASS!F11</f>
        <v>0</v>
      </c>
      <c r="G11" s="38">
        <f>'TIE-OUT'!G11+RECLASS!G11</f>
        <v>-1866200</v>
      </c>
      <c r="H11" s="133">
        <f>+Actuals!E124</f>
        <v>44702204</v>
      </c>
      <c r="I11" s="134">
        <f>+Actuals!F124</f>
        <v>88985236.590000004</v>
      </c>
      <c r="J11" s="133">
        <f>+Actuals!G124</f>
        <v>3664432</v>
      </c>
      <c r="K11" s="134">
        <f>+Actuals!H124</f>
        <v>8007989.2400000002</v>
      </c>
      <c r="L11" s="133">
        <f>+Actuals!I124</f>
        <v>43968</v>
      </c>
      <c r="M11" s="134">
        <f>+Actuals!J124</f>
        <v>177131.66</v>
      </c>
      <c r="N11" s="133">
        <f>+Actuals!K124</f>
        <v>-5000</v>
      </c>
      <c r="O11" s="134">
        <f>+Actuals!L124</f>
        <v>-29287.5</v>
      </c>
      <c r="P11" s="133">
        <f>+Actuals!M124</f>
        <v>12175</v>
      </c>
      <c r="Q11" s="134">
        <f>+Actuals!N124</f>
        <v>25275.27</v>
      </c>
      <c r="R11" s="133">
        <f>+Actuals!O124</f>
        <v>0</v>
      </c>
      <c r="S11" s="134">
        <f>+Actuals!P124</f>
        <v>-331643.06</v>
      </c>
      <c r="T11" s="133">
        <f>+Actuals!Q124</f>
        <v>0</v>
      </c>
      <c r="U11" s="134">
        <f>+Actuals!R124</f>
        <v>0</v>
      </c>
      <c r="V11" s="133">
        <f>+Actuals!S124</f>
        <v>4</v>
      </c>
      <c r="W11" s="134">
        <f>+Actuals!T124</f>
        <v>-99855.06</v>
      </c>
      <c r="X11" s="133">
        <f>+Actuals!U124</f>
        <v>0</v>
      </c>
      <c r="Y11" s="134">
        <f>+Actuals!V124</f>
        <v>0</v>
      </c>
      <c r="Z11" s="133">
        <f>+Actuals!W124</f>
        <v>0</v>
      </c>
      <c r="AA11" s="134">
        <f>+Actuals!X124</f>
        <v>0</v>
      </c>
      <c r="AB11" s="133">
        <f>+Actuals!Y164</f>
        <v>0</v>
      </c>
      <c r="AC11" s="134">
        <f>+Actuals!Z164</f>
        <v>-17494.32</v>
      </c>
      <c r="AD11" s="133">
        <f>+Actuals!AA164</f>
        <v>0</v>
      </c>
      <c r="AE11" s="134">
        <f>+Actuals!AB164</f>
        <v>0</v>
      </c>
      <c r="AF11" s="133">
        <f>+Actuals!AC164</f>
        <v>0</v>
      </c>
      <c r="AG11" s="134">
        <f>+Actuals!AD164</f>
        <v>0</v>
      </c>
      <c r="AH11" s="133">
        <f>+Actuals!AE164</f>
        <v>0</v>
      </c>
      <c r="AI11" s="134">
        <f>+Actuals!AF164</f>
        <v>0</v>
      </c>
      <c r="AJ11" s="133">
        <f>+Actuals!AG164</f>
        <v>0</v>
      </c>
      <c r="AK11" s="165">
        <f>+Actuals!AH164+145662</f>
        <v>185234.52</v>
      </c>
      <c r="AL11" s="133">
        <f>+Actuals!AI164</f>
        <v>0</v>
      </c>
      <c r="AM11" s="165">
        <f>+Actuals!AJ164</f>
        <v>0</v>
      </c>
      <c r="AN11" s="133">
        <f>+Actuals!AK164</f>
        <v>0</v>
      </c>
      <c r="AO11" s="165">
        <f>+Actuals!AL164</f>
        <v>0</v>
      </c>
      <c r="AP11" s="133">
        <f>+Actuals!AM164</f>
        <v>0</v>
      </c>
      <c r="AQ11" s="165">
        <f>+Actuals!AN164</f>
        <v>0</v>
      </c>
      <c r="AR11" s="133">
        <f>+Actuals!AO164</f>
        <v>0</v>
      </c>
      <c r="AS11" s="165">
        <f>+Actuals!AP164</f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-11782090.26</v>
      </c>
      <c r="F12" s="60">
        <f>'TIE-OUT'!F12+RECLASS!F12</f>
        <v>0</v>
      </c>
      <c r="G12" s="38">
        <f>'TIE-OUT'!G12+RECLASS!G12</f>
        <v>-11818360.26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</f>
        <v>0</v>
      </c>
      <c r="L12" s="133">
        <f>+Actuals!I125</f>
        <v>0</v>
      </c>
      <c r="M12" s="172">
        <f>+Actuals!J125+36270</f>
        <v>36270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+Actuals!Y165</f>
        <v>0</v>
      </c>
      <c r="AC12" s="134">
        <f>+Actuals!Z165</f>
        <v>0</v>
      </c>
      <c r="AD12" s="133">
        <f>+Actuals!AA165</f>
        <v>0</v>
      </c>
      <c r="AE12" s="134">
        <f>+Actuals!AB165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  <c r="AJ12" s="133">
        <f>+Actuals!AG165</f>
        <v>0</v>
      </c>
      <c r="AK12" s="134">
        <f>+Actuals!AH165</f>
        <v>0</v>
      </c>
      <c r="AL12" s="133">
        <f>+Actuals!AI165</f>
        <v>0</v>
      </c>
      <c r="AM12" s="134">
        <f>+Actuals!AJ165</f>
        <v>0</v>
      </c>
      <c r="AN12" s="133">
        <f>+Actuals!AK165</f>
        <v>0</v>
      </c>
      <c r="AO12" s="134">
        <f>+Actuals!AL165</f>
        <v>0</v>
      </c>
      <c r="AP12" s="133">
        <f>+Actuals!AM165</f>
        <v>0</v>
      </c>
      <c r="AQ12" s="134">
        <f>+Actuals!AN165</f>
        <v>0</v>
      </c>
      <c r="AR12" s="133">
        <f>+Actuals!AO165</f>
        <v>0</v>
      </c>
      <c r="AS12" s="134">
        <f>+Actuals!AP165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14613967</v>
      </c>
      <c r="E13" s="38">
        <f t="shared" si="0"/>
        <v>25364445</v>
      </c>
      <c r="F13" s="60">
        <f>'TIE-OUT'!F13+RECLASS!F13</f>
        <v>0</v>
      </c>
      <c r="G13" s="38">
        <f>'TIE-OUT'!G13+RECLASS!G13</f>
        <v>0</v>
      </c>
      <c r="H13" s="133">
        <f>+Actuals!E126</f>
        <v>14613967</v>
      </c>
      <c r="I13" s="134">
        <f>+Actuals!F126</f>
        <v>25364445</v>
      </c>
      <c r="J13" s="133">
        <f>+Actuals!G126</f>
        <v>-88716</v>
      </c>
      <c r="K13" s="134">
        <f>+Actuals!H126</f>
        <v>-147006</v>
      </c>
      <c r="L13" s="133">
        <f>+Actuals!I126</f>
        <v>0</v>
      </c>
      <c r="M13" s="134">
        <f>+Actuals!J126</f>
        <v>0</v>
      </c>
      <c r="N13" s="133">
        <f>+Actuals!K126</f>
        <v>0</v>
      </c>
      <c r="O13" s="134">
        <f>+Actuals!L126</f>
        <v>0</v>
      </c>
      <c r="P13" s="133">
        <f>+Actuals!M126</f>
        <v>0</v>
      </c>
      <c r="Q13" s="134">
        <f>+Actuals!N126</f>
        <v>0</v>
      </c>
      <c r="R13" s="133">
        <f>+Actuals!O126</f>
        <v>-79</v>
      </c>
      <c r="S13" s="134">
        <f>+Actuals!P126</f>
        <v>-125</v>
      </c>
      <c r="T13" s="133">
        <f>+Actuals!Q126</f>
        <v>0</v>
      </c>
      <c r="U13" s="134">
        <f>+Actuals!R126</f>
        <v>0</v>
      </c>
      <c r="V13" s="133">
        <f>+Actuals!S126</f>
        <v>75529</v>
      </c>
      <c r="W13" s="134">
        <f>+Actuals!T126</f>
        <v>125643</v>
      </c>
      <c r="X13" s="133">
        <f>+Actuals!U126</f>
        <v>75608</v>
      </c>
      <c r="Y13" s="134">
        <f>+Actuals!V126</f>
        <v>125769</v>
      </c>
      <c r="Z13" s="133">
        <f>+Actuals!W126</f>
        <v>-62342</v>
      </c>
      <c r="AA13" s="134">
        <f>+Actuals!X126</f>
        <v>-104281</v>
      </c>
      <c r="AB13" s="133">
        <f>+Actuals!Y166</f>
        <v>62342</v>
      </c>
      <c r="AC13" s="134">
        <f>+Actuals!Z166</f>
        <v>104281</v>
      </c>
      <c r="AD13" s="133">
        <f>+Actuals!AA166</f>
        <v>0</v>
      </c>
      <c r="AE13" s="134">
        <f>+Actuals!AB166</f>
        <v>0</v>
      </c>
      <c r="AF13" s="133">
        <f>+Actuals!AC166</f>
        <v>-62342</v>
      </c>
      <c r="AG13" s="134">
        <f>+Actuals!AD166</f>
        <v>-104281</v>
      </c>
      <c r="AH13" s="133">
        <f>+Actuals!AE166</f>
        <v>0</v>
      </c>
      <c r="AI13" s="134">
        <f>+Actuals!AF166</f>
        <v>0</v>
      </c>
      <c r="AJ13" s="133">
        <f>+Actuals!AG166</f>
        <v>0</v>
      </c>
      <c r="AK13" s="134">
        <f>+Actuals!AH166</f>
        <v>0</v>
      </c>
      <c r="AL13" s="133">
        <f>+Actuals!AI166</f>
        <v>0</v>
      </c>
      <c r="AM13" s="134">
        <f>+Actuals!AJ166</f>
        <v>0</v>
      </c>
      <c r="AN13" s="133">
        <f>+Actuals!AK166</f>
        <v>0</v>
      </c>
      <c r="AO13" s="134">
        <f>+Actuals!AL166</f>
        <v>0</v>
      </c>
      <c r="AP13" s="133">
        <f>+Actuals!AM166</f>
        <v>0</v>
      </c>
      <c r="AQ13" s="134">
        <f>+Actuals!AN166</f>
        <v>0</v>
      </c>
      <c r="AR13" s="133">
        <f>+Actuals!AO166</f>
        <v>0</v>
      </c>
      <c r="AS13" s="134">
        <f>+Actuals!AP166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+Actuals!Y167</f>
        <v>0</v>
      </c>
      <c r="AC14" s="134">
        <f>+Actuals!Z167</f>
        <v>0</v>
      </c>
      <c r="AD14" s="133">
        <f>+Actuals!AA167</f>
        <v>0</v>
      </c>
      <c r="AE14" s="134">
        <f>+Actuals!AB167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  <c r="AJ14" s="133">
        <f>+Actuals!AG167</f>
        <v>0</v>
      </c>
      <c r="AK14" s="134">
        <f>+Actuals!AH167</f>
        <v>0</v>
      </c>
      <c r="AL14" s="133">
        <f>+Actuals!AI167</f>
        <v>0</v>
      </c>
      <c r="AM14" s="134">
        <f>+Actuals!AJ167</f>
        <v>0</v>
      </c>
      <c r="AN14" s="133">
        <f>+Actuals!AK167</f>
        <v>0</v>
      </c>
      <c r="AO14" s="134">
        <f>+Actuals!AL167</f>
        <v>0</v>
      </c>
      <c r="AP14" s="133">
        <f>+Actuals!AM167</f>
        <v>0</v>
      </c>
      <c r="AQ14" s="134">
        <f>+Actuals!AN167</f>
        <v>0</v>
      </c>
      <c r="AR14" s="133">
        <f>+Actuals!AO167</f>
        <v>0</v>
      </c>
      <c r="AS14" s="134">
        <f>+Actuals!AP167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-2709911</v>
      </c>
      <c r="F15" s="81">
        <f>'TIE-OUT'!F15+RECLASS!F15</f>
        <v>0</v>
      </c>
      <c r="G15" s="82">
        <f>'TIE-OUT'!G15+RECLASS!G15</f>
        <v>-2709911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0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+Actuals!Y168</f>
        <v>0</v>
      </c>
      <c r="AC15" s="134">
        <f>+Actuals!Z168</f>
        <v>0</v>
      </c>
      <c r="AD15" s="133">
        <f>+Actuals!AA168</f>
        <v>0</v>
      </c>
      <c r="AE15" s="135">
        <f>+Actuals!AB168</f>
        <v>0</v>
      </c>
      <c r="AF15" s="133">
        <f>+Actuals!AC168</f>
        <v>0</v>
      </c>
      <c r="AG15" s="135">
        <f>+Actuals!AD168</f>
        <v>0</v>
      </c>
      <c r="AH15" s="133">
        <f>+Actuals!AE168</f>
        <v>0</v>
      </c>
      <c r="AI15" s="135">
        <f>+Actuals!AF168</f>
        <v>0</v>
      </c>
      <c r="AJ15" s="133">
        <f>+Actuals!AG168</f>
        <v>0</v>
      </c>
      <c r="AK15" s="135">
        <f>+Actuals!AH168</f>
        <v>0</v>
      </c>
      <c r="AL15" s="133">
        <f>+Actuals!AI168</f>
        <v>0</v>
      </c>
      <c r="AM15" s="135">
        <f>+Actuals!AJ168</f>
        <v>0</v>
      </c>
      <c r="AN15" s="133">
        <f>+Actuals!AK168</f>
        <v>0</v>
      </c>
      <c r="AO15" s="135">
        <f>+Actuals!AL168</f>
        <v>0</v>
      </c>
      <c r="AP15" s="133">
        <f>+Actuals!AM168</f>
        <v>0</v>
      </c>
      <c r="AQ15" s="135">
        <f>+Actuals!AN168</f>
        <v>0</v>
      </c>
      <c r="AR15" s="133">
        <f>+Actuals!AO168</f>
        <v>0</v>
      </c>
      <c r="AS15" s="135">
        <f>+Actuals!AP168</f>
        <v>0</v>
      </c>
    </row>
    <row r="16" spans="1:45" x14ac:dyDescent="0.2">
      <c r="A16" s="9"/>
      <c r="B16" s="7" t="s">
        <v>34</v>
      </c>
      <c r="C16" s="6"/>
      <c r="D16" s="61">
        <f t="shared" ref="D16:I16" si="1">SUM(D11:D15)</f>
        <v>63031750</v>
      </c>
      <c r="E16" s="39">
        <f t="shared" si="1"/>
        <v>105908831.07999998</v>
      </c>
      <c r="F16" s="61">
        <f t="shared" si="1"/>
        <v>0</v>
      </c>
      <c r="G16" s="39">
        <f t="shared" si="1"/>
        <v>-16394471.26</v>
      </c>
      <c r="H16" s="61">
        <f t="shared" si="1"/>
        <v>59316171</v>
      </c>
      <c r="I16" s="82">
        <f t="shared" si="1"/>
        <v>114349681.59</v>
      </c>
      <c r="J16" s="61">
        <f t="shared" ref="J16:AC16" si="2">SUM(J11:J15)</f>
        <v>3575716</v>
      </c>
      <c r="K16" s="82">
        <f t="shared" si="2"/>
        <v>7860983.2400000002</v>
      </c>
      <c r="L16" s="61">
        <f t="shared" si="2"/>
        <v>43968</v>
      </c>
      <c r="M16" s="82">
        <f t="shared" si="2"/>
        <v>213401.66</v>
      </c>
      <c r="N16" s="61">
        <f t="shared" si="2"/>
        <v>-5000</v>
      </c>
      <c r="O16" s="82">
        <f t="shared" si="2"/>
        <v>-29287.5</v>
      </c>
      <c r="P16" s="61">
        <f t="shared" si="2"/>
        <v>12175</v>
      </c>
      <c r="Q16" s="82">
        <f t="shared" si="2"/>
        <v>25275.27</v>
      </c>
      <c r="R16" s="61">
        <f t="shared" si="2"/>
        <v>-79</v>
      </c>
      <c r="S16" s="82">
        <f t="shared" si="2"/>
        <v>-331768.06</v>
      </c>
      <c r="T16" s="61">
        <f t="shared" si="2"/>
        <v>0</v>
      </c>
      <c r="U16" s="82">
        <f t="shared" si="2"/>
        <v>0</v>
      </c>
      <c r="V16" s="61">
        <f t="shared" si="2"/>
        <v>75533</v>
      </c>
      <c r="W16" s="82">
        <f t="shared" si="2"/>
        <v>25787.940000000002</v>
      </c>
      <c r="X16" s="61">
        <f t="shared" si="2"/>
        <v>75608</v>
      </c>
      <c r="Y16" s="82">
        <f t="shared" si="2"/>
        <v>125769</v>
      </c>
      <c r="Z16" s="61">
        <f t="shared" si="2"/>
        <v>-62342</v>
      </c>
      <c r="AA16" s="82">
        <f t="shared" si="2"/>
        <v>-104281</v>
      </c>
      <c r="AB16" s="61">
        <f t="shared" si="2"/>
        <v>62342</v>
      </c>
      <c r="AC16" s="39">
        <f t="shared" si="2"/>
        <v>86786.68</v>
      </c>
      <c r="AD16" s="61">
        <f t="shared" ref="AD16:AI16" si="3">SUM(AD11:AD15)</f>
        <v>0</v>
      </c>
      <c r="AE16" s="82">
        <f t="shared" si="3"/>
        <v>0</v>
      </c>
      <c r="AF16" s="61">
        <f t="shared" si="3"/>
        <v>-62342</v>
      </c>
      <c r="AG16" s="82">
        <f t="shared" si="3"/>
        <v>-104281</v>
      </c>
      <c r="AH16" s="61">
        <f t="shared" si="3"/>
        <v>0</v>
      </c>
      <c r="AI16" s="82">
        <f t="shared" si="3"/>
        <v>0</v>
      </c>
      <c r="AJ16" s="61">
        <f t="shared" ref="AJ16:AO16" si="4">SUM(AJ11:AJ15)</f>
        <v>0</v>
      </c>
      <c r="AK16" s="82">
        <f t="shared" si="4"/>
        <v>185234.52</v>
      </c>
      <c r="AL16" s="61">
        <f t="shared" si="4"/>
        <v>0</v>
      </c>
      <c r="AM16" s="82">
        <f t="shared" si="4"/>
        <v>0</v>
      </c>
      <c r="AN16" s="61">
        <f t="shared" si="4"/>
        <v>0</v>
      </c>
      <c r="AO16" s="82">
        <f t="shared" si="4"/>
        <v>0</v>
      </c>
      <c r="AP16" s="61">
        <f>SUM(AP11:AP15)</f>
        <v>0</v>
      </c>
      <c r="AQ16" s="82">
        <f>SUM(AQ11:AQ15)</f>
        <v>0</v>
      </c>
      <c r="AR16" s="61">
        <f>SUM(AR11:AR15)</f>
        <v>0</v>
      </c>
      <c r="AS16" s="82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SUM(F19,H19,J19,L19,N19,P19,R19,T19,V19,X19,Z19,AB19,AD19,AF19,AH19,AJ19,AL19,AN19,AP19,AR19)</f>
        <v>-45495785</v>
      </c>
      <c r="E19" s="38">
        <f t="shared" si="5"/>
        <v>-73847744.649999976</v>
      </c>
      <c r="F19" s="64">
        <f>'TIE-OUT'!F19+RECLASS!F19</f>
        <v>0</v>
      </c>
      <c r="G19" s="68">
        <f>'TIE-OUT'!G19+RECLASS!G19</f>
        <v>0</v>
      </c>
      <c r="H19" s="133">
        <f>+Actuals!E129</f>
        <v>-46537031</v>
      </c>
      <c r="I19" s="134">
        <f>+Actuals!F129</f>
        <v>-76578138.219999999</v>
      </c>
      <c r="J19" s="133">
        <f>+Actuals!G129</f>
        <v>42806</v>
      </c>
      <c r="K19" s="134">
        <f>+Actuals!H129</f>
        <v>254180.23</v>
      </c>
      <c r="L19" s="133">
        <f>+Actuals!I129</f>
        <v>5875</v>
      </c>
      <c r="M19" s="134">
        <f>+Actuals!J129</f>
        <v>3762.73</v>
      </c>
      <c r="N19" s="133">
        <f>+Actuals!K129</f>
        <v>0</v>
      </c>
      <c r="O19" s="134">
        <f>+Actuals!L129</f>
        <v>12331.86</v>
      </c>
      <c r="P19" s="133">
        <f>+Actuals!M129</f>
        <v>1092</v>
      </c>
      <c r="Q19" s="134">
        <f>+Actuals!N129</f>
        <v>1386.84</v>
      </c>
      <c r="R19" s="133">
        <f>+Actuals!O129</f>
        <v>991473</v>
      </c>
      <c r="S19" s="134">
        <f>+Actuals!P129</f>
        <v>2056368.04</v>
      </c>
      <c r="T19" s="133">
        <f>+Actuals!Q129</f>
        <v>0</v>
      </c>
      <c r="U19" s="134">
        <f>+Actuals!R129</f>
        <v>0</v>
      </c>
      <c r="V19" s="133">
        <f>+Actuals!S129</f>
        <v>0</v>
      </c>
      <c r="W19" s="134">
        <f>+Actuals!T129</f>
        <v>18237.400000000001</v>
      </c>
      <c r="X19" s="133">
        <f>+Actuals!U129</f>
        <v>0</v>
      </c>
      <c r="Y19" s="134">
        <f>+Actuals!V129</f>
        <v>0</v>
      </c>
      <c r="Z19" s="133">
        <f>+Actuals!W129</f>
        <v>0</v>
      </c>
      <c r="AA19" s="134">
        <f>+Actuals!X129</f>
        <v>0</v>
      </c>
      <c r="AB19" s="133">
        <f>+Actuals!Y169</f>
        <v>0</v>
      </c>
      <c r="AC19" s="134">
        <f>+Actuals!Z169</f>
        <v>112692.64</v>
      </c>
      <c r="AD19" s="133">
        <f>+Actuals!AA169</f>
        <v>0</v>
      </c>
      <c r="AE19" s="134">
        <f>+Actuals!AB169</f>
        <v>0</v>
      </c>
      <c r="AF19" s="133">
        <f>+Actuals!AC169</f>
        <v>0</v>
      </c>
      <c r="AG19" s="134">
        <f>+Actuals!AD169</f>
        <v>0</v>
      </c>
      <c r="AH19" s="133">
        <f>+Actuals!AE169</f>
        <v>0</v>
      </c>
      <c r="AI19" s="134">
        <f>+Actuals!AF169</f>
        <v>0</v>
      </c>
      <c r="AJ19" s="133">
        <f>+Actuals!AG169</f>
        <v>0</v>
      </c>
      <c r="AK19" s="134">
        <f>+Actuals!AH169</f>
        <v>271433.83</v>
      </c>
      <c r="AL19" s="133">
        <f>+Actuals!AI169</f>
        <v>0</v>
      </c>
      <c r="AM19" s="134">
        <f>+Actuals!AJ169</f>
        <v>0</v>
      </c>
      <c r="AN19" s="133">
        <f>+Actuals!AK169</f>
        <v>0</v>
      </c>
      <c r="AO19" s="134">
        <f>+Actuals!AL169</f>
        <v>0</v>
      </c>
      <c r="AP19" s="133">
        <f>+Actuals!AM169</f>
        <v>0</v>
      </c>
      <c r="AQ19" s="134">
        <f>+Actuals!AN169</f>
        <v>0</v>
      </c>
      <c r="AR19" s="133">
        <f>+Actuals!AO169</f>
        <v>0</v>
      </c>
      <c r="AS19" s="134">
        <f>+Actuals!AP169</f>
        <v>0</v>
      </c>
    </row>
    <row r="20" spans="1:45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545790.12</v>
      </c>
      <c r="F20" s="60">
        <f>'TIE-OUT'!F20+RECLASS!F20</f>
        <v>0</v>
      </c>
      <c r="G20" s="38">
        <f>'TIE-OUT'!G20+RECLASS!G20</f>
        <v>545790.12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+Actuals!Y170</f>
        <v>0</v>
      </c>
      <c r="AC20" s="134">
        <f>+Actuals!Z170</f>
        <v>0</v>
      </c>
      <c r="AD20" s="133">
        <f>+Actuals!AA170</f>
        <v>0</v>
      </c>
      <c r="AE20" s="134">
        <f>+Actuals!AB170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  <c r="AJ20" s="133">
        <f>+Actuals!AG170</f>
        <v>0</v>
      </c>
      <c r="AK20" s="134">
        <f>+Actuals!AH170</f>
        <v>0</v>
      </c>
      <c r="AL20" s="133">
        <f>+Actuals!AI170</f>
        <v>0</v>
      </c>
      <c r="AM20" s="134">
        <f>+Actuals!AJ170</f>
        <v>0</v>
      </c>
      <c r="AN20" s="133">
        <f>+Actuals!AK170</f>
        <v>0</v>
      </c>
      <c r="AO20" s="134">
        <f>+Actuals!AL170</f>
        <v>0</v>
      </c>
      <c r="AP20" s="133">
        <f>+Actuals!AM170</f>
        <v>0</v>
      </c>
      <c r="AQ20" s="134">
        <f>+Actuals!AN170</f>
        <v>0</v>
      </c>
      <c r="AR20" s="133">
        <f>+Actuals!AO170</f>
        <v>0</v>
      </c>
      <c r="AS20" s="134">
        <f>+Actuals!AP170</f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5"/>
        <v>-15641448</v>
      </c>
      <c r="E21" s="38">
        <f t="shared" si="5"/>
        <v>-27197858</v>
      </c>
      <c r="F21" s="60">
        <f>'TIE-OUT'!F21+RECLASS!F21</f>
        <v>0</v>
      </c>
      <c r="G21" s="38">
        <f>'TIE-OUT'!G21+RECLASS!G21</f>
        <v>0</v>
      </c>
      <c r="H21" s="133">
        <f>+Actuals!E131</f>
        <v>-15641448</v>
      </c>
      <c r="I21" s="134">
        <f>+Actuals!F131</f>
        <v>-27197858</v>
      </c>
      <c r="J21" s="133">
        <f>+Actuals!G131</f>
        <v>40214</v>
      </c>
      <c r="K21" s="134">
        <f>+Actuals!H131</f>
        <v>64467</v>
      </c>
      <c r="L21" s="133">
        <f>+Actuals!I131</f>
        <v>0</v>
      </c>
      <c r="M21" s="134">
        <f>+Actuals!J131</f>
        <v>0</v>
      </c>
      <c r="N21" s="133">
        <f>+Actuals!K131</f>
        <v>0</v>
      </c>
      <c r="O21" s="134">
        <f>+Actuals!L131</f>
        <v>0</v>
      </c>
      <c r="P21" s="133">
        <f>+Actuals!M131</f>
        <v>0</v>
      </c>
      <c r="Q21" s="134">
        <f>+Actuals!N131</f>
        <v>0</v>
      </c>
      <c r="R21" s="133">
        <f>+Actuals!O131</f>
        <v>0</v>
      </c>
      <c r="S21" s="134">
        <f>+Actuals!P131</f>
        <v>0</v>
      </c>
      <c r="T21" s="133">
        <f>+Actuals!Q131</f>
        <v>0</v>
      </c>
      <c r="U21" s="134">
        <f>+Actuals!R131</f>
        <v>0</v>
      </c>
      <c r="V21" s="133">
        <f>+Actuals!S131</f>
        <v>-75529</v>
      </c>
      <c r="W21" s="134">
        <f>+Actuals!T131</f>
        <v>-125643</v>
      </c>
      <c r="X21" s="133">
        <f>+Actuals!U131</f>
        <v>-75608</v>
      </c>
      <c r="Y21" s="134">
        <f>+Actuals!V131</f>
        <v>-125769</v>
      </c>
      <c r="Z21" s="133">
        <f>+Actuals!W131</f>
        <v>110923</v>
      </c>
      <c r="AA21" s="134">
        <f>+Actuals!X131</f>
        <v>186945</v>
      </c>
      <c r="AB21" s="133">
        <f>+Actuals!Y171</f>
        <v>-110923</v>
      </c>
      <c r="AC21" s="134">
        <f>+Actuals!Z171</f>
        <v>-186945</v>
      </c>
      <c r="AD21" s="133">
        <f>+Actuals!AA171</f>
        <v>0</v>
      </c>
      <c r="AE21" s="134">
        <f>+Actuals!AB171</f>
        <v>0</v>
      </c>
      <c r="AF21" s="133">
        <f>+Actuals!AC171</f>
        <v>110923</v>
      </c>
      <c r="AG21" s="134">
        <f>+Actuals!AD171</f>
        <v>186945</v>
      </c>
      <c r="AH21" s="133">
        <f>+Actuals!AE171</f>
        <v>0</v>
      </c>
      <c r="AI21" s="134">
        <f>+Actuals!AF171</f>
        <v>0</v>
      </c>
      <c r="AJ21" s="133">
        <f>+Actuals!AG171</f>
        <v>0</v>
      </c>
      <c r="AK21" s="134">
        <f>+Actuals!AH171</f>
        <v>0</v>
      </c>
      <c r="AL21" s="133">
        <f>+Actuals!AI171</f>
        <v>0</v>
      </c>
      <c r="AM21" s="134">
        <f>+Actuals!AJ171</f>
        <v>0</v>
      </c>
      <c r="AN21" s="133">
        <f>+Actuals!AK171</f>
        <v>0</v>
      </c>
      <c r="AO21" s="134">
        <f>+Actuals!AL171</f>
        <v>0</v>
      </c>
      <c r="AP21" s="133">
        <f>+Actuals!AM171</f>
        <v>0</v>
      </c>
      <c r="AQ21" s="134">
        <f>+Actuals!AN171</f>
        <v>0</v>
      </c>
      <c r="AR21" s="133">
        <f>+Actuals!AO171</f>
        <v>0</v>
      </c>
      <c r="AS21" s="134">
        <f>+Actuals!AP171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+Actuals!Y172</f>
        <v>0</v>
      </c>
      <c r="AC22" s="134">
        <f>+Actuals!Z172</f>
        <v>0</v>
      </c>
      <c r="AD22" s="133">
        <f>+Actuals!AA172</f>
        <v>0</v>
      </c>
      <c r="AE22" s="134">
        <f>+Actuals!AB172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  <c r="AJ22" s="133">
        <f>+Actuals!AG172</f>
        <v>0</v>
      </c>
      <c r="AK22" s="134">
        <f>+Actuals!AH172</f>
        <v>0</v>
      </c>
      <c r="AL22" s="133">
        <f>+Actuals!AI172</f>
        <v>0</v>
      </c>
      <c r="AM22" s="134">
        <f>+Actuals!AJ172</f>
        <v>0</v>
      </c>
      <c r="AN22" s="133">
        <f>+Actuals!AK172</f>
        <v>0</v>
      </c>
      <c r="AO22" s="134">
        <f>+Actuals!AL172</f>
        <v>0</v>
      </c>
      <c r="AP22" s="133">
        <f>+Actuals!AM172</f>
        <v>0</v>
      </c>
      <c r="AQ22" s="134">
        <f>+Actuals!AN172</f>
        <v>0</v>
      </c>
      <c r="AR22" s="133">
        <f>+Actuals!AO172</f>
        <v>0</v>
      </c>
      <c r="AS22" s="134">
        <f>+Actuals!AP172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5"/>
        <v>288327</v>
      </c>
      <c r="E23" s="38">
        <f t="shared" si="5"/>
        <v>461899.85399999993</v>
      </c>
      <c r="F23" s="81">
        <f>'TIE-OUT'!F23+RECLASS!F23</f>
        <v>0</v>
      </c>
      <c r="G23" s="82">
        <f>'TIE-OUT'!G23+RECLASS!G23</f>
        <v>0</v>
      </c>
      <c r="H23" s="133">
        <f>+Actuals!E133</f>
        <v>339550</v>
      </c>
      <c r="I23" s="135">
        <f>+Actuals!F133</f>
        <v>543959.1</v>
      </c>
      <c r="J23" s="133">
        <f>+Actuals!G133</f>
        <v>127002</v>
      </c>
      <c r="K23" s="135">
        <f>+Actuals!H133</f>
        <v>203457.204</v>
      </c>
      <c r="L23" s="133">
        <f>+Actuals!I133</f>
        <v>0</v>
      </c>
      <c r="M23" s="135">
        <f>+Actuals!J133</f>
        <v>0</v>
      </c>
      <c r="N23" s="133">
        <f>+Actuals!K133</f>
        <v>136031</v>
      </c>
      <c r="O23" s="135">
        <f>+Actuals!L133</f>
        <v>217921.66200000001</v>
      </c>
      <c r="P23" s="133">
        <f>+Actuals!M133</f>
        <v>-161629</v>
      </c>
      <c r="Q23" s="135">
        <f>+Actuals!N133</f>
        <v>-258929.658</v>
      </c>
      <c r="R23" s="133">
        <f>+Actuals!O133</f>
        <v>71</v>
      </c>
      <c r="S23" s="135">
        <f>+Actuals!P133</f>
        <v>113.742</v>
      </c>
      <c r="T23" s="133">
        <f>+Actuals!Q133</f>
        <v>-152698</v>
      </c>
      <c r="U23" s="135">
        <f>+Actuals!R133</f>
        <v>-244622.196</v>
      </c>
      <c r="V23" s="133">
        <f>+Actuals!S133</f>
        <v>0</v>
      </c>
      <c r="W23" s="135">
        <f>+Actuals!T133</f>
        <v>0</v>
      </c>
      <c r="X23" s="133">
        <f>+Actuals!U133</f>
        <v>0</v>
      </c>
      <c r="Y23" s="135">
        <f>+Actuals!V133</f>
        <v>0</v>
      </c>
      <c r="Z23" s="133">
        <f>+Actuals!W133</f>
        <v>0</v>
      </c>
      <c r="AA23" s="135">
        <f>+Actuals!X133</f>
        <v>0</v>
      </c>
      <c r="AB23" s="133">
        <f>+Actuals!Y173</f>
        <v>0</v>
      </c>
      <c r="AC23" s="134">
        <f>+Actuals!Z173</f>
        <v>0</v>
      </c>
      <c r="AD23" s="133">
        <f>+Actuals!AA173</f>
        <v>0</v>
      </c>
      <c r="AE23" s="135">
        <f>+Actuals!AB173</f>
        <v>0</v>
      </c>
      <c r="AF23" s="133">
        <f>+Actuals!AC173</f>
        <v>0</v>
      </c>
      <c r="AG23" s="135">
        <f>+Actuals!AD173</f>
        <v>0</v>
      </c>
      <c r="AH23" s="133">
        <f>+Actuals!AE173</f>
        <v>0</v>
      </c>
      <c r="AI23" s="135">
        <f>+Actuals!AF173</f>
        <v>0</v>
      </c>
      <c r="AJ23" s="133">
        <f>+Actuals!AG173</f>
        <v>0</v>
      </c>
      <c r="AK23" s="135">
        <f>+Actuals!AH173</f>
        <v>0</v>
      </c>
      <c r="AL23" s="133">
        <f>+Actuals!AI173</f>
        <v>0</v>
      </c>
      <c r="AM23" s="135">
        <f>+Actuals!AJ173</f>
        <v>0</v>
      </c>
      <c r="AN23" s="133">
        <f>+Actuals!AK173</f>
        <v>0</v>
      </c>
      <c r="AO23" s="135">
        <f>+Actuals!AL173</f>
        <v>0</v>
      </c>
      <c r="AP23" s="133">
        <f>+Actuals!AM173</f>
        <v>0</v>
      </c>
      <c r="AQ23" s="135">
        <f>+Actuals!AN173</f>
        <v>0</v>
      </c>
      <c r="AR23" s="133">
        <f>+Actuals!AO173</f>
        <v>0</v>
      </c>
      <c r="AS23" s="135">
        <f>+Actuals!AP173</f>
        <v>0</v>
      </c>
    </row>
    <row r="24" spans="1:45" x14ac:dyDescent="0.2">
      <c r="A24" s="9"/>
      <c r="B24" s="7" t="s">
        <v>37</v>
      </c>
      <c r="C24" s="6"/>
      <c r="D24" s="61">
        <f t="shared" ref="D24:I24" si="6">SUM(D19:D23)</f>
        <v>-60848906</v>
      </c>
      <c r="E24" s="39">
        <f t="shared" si="6"/>
        <v>-100037912.67599997</v>
      </c>
      <c r="F24" s="61">
        <f t="shared" si="6"/>
        <v>0</v>
      </c>
      <c r="G24" s="39">
        <f t="shared" si="6"/>
        <v>545790.12</v>
      </c>
      <c r="H24" s="61">
        <f t="shared" si="6"/>
        <v>-61838929</v>
      </c>
      <c r="I24" s="39">
        <f t="shared" si="6"/>
        <v>-103232037.12</v>
      </c>
      <c r="J24" s="61">
        <f t="shared" ref="J24:AC24" si="7">SUM(J19:J23)</f>
        <v>210022</v>
      </c>
      <c r="K24" s="39">
        <f t="shared" si="7"/>
        <v>522104.43400000001</v>
      </c>
      <c r="L24" s="61">
        <f t="shared" si="7"/>
        <v>5875</v>
      </c>
      <c r="M24" s="39">
        <f t="shared" si="7"/>
        <v>3762.73</v>
      </c>
      <c r="N24" s="61">
        <f t="shared" si="7"/>
        <v>136031</v>
      </c>
      <c r="O24" s="39">
        <f t="shared" si="7"/>
        <v>230253.522</v>
      </c>
      <c r="P24" s="61">
        <f t="shared" si="7"/>
        <v>-160537</v>
      </c>
      <c r="Q24" s="39">
        <f t="shared" si="7"/>
        <v>-257542.818</v>
      </c>
      <c r="R24" s="61">
        <f t="shared" si="7"/>
        <v>991544</v>
      </c>
      <c r="S24" s="39">
        <f t="shared" si="7"/>
        <v>2056481.7820000001</v>
      </c>
      <c r="T24" s="61">
        <f t="shared" si="7"/>
        <v>-152698</v>
      </c>
      <c r="U24" s="39">
        <f t="shared" si="7"/>
        <v>-244622.196</v>
      </c>
      <c r="V24" s="61">
        <f t="shared" si="7"/>
        <v>-75529</v>
      </c>
      <c r="W24" s="39">
        <f t="shared" si="7"/>
        <v>-107405.6</v>
      </c>
      <c r="X24" s="61">
        <f t="shared" si="7"/>
        <v>-75608</v>
      </c>
      <c r="Y24" s="39">
        <f t="shared" si="7"/>
        <v>-125769</v>
      </c>
      <c r="Z24" s="61">
        <f t="shared" si="7"/>
        <v>110923</v>
      </c>
      <c r="AA24" s="39">
        <f t="shared" si="7"/>
        <v>186945</v>
      </c>
      <c r="AB24" s="61">
        <f t="shared" si="7"/>
        <v>-110923</v>
      </c>
      <c r="AC24" s="39">
        <f t="shared" si="7"/>
        <v>-74252.36</v>
      </c>
      <c r="AD24" s="61">
        <f t="shared" ref="AD24:AI24" si="8">SUM(AD19:AD23)</f>
        <v>0</v>
      </c>
      <c r="AE24" s="39">
        <f t="shared" si="8"/>
        <v>0</v>
      </c>
      <c r="AF24" s="61">
        <f t="shared" si="8"/>
        <v>110923</v>
      </c>
      <c r="AG24" s="39">
        <f t="shared" si="8"/>
        <v>186945</v>
      </c>
      <c r="AH24" s="61">
        <f t="shared" si="8"/>
        <v>0</v>
      </c>
      <c r="AI24" s="39">
        <f t="shared" si="8"/>
        <v>0</v>
      </c>
      <c r="AJ24" s="61">
        <f t="shared" ref="AJ24:AO24" si="9">SUM(AJ19:AJ23)</f>
        <v>0</v>
      </c>
      <c r="AK24" s="39">
        <f t="shared" si="9"/>
        <v>271433.83</v>
      </c>
      <c r="AL24" s="61">
        <f t="shared" si="9"/>
        <v>0</v>
      </c>
      <c r="AM24" s="39">
        <f t="shared" si="9"/>
        <v>0</v>
      </c>
      <c r="AN24" s="61">
        <f t="shared" si="9"/>
        <v>0</v>
      </c>
      <c r="AO24" s="39">
        <f t="shared" si="9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5000</v>
      </c>
      <c r="E27" s="38">
        <f>SUM(G27,I27,K27,M27,O27,Q27,S27,U27,W27,Y27,AA27,AC27,AE27,AG27,AI27,AK27,AM27,AO27,AQ27,AS27)</f>
        <v>8500</v>
      </c>
      <c r="F27" s="64">
        <f>'TIE-OUT'!F27+RECLASS!F27</f>
        <v>0</v>
      </c>
      <c r="G27" s="68">
        <f>'TIE-OUT'!G27+RECLASS!G27</f>
        <v>0</v>
      </c>
      <c r="H27" s="133">
        <f>+Actuals!E134</f>
        <v>5000</v>
      </c>
      <c r="I27" s="134">
        <f>+Actuals!F134</f>
        <v>8500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+Actuals!Y174</f>
        <v>0</v>
      </c>
      <c r="AC27" s="134">
        <f>+Actuals!Z174</f>
        <v>0</v>
      </c>
      <c r="AD27" s="133">
        <f>+Actuals!AA174</f>
        <v>0</v>
      </c>
      <c r="AE27" s="134">
        <f>+Actuals!AB174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  <c r="AJ27" s="133">
        <f>+Actuals!AG174</f>
        <v>0</v>
      </c>
      <c r="AK27" s="134">
        <f>+Actuals!AH174</f>
        <v>0</v>
      </c>
      <c r="AL27" s="133">
        <f>+Actuals!AI174</f>
        <v>0</v>
      </c>
      <c r="AM27" s="134">
        <f>+Actuals!AJ174</f>
        <v>0</v>
      </c>
      <c r="AN27" s="133">
        <f>+Actuals!AK174</f>
        <v>0</v>
      </c>
      <c r="AO27" s="134">
        <f>+Actuals!AL174</f>
        <v>0</v>
      </c>
      <c r="AP27" s="133">
        <f>+Actuals!AM174</f>
        <v>0</v>
      </c>
      <c r="AQ27" s="134">
        <f>+Actuals!AN174</f>
        <v>0</v>
      </c>
      <c r="AR27" s="133">
        <f>+Actuals!AO174</f>
        <v>0</v>
      </c>
      <c r="AS27" s="134">
        <f>+Actuals!AP174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-34159</v>
      </c>
      <c r="E28" s="38">
        <f>SUM(G28,I28,K28,M28,O28,Q28,S28,U28,W28,Y28,AA28,AC28,AE28,AG28,AI28,AK28,AM28,AO28,AQ28,AS28)</f>
        <v>-54022.18</v>
      </c>
      <c r="F28" s="81">
        <f>'TIE-OUT'!F28+RECLASS!F28</f>
        <v>0</v>
      </c>
      <c r="G28" s="82">
        <f>'TIE-OUT'!G28+RECLASS!G28</f>
        <v>0</v>
      </c>
      <c r="H28" s="133">
        <f>+Actuals!E135</f>
        <v>-34159</v>
      </c>
      <c r="I28" s="134">
        <f>+Actuals!F135</f>
        <v>-54022.18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+Actuals!Y175</f>
        <v>0</v>
      </c>
      <c r="AC28" s="134">
        <f>+Actuals!Z175</f>
        <v>0</v>
      </c>
      <c r="AD28" s="133">
        <f>+Actuals!AA175</f>
        <v>0</v>
      </c>
      <c r="AE28" s="134">
        <f>+Actuals!AB175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  <c r="AJ28" s="133">
        <f>+Actuals!AG175</f>
        <v>0</v>
      </c>
      <c r="AK28" s="134">
        <f>+Actuals!AH175</f>
        <v>0</v>
      </c>
      <c r="AL28" s="133">
        <f>+Actuals!AI175</f>
        <v>0</v>
      </c>
      <c r="AM28" s="134">
        <f>+Actuals!AJ175</f>
        <v>0</v>
      </c>
      <c r="AN28" s="133">
        <f>+Actuals!AK175</f>
        <v>0</v>
      </c>
      <c r="AO28" s="134">
        <f>+Actuals!AL175</f>
        <v>0</v>
      </c>
      <c r="AP28" s="133">
        <f>+Actuals!AM175</f>
        <v>0</v>
      </c>
      <c r="AQ28" s="134">
        <f>+Actuals!AN175</f>
        <v>0</v>
      </c>
      <c r="AR28" s="133">
        <f>+Actuals!AO175</f>
        <v>0</v>
      </c>
      <c r="AS28" s="134">
        <f>+Actuals!AP175</f>
        <v>0</v>
      </c>
    </row>
    <row r="29" spans="1:45" x14ac:dyDescent="0.2">
      <c r="A29" s="9"/>
      <c r="B29" s="7" t="s">
        <v>41</v>
      </c>
      <c r="C29" s="18"/>
      <c r="D29" s="61">
        <f t="shared" ref="D29:I29" si="10">SUM(D27:D28)</f>
        <v>-29159</v>
      </c>
      <c r="E29" s="39">
        <f t="shared" si="10"/>
        <v>-45522.18</v>
      </c>
      <c r="F29" s="61">
        <f t="shared" si="10"/>
        <v>0</v>
      </c>
      <c r="G29" s="39">
        <f t="shared" si="10"/>
        <v>0</v>
      </c>
      <c r="H29" s="61">
        <f t="shared" si="10"/>
        <v>-29159</v>
      </c>
      <c r="I29" s="39">
        <f t="shared" si="10"/>
        <v>-45522.18</v>
      </c>
      <c r="J29" s="61">
        <f t="shared" ref="J29:AC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si="11"/>
        <v>0</v>
      </c>
      <c r="W29" s="39">
        <f t="shared" si="11"/>
        <v>0</v>
      </c>
      <c r="X29" s="61">
        <f t="shared" si="11"/>
        <v>0</v>
      </c>
      <c r="Y29" s="39">
        <f t="shared" si="11"/>
        <v>0</v>
      </c>
      <c r="Z29" s="61">
        <f t="shared" si="11"/>
        <v>0</v>
      </c>
      <c r="AA29" s="39">
        <f t="shared" si="11"/>
        <v>0</v>
      </c>
      <c r="AB29" s="61">
        <f t="shared" si="11"/>
        <v>0</v>
      </c>
      <c r="AC29" s="39">
        <f t="shared" si="11"/>
        <v>0</v>
      </c>
      <c r="AD29" s="61">
        <f t="shared" ref="AD29:AI29" si="12">SUM(AD27:AD28)</f>
        <v>0</v>
      </c>
      <c r="AE29" s="39">
        <f t="shared" si="12"/>
        <v>0</v>
      </c>
      <c r="AF29" s="61">
        <f t="shared" si="12"/>
        <v>0</v>
      </c>
      <c r="AG29" s="39">
        <f t="shared" si="12"/>
        <v>0</v>
      </c>
      <c r="AH29" s="61">
        <f t="shared" si="12"/>
        <v>0</v>
      </c>
      <c r="AI29" s="39">
        <f t="shared" si="12"/>
        <v>0</v>
      </c>
      <c r="AJ29" s="61">
        <f t="shared" ref="AJ29:AO29" si="13">SUM(AJ27:AJ28)</f>
        <v>0</v>
      </c>
      <c r="AK29" s="39">
        <f t="shared" si="13"/>
        <v>0</v>
      </c>
      <c r="AL29" s="61">
        <f t="shared" si="13"/>
        <v>0</v>
      </c>
      <c r="AM29" s="39">
        <f t="shared" si="13"/>
        <v>0</v>
      </c>
      <c r="AN29" s="61">
        <f t="shared" si="13"/>
        <v>0</v>
      </c>
      <c r="AO29" s="39">
        <f t="shared" si="13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SUM(F32,H32,J32,L32,N32,P32,R32,T32,V32,X32,Z32,AB32,AD32,AF32,AH32,AJ32,AL32,AN32,AP32,AR32)</f>
        <v>-14867</v>
      </c>
      <c r="E32" s="38">
        <f t="shared" si="14"/>
        <v>-23817.257999999856</v>
      </c>
      <c r="F32" s="64">
        <f>'TIE-OUT'!F32+RECLASS!F32</f>
        <v>0</v>
      </c>
      <c r="G32" s="68">
        <f>'TIE-OUT'!G32+RECLASS!G32</f>
        <v>0</v>
      </c>
      <c r="H32" s="133">
        <f>+Actuals!E136</f>
        <v>-619741</v>
      </c>
      <c r="I32" s="134">
        <f>+Actuals!F136</f>
        <v>-992825.08</v>
      </c>
      <c r="J32" s="133">
        <f>+Actuals!G136</f>
        <v>331488</v>
      </c>
      <c r="K32" s="134">
        <f>+Actuals!H136</f>
        <v>477716.96899999998</v>
      </c>
      <c r="L32" s="133">
        <f>+Actuals!I136</f>
        <v>-8412</v>
      </c>
      <c r="M32" s="134">
        <f>+Actuals!J136</f>
        <v>-157134.77900000001</v>
      </c>
      <c r="N32" s="133">
        <f>+Actuals!K136</f>
        <v>-134159</v>
      </c>
      <c r="O32" s="134">
        <f>+Actuals!L136</f>
        <v>-259112.4332</v>
      </c>
      <c r="P32" s="133">
        <f>+Actuals!M136</f>
        <v>160587</v>
      </c>
      <c r="Q32" s="134">
        <f>+Actuals!N136</f>
        <v>329807.76120000001</v>
      </c>
      <c r="R32" s="133">
        <f>+Actuals!O136</f>
        <v>-781</v>
      </c>
      <c r="S32" s="134">
        <f>+Actuals!P136</f>
        <v>-354061.90600000002</v>
      </c>
      <c r="T32" s="133">
        <f>+Actuals!Q136</f>
        <v>256151</v>
      </c>
      <c r="U32" s="134">
        <f>+Actuals!R136</f>
        <v>917475.29700000002</v>
      </c>
      <c r="V32" s="133">
        <f>+Actuals!S136</f>
        <v>0</v>
      </c>
      <c r="W32" s="134">
        <f>+Actuals!T136</f>
        <v>14316.913</v>
      </c>
      <c r="X32" s="133">
        <f>+Actuals!U136</f>
        <v>0</v>
      </c>
      <c r="Y32" s="134">
        <f>+Actuals!V136</f>
        <v>0</v>
      </c>
      <c r="Z32" s="133">
        <f>+Actuals!W136</f>
        <v>0</v>
      </c>
      <c r="AA32" s="134">
        <f>+Actuals!X136</f>
        <v>0</v>
      </c>
      <c r="AB32" s="133">
        <f>+Actuals!Y176</f>
        <v>0</v>
      </c>
      <c r="AC32" s="134">
        <f>+Actuals!Z176</f>
        <v>0</v>
      </c>
      <c r="AD32" s="133">
        <f>+Actuals!AA176</f>
        <v>0</v>
      </c>
      <c r="AE32" s="134">
        <f>+Actuals!AB176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  <c r="AJ32" s="133">
        <f>+Actuals!AG176</f>
        <v>0</v>
      </c>
      <c r="AK32" s="134">
        <f>+Actuals!AH176</f>
        <v>0</v>
      </c>
      <c r="AL32" s="133">
        <f>+Actuals!AI176</f>
        <v>0</v>
      </c>
      <c r="AM32" s="134">
        <f>+Actuals!AJ176</f>
        <v>0</v>
      </c>
      <c r="AN32" s="133">
        <f>+Actuals!AK176</f>
        <v>0</v>
      </c>
      <c r="AO32" s="134">
        <f>+Actuals!AL176</f>
        <v>0</v>
      </c>
      <c r="AP32" s="133">
        <f>+Actuals!AM176</f>
        <v>0</v>
      </c>
      <c r="AQ32" s="134">
        <f>+Actuals!AN176</f>
        <v>0</v>
      </c>
      <c r="AR32" s="133">
        <f>+Actuals!AO176</f>
        <v>0</v>
      </c>
      <c r="AS32" s="134">
        <f>+Actuals!AP176</f>
        <v>0</v>
      </c>
    </row>
    <row r="33" spans="1:45" x14ac:dyDescent="0.2">
      <c r="A33" s="9">
        <v>14</v>
      </c>
      <c r="B33" s="7"/>
      <c r="C33" s="18" t="s">
        <v>44</v>
      </c>
      <c r="D33" s="60">
        <f t="shared" si="14"/>
        <v>-28873</v>
      </c>
      <c r="E33" s="38">
        <f t="shared" si="14"/>
        <v>-48712.020000000004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-26030</v>
      </c>
      <c r="K33" s="134">
        <f>+Actuals!H137</f>
        <v>-43991.97</v>
      </c>
      <c r="L33" s="133">
        <f>+Actuals!I137</f>
        <v>-39</v>
      </c>
      <c r="M33" s="134">
        <f>+Actuals!J137</f>
        <v>-66.53</v>
      </c>
      <c r="N33" s="133">
        <f>+Actuals!K137</f>
        <v>0</v>
      </c>
      <c r="O33" s="134">
        <f>+Actuals!L137</f>
        <v>0</v>
      </c>
      <c r="P33" s="133">
        <f>+Actuals!M137</f>
        <v>0</v>
      </c>
      <c r="Q33" s="134">
        <f>+Actuals!N137</f>
        <v>0</v>
      </c>
      <c r="R33" s="133">
        <f>+Actuals!O137</f>
        <v>-2804</v>
      </c>
      <c r="S33" s="134">
        <f>+Actuals!P137</f>
        <v>-4653.5200000000004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+Actuals!Y177</f>
        <v>0</v>
      </c>
      <c r="AC33" s="134">
        <f>+Actuals!Z177</f>
        <v>0</v>
      </c>
      <c r="AD33" s="133">
        <f>+Actuals!AA177</f>
        <v>0</v>
      </c>
      <c r="AE33" s="134">
        <f>+Actuals!AB177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  <c r="AJ33" s="133">
        <f>+Actuals!AG177</f>
        <v>0</v>
      </c>
      <c r="AK33" s="134">
        <f>+Actuals!AH177</f>
        <v>0</v>
      </c>
      <c r="AL33" s="133">
        <f>+Actuals!AI177</f>
        <v>0</v>
      </c>
      <c r="AM33" s="134">
        <f>+Actuals!AJ177</f>
        <v>0</v>
      </c>
      <c r="AN33" s="133">
        <f>+Actuals!AK177</f>
        <v>0</v>
      </c>
      <c r="AO33" s="134">
        <f>+Actuals!AL177</f>
        <v>0</v>
      </c>
      <c r="AP33" s="133">
        <f>+Actuals!AM177</f>
        <v>0</v>
      </c>
      <c r="AQ33" s="134">
        <f>+Actuals!AN177</f>
        <v>0</v>
      </c>
      <c r="AR33" s="133">
        <f>+Actuals!AO177</f>
        <v>0</v>
      </c>
      <c r="AS33" s="134">
        <f>+Actuals!AP177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4"/>
        <v>22307</v>
      </c>
      <c r="E34" s="38">
        <f t="shared" si="14"/>
        <v>13485.52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21091</v>
      </c>
      <c r="K34" s="134">
        <f>+Actuals!H138</f>
        <v>11133.85</v>
      </c>
      <c r="L34" s="133">
        <f>+Actuals!I138</f>
        <v>0</v>
      </c>
      <c r="M34" s="134">
        <f>+Actuals!J138</f>
        <v>0</v>
      </c>
      <c r="N34" s="133">
        <f>+Actuals!K138</f>
        <v>0</v>
      </c>
      <c r="O34" s="134">
        <f>+Actuals!L138</f>
        <v>0</v>
      </c>
      <c r="P34" s="133">
        <f>+Actuals!M138</f>
        <v>80</v>
      </c>
      <c r="Q34" s="134">
        <f>+Actuals!N138</f>
        <v>153.26</v>
      </c>
      <c r="R34" s="133">
        <f>+Actuals!O138</f>
        <v>781</v>
      </c>
      <c r="S34" s="134">
        <f>+Actuals!P138</f>
        <v>1496.62</v>
      </c>
      <c r="T34" s="133">
        <f>+Actuals!Q138</f>
        <v>355</v>
      </c>
      <c r="U34" s="134">
        <f>+Actuals!R138</f>
        <v>701.79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+Actuals!Y178</f>
        <v>0</v>
      </c>
      <c r="AC34" s="134">
        <f>+Actuals!Z178</f>
        <v>0</v>
      </c>
      <c r="AD34" s="133">
        <f>+Actuals!AA178</f>
        <v>0</v>
      </c>
      <c r="AE34" s="134">
        <f>+Actuals!AB178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  <c r="AJ34" s="133">
        <f>+Actuals!AG178</f>
        <v>0</v>
      </c>
      <c r="AK34" s="134">
        <f>+Actuals!AH178</f>
        <v>0</v>
      </c>
      <c r="AL34" s="133">
        <f>+Actuals!AI178</f>
        <v>0</v>
      </c>
      <c r="AM34" s="134">
        <f>+Actuals!AJ178</f>
        <v>0</v>
      </c>
      <c r="AN34" s="133">
        <f>+Actuals!AK178</f>
        <v>0</v>
      </c>
      <c r="AO34" s="134">
        <f>+Actuals!AL178</f>
        <v>0</v>
      </c>
      <c r="AP34" s="133">
        <f>+Actuals!AM178</f>
        <v>0</v>
      </c>
      <c r="AQ34" s="134">
        <f>+Actuals!AN178</f>
        <v>0</v>
      </c>
      <c r="AR34" s="133">
        <f>+Actuals!AO178</f>
        <v>0</v>
      </c>
      <c r="AS34" s="134">
        <f>+Actuals!AP178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4"/>
        <v>-12344</v>
      </c>
      <c r="E35" s="38">
        <f t="shared" si="14"/>
        <v>-97820.109999999986</v>
      </c>
      <c r="F35" s="81">
        <f>'TIE-OUT'!F35+RECLASS!F35</f>
        <v>0</v>
      </c>
      <c r="G35" s="82">
        <f>'TIE-OUT'!G35+RECLASS!G35</f>
        <v>0</v>
      </c>
      <c r="H35" s="133">
        <f>+Actuals!E139</f>
        <v>-50453</v>
      </c>
      <c r="I35" s="134">
        <f>+Actuals!F139</f>
        <v>-0.01</v>
      </c>
      <c r="J35" s="133">
        <f>+Actuals!G139</f>
        <v>998297</v>
      </c>
      <c r="K35" s="134">
        <f>+Actuals!H139</f>
        <v>0</v>
      </c>
      <c r="L35" s="133">
        <f>+Actuals!I139</f>
        <v>160635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-97820.09</v>
      </c>
      <c r="R35" s="133">
        <f>+Actuals!O139</f>
        <v>-1120823</v>
      </c>
      <c r="S35" s="134">
        <f>+Actuals!P139</f>
        <v>-0.01</v>
      </c>
      <c r="T35" s="133">
        <f>+Actuals!Q139</f>
        <v>0</v>
      </c>
      <c r="U35" s="134">
        <f>+Actuals!R139</f>
        <v>0</v>
      </c>
      <c r="V35" s="133">
        <f>+Actuals!S139</f>
        <v>0</v>
      </c>
      <c r="W35" s="134">
        <f>+Actuals!T139</f>
        <v>0</v>
      </c>
      <c r="X35" s="133">
        <f>+Actuals!U139</f>
        <v>0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+Actuals!Y179</f>
        <v>0</v>
      </c>
      <c r="AC35" s="134">
        <f>+Actuals!Z179</f>
        <v>0</v>
      </c>
      <c r="AD35" s="133">
        <f>+Actuals!AA179</f>
        <v>0</v>
      </c>
      <c r="AE35" s="134">
        <f>+Actuals!AB179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  <c r="AJ35" s="133">
        <f>+Actuals!AG179</f>
        <v>0</v>
      </c>
      <c r="AK35" s="134">
        <f>+Actuals!AH179</f>
        <v>0</v>
      </c>
      <c r="AL35" s="133">
        <f>+Actuals!AI179</f>
        <v>0</v>
      </c>
      <c r="AM35" s="134">
        <f>+Actuals!AJ179</f>
        <v>0</v>
      </c>
      <c r="AN35" s="133">
        <f>+Actuals!AK179</f>
        <v>0</v>
      </c>
      <c r="AO35" s="134">
        <f>+Actuals!AL179</f>
        <v>0</v>
      </c>
      <c r="AP35" s="133">
        <f>+Actuals!AM179</f>
        <v>0</v>
      </c>
      <c r="AQ35" s="134">
        <f>+Actuals!AN179</f>
        <v>0</v>
      </c>
      <c r="AR35" s="133">
        <f>+Actuals!AO179</f>
        <v>0</v>
      </c>
      <c r="AS35" s="134">
        <f>+Actuals!AP179</f>
        <v>0</v>
      </c>
    </row>
    <row r="36" spans="1:45" x14ac:dyDescent="0.2">
      <c r="A36" s="9"/>
      <c r="B36" s="7" t="s">
        <v>47</v>
      </c>
      <c r="C36" s="6"/>
      <c r="D36" s="61">
        <f t="shared" ref="D36:I36" si="15">SUM(D32:D35)</f>
        <v>-33777</v>
      </c>
      <c r="E36" s="39">
        <f t="shared" si="15"/>
        <v>-156863.86799999984</v>
      </c>
      <c r="F36" s="61">
        <f t="shared" si="15"/>
        <v>0</v>
      </c>
      <c r="G36" s="39">
        <f t="shared" si="15"/>
        <v>0</v>
      </c>
      <c r="H36" s="61">
        <f t="shared" si="15"/>
        <v>-670194</v>
      </c>
      <c r="I36" s="39">
        <f t="shared" si="15"/>
        <v>-992825.09</v>
      </c>
      <c r="J36" s="61">
        <f t="shared" ref="J36:AC36" si="16">SUM(J32:J35)</f>
        <v>1324846</v>
      </c>
      <c r="K36" s="39">
        <f t="shared" si="16"/>
        <v>444858.84899999993</v>
      </c>
      <c r="L36" s="61">
        <f t="shared" si="16"/>
        <v>152184</v>
      </c>
      <c r="M36" s="39">
        <f t="shared" si="16"/>
        <v>-157201.30900000001</v>
      </c>
      <c r="N36" s="61">
        <f t="shared" si="16"/>
        <v>-134159</v>
      </c>
      <c r="O36" s="39">
        <f t="shared" si="16"/>
        <v>-259112.4332</v>
      </c>
      <c r="P36" s="61">
        <f t="shared" si="16"/>
        <v>160667</v>
      </c>
      <c r="Q36" s="39">
        <f t="shared" si="16"/>
        <v>232140.93120000002</v>
      </c>
      <c r="R36" s="61">
        <f t="shared" si="16"/>
        <v>-1123627</v>
      </c>
      <c r="S36" s="39">
        <f t="shared" si="16"/>
        <v>-357218.81600000005</v>
      </c>
      <c r="T36" s="61">
        <f t="shared" si="16"/>
        <v>256506</v>
      </c>
      <c r="U36" s="39">
        <f t="shared" si="16"/>
        <v>918177.08700000006</v>
      </c>
      <c r="V36" s="61">
        <f t="shared" si="16"/>
        <v>0</v>
      </c>
      <c r="W36" s="39">
        <f t="shared" si="16"/>
        <v>14316.913</v>
      </c>
      <c r="X36" s="61">
        <f t="shared" si="16"/>
        <v>0</v>
      </c>
      <c r="Y36" s="39">
        <f t="shared" si="16"/>
        <v>0</v>
      </c>
      <c r="Z36" s="61">
        <f t="shared" si="16"/>
        <v>0</v>
      </c>
      <c r="AA36" s="39">
        <f t="shared" si="16"/>
        <v>0</v>
      </c>
      <c r="AB36" s="61">
        <f t="shared" si="16"/>
        <v>0</v>
      </c>
      <c r="AC36" s="39">
        <f t="shared" si="16"/>
        <v>0</v>
      </c>
      <c r="AD36" s="61">
        <f t="shared" ref="AD36:AI36" si="17">SUM(AD32:AD35)</f>
        <v>0</v>
      </c>
      <c r="AE36" s="39">
        <f t="shared" si="17"/>
        <v>0</v>
      </c>
      <c r="AF36" s="61">
        <f t="shared" si="17"/>
        <v>0</v>
      </c>
      <c r="AG36" s="39">
        <f t="shared" si="17"/>
        <v>0</v>
      </c>
      <c r="AH36" s="61">
        <f t="shared" si="17"/>
        <v>0</v>
      </c>
      <c r="AI36" s="39">
        <f t="shared" si="17"/>
        <v>0</v>
      </c>
      <c r="AJ36" s="61">
        <f t="shared" ref="AJ36:AO36" si="18">SUM(AJ32:AJ35)</f>
        <v>0</v>
      </c>
      <c r="AK36" s="39">
        <f t="shared" si="18"/>
        <v>0</v>
      </c>
      <c r="AL36" s="61">
        <f t="shared" si="18"/>
        <v>0</v>
      </c>
      <c r="AM36" s="39">
        <f t="shared" si="18"/>
        <v>0</v>
      </c>
      <c r="AN36" s="61">
        <f t="shared" si="18"/>
        <v>0</v>
      </c>
      <c r="AO36" s="39">
        <f t="shared" si="18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SUM(F39,H39,J39,L39,N39,P39,R39,T39,V39,X39,Z39,AB39,AD39,AF39,AH39,AJ39,AL39,AN39,AP39,AR39)</f>
        <v>10</v>
      </c>
      <c r="E39" s="38">
        <f t="shared" si="19"/>
        <v>16.02</v>
      </c>
      <c r="F39" s="64">
        <f>'TIE-OUT'!F39+RECLASS!F39</f>
        <v>0</v>
      </c>
      <c r="G39" s="68">
        <f>'TIE-OUT'!G39+RECLASS!G39</f>
        <v>0</v>
      </c>
      <c r="H39" s="133">
        <f>+Actuals!E140</f>
        <v>7625</v>
      </c>
      <c r="I39" s="134">
        <f>+Actuals!F140</f>
        <v>12215.25</v>
      </c>
      <c r="J39" s="133">
        <f>+Actuals!G140</f>
        <v>-7625</v>
      </c>
      <c r="K39" s="134">
        <f>+Actuals!H140</f>
        <v>-12215.25</v>
      </c>
      <c r="L39" s="133">
        <f>+Actuals!I140</f>
        <v>10</v>
      </c>
      <c r="M39" s="134">
        <f>+Actuals!J140</f>
        <v>16.02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+Actuals!Y180</f>
        <v>0</v>
      </c>
      <c r="AC39" s="134">
        <f>+Actuals!Z180</f>
        <v>0</v>
      </c>
      <c r="AD39" s="133">
        <f>+Actuals!AA180</f>
        <v>0</v>
      </c>
      <c r="AE39" s="134">
        <f>+Actuals!AB180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  <c r="AJ39" s="133">
        <f>+Actuals!AG180</f>
        <v>0</v>
      </c>
      <c r="AK39" s="134">
        <f>+Actuals!AH180</f>
        <v>0</v>
      </c>
      <c r="AL39" s="133">
        <f>+Actuals!AI180</f>
        <v>0</v>
      </c>
      <c r="AM39" s="134">
        <f>+Actuals!AJ180</f>
        <v>0</v>
      </c>
      <c r="AN39" s="133">
        <f>+Actuals!AK180</f>
        <v>0</v>
      </c>
      <c r="AO39" s="134">
        <f>+Actuals!AL180</f>
        <v>0</v>
      </c>
      <c r="AP39" s="133">
        <f>+Actuals!AM180</f>
        <v>0</v>
      </c>
      <c r="AQ39" s="134">
        <f>+Actuals!AN180</f>
        <v>0</v>
      </c>
      <c r="AR39" s="133">
        <f>+Actuals!AO180</f>
        <v>0</v>
      </c>
      <c r="AS39" s="134">
        <f>+Actuals!AP180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9"/>
        <v>-248381</v>
      </c>
      <c r="E40" s="38">
        <f t="shared" si="19"/>
        <v>-521624.95999999996</v>
      </c>
      <c r="F40" s="60">
        <f>'TIE-OUT'!F40+RECLASS!F40</f>
        <v>0</v>
      </c>
      <c r="G40" s="38">
        <f>'TIE-OUT'!G40+RECLASS!G40</f>
        <v>0</v>
      </c>
      <c r="H40" s="133">
        <f>+Actuals!E141</f>
        <v>-206091</v>
      </c>
      <c r="I40" s="134">
        <f>+Actuals!F141</f>
        <v>-414123.38</v>
      </c>
      <c r="J40" s="133">
        <f>+Actuals!G141</f>
        <v>-129680</v>
      </c>
      <c r="K40" s="134">
        <f>+Actuals!H141</f>
        <v>-107501.6</v>
      </c>
      <c r="L40" s="133">
        <f>+Actuals!I141</f>
        <v>12606</v>
      </c>
      <c r="M40" s="134">
        <f>+Actuals!J141</f>
        <v>0.01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74784</v>
      </c>
      <c r="U40" s="134">
        <f>+Actuals!R141</f>
        <v>0.01</v>
      </c>
      <c r="V40" s="133">
        <f>+Actuals!S141</f>
        <v>0</v>
      </c>
      <c r="W40" s="134">
        <f>+Actuals!T141</f>
        <v>0</v>
      </c>
      <c r="X40" s="133">
        <f>+Actuals!U141</f>
        <v>0</v>
      </c>
      <c r="Y40" s="134">
        <f>+Actuals!V141</f>
        <v>0</v>
      </c>
      <c r="Z40" s="133">
        <f>+Actuals!W141</f>
        <v>0</v>
      </c>
      <c r="AA40" s="134">
        <f>+Actuals!X141</f>
        <v>0</v>
      </c>
      <c r="AB40" s="133">
        <f>+Actuals!Y181</f>
        <v>0</v>
      </c>
      <c r="AC40" s="134">
        <f>+Actuals!Z181</f>
        <v>0</v>
      </c>
      <c r="AD40" s="133">
        <f>+Actuals!AA181</f>
        <v>0</v>
      </c>
      <c r="AE40" s="134">
        <f>+Actuals!AB181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  <c r="AJ40" s="133">
        <f>+Actuals!AG181</f>
        <v>0</v>
      </c>
      <c r="AK40" s="134">
        <f>+Actuals!AH181</f>
        <v>0</v>
      </c>
      <c r="AL40" s="133">
        <f>+Actuals!AI181</f>
        <v>0</v>
      </c>
      <c r="AM40" s="134">
        <f>+Actuals!AJ181</f>
        <v>0</v>
      </c>
      <c r="AN40" s="133">
        <f>+Actuals!AK181</f>
        <v>0</v>
      </c>
      <c r="AO40" s="134">
        <f>+Actuals!AL181</f>
        <v>0</v>
      </c>
      <c r="AP40" s="133">
        <f>+Actuals!AM181</f>
        <v>0</v>
      </c>
      <c r="AQ40" s="134">
        <f>+Actuals!AN181</f>
        <v>0</v>
      </c>
      <c r="AR40" s="133">
        <f>+Actuals!AO181</f>
        <v>0</v>
      </c>
      <c r="AS40" s="134">
        <f>+Actuals!AP181</f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+Actuals!Y182</f>
        <v>0</v>
      </c>
      <c r="AC41" s="134">
        <f>+Actuals!Z182</f>
        <v>0</v>
      </c>
      <c r="AD41" s="133">
        <f>+Actuals!AA182</f>
        <v>0</v>
      </c>
      <c r="AE41" s="134">
        <f>+Actuals!AB182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  <c r="AJ41" s="133">
        <f>+Actuals!AG182</f>
        <v>0</v>
      </c>
      <c r="AK41" s="134">
        <f>+Actuals!AH182</f>
        <v>0</v>
      </c>
      <c r="AL41" s="133">
        <f>+Actuals!AI182</f>
        <v>0</v>
      </c>
      <c r="AM41" s="134">
        <f>+Actuals!AJ182</f>
        <v>0</v>
      </c>
      <c r="AN41" s="133">
        <f>+Actuals!AK182</f>
        <v>0</v>
      </c>
      <c r="AO41" s="134">
        <f>+Actuals!AL182</f>
        <v>0</v>
      </c>
      <c r="AP41" s="133">
        <f>+Actuals!AM182</f>
        <v>0</v>
      </c>
      <c r="AQ41" s="134">
        <f>+Actuals!AN182</f>
        <v>0</v>
      </c>
      <c r="AR41" s="133">
        <f>+Actuals!AO182</f>
        <v>0</v>
      </c>
      <c r="AS41" s="134">
        <f>+Actuals!AP182</f>
        <v>0</v>
      </c>
    </row>
    <row r="42" spans="1:45" x14ac:dyDescent="0.2">
      <c r="A42" s="9"/>
      <c r="B42" s="7"/>
      <c r="C42" s="53" t="s">
        <v>52</v>
      </c>
      <c r="D42" s="61">
        <f t="shared" ref="D42:I42" si="20">SUM(D40:D41)</f>
        <v>-248381</v>
      </c>
      <c r="E42" s="39">
        <f t="shared" si="20"/>
        <v>-521624.95999999996</v>
      </c>
      <c r="F42" s="61">
        <f t="shared" si="20"/>
        <v>0</v>
      </c>
      <c r="G42" s="39">
        <f t="shared" si="20"/>
        <v>0</v>
      </c>
      <c r="H42" s="61">
        <f t="shared" si="20"/>
        <v>-206091</v>
      </c>
      <c r="I42" s="39">
        <f t="shared" si="20"/>
        <v>-414123.38</v>
      </c>
      <c r="J42" s="61">
        <f t="shared" ref="J42:AC42" si="21">SUM(J40:J41)</f>
        <v>-129680</v>
      </c>
      <c r="K42" s="39">
        <f t="shared" si="21"/>
        <v>-107501.6</v>
      </c>
      <c r="L42" s="61">
        <f t="shared" si="21"/>
        <v>12606</v>
      </c>
      <c r="M42" s="39">
        <f t="shared" si="21"/>
        <v>0.01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74784</v>
      </c>
      <c r="U42" s="39">
        <f t="shared" si="21"/>
        <v>0.01</v>
      </c>
      <c r="V42" s="61">
        <f t="shared" si="21"/>
        <v>0</v>
      </c>
      <c r="W42" s="39">
        <f t="shared" si="21"/>
        <v>0</v>
      </c>
      <c r="X42" s="61">
        <f t="shared" si="21"/>
        <v>0</v>
      </c>
      <c r="Y42" s="39">
        <f t="shared" si="21"/>
        <v>0</v>
      </c>
      <c r="Z42" s="61">
        <f t="shared" si="21"/>
        <v>0</v>
      </c>
      <c r="AA42" s="39">
        <f t="shared" si="21"/>
        <v>0</v>
      </c>
      <c r="AB42" s="61">
        <f t="shared" si="21"/>
        <v>0</v>
      </c>
      <c r="AC42" s="39">
        <f t="shared" si="21"/>
        <v>0</v>
      </c>
      <c r="AD42" s="61">
        <f t="shared" ref="AD42:AI42" si="22">SUM(AD40:AD41)</f>
        <v>0</v>
      </c>
      <c r="AE42" s="39">
        <f t="shared" si="22"/>
        <v>0</v>
      </c>
      <c r="AF42" s="61">
        <f t="shared" si="22"/>
        <v>0</v>
      </c>
      <c r="AG42" s="39">
        <f t="shared" si="22"/>
        <v>0</v>
      </c>
      <c r="AH42" s="61">
        <f t="shared" si="22"/>
        <v>0</v>
      </c>
      <c r="AI42" s="39">
        <f t="shared" si="22"/>
        <v>0</v>
      </c>
      <c r="AJ42" s="61">
        <f t="shared" ref="AJ42:AO42" si="23">SUM(AJ40:AJ41)</f>
        <v>0</v>
      </c>
      <c r="AK42" s="39">
        <f t="shared" si="23"/>
        <v>0</v>
      </c>
      <c r="AL42" s="61">
        <f t="shared" si="23"/>
        <v>0</v>
      </c>
      <c r="AM42" s="39">
        <f t="shared" si="23"/>
        <v>0</v>
      </c>
      <c r="AN42" s="61">
        <f t="shared" si="23"/>
        <v>0</v>
      </c>
      <c r="AO42" s="39">
        <f t="shared" si="23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 t="shared" ref="D43:I43" si="24">D42+D39</f>
        <v>-248371</v>
      </c>
      <c r="E43" s="39">
        <f t="shared" si="24"/>
        <v>-521608.93999999994</v>
      </c>
      <c r="F43" s="61">
        <f t="shared" si="24"/>
        <v>0</v>
      </c>
      <c r="G43" s="39">
        <f t="shared" si="24"/>
        <v>0</v>
      </c>
      <c r="H43" s="61">
        <f t="shared" si="24"/>
        <v>-198466</v>
      </c>
      <c r="I43" s="39">
        <f t="shared" si="24"/>
        <v>-401908.13</v>
      </c>
      <c r="J43" s="61">
        <f t="shared" ref="J43:AC43" si="25">J42+J39</f>
        <v>-137305</v>
      </c>
      <c r="K43" s="39">
        <f t="shared" si="25"/>
        <v>-119716.85</v>
      </c>
      <c r="L43" s="61">
        <f t="shared" si="25"/>
        <v>12616</v>
      </c>
      <c r="M43" s="39">
        <f t="shared" si="25"/>
        <v>16.03</v>
      </c>
      <c r="N43" s="61">
        <f t="shared" si="25"/>
        <v>0</v>
      </c>
      <c r="O43" s="39">
        <f t="shared" si="25"/>
        <v>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74784</v>
      </c>
      <c r="U43" s="39">
        <f t="shared" si="25"/>
        <v>0.01</v>
      </c>
      <c r="V43" s="61">
        <f t="shared" si="25"/>
        <v>0</v>
      </c>
      <c r="W43" s="39">
        <f t="shared" si="25"/>
        <v>0</v>
      </c>
      <c r="X43" s="61">
        <f t="shared" si="25"/>
        <v>0</v>
      </c>
      <c r="Y43" s="39">
        <f t="shared" si="25"/>
        <v>0</v>
      </c>
      <c r="Z43" s="61">
        <f t="shared" si="25"/>
        <v>0</v>
      </c>
      <c r="AA43" s="39">
        <f t="shared" si="25"/>
        <v>0</v>
      </c>
      <c r="AB43" s="61">
        <f t="shared" si="25"/>
        <v>0</v>
      </c>
      <c r="AC43" s="39">
        <f t="shared" si="25"/>
        <v>0</v>
      </c>
      <c r="AD43" s="61">
        <f t="shared" ref="AD43:AI43" si="26">AD42+AD39</f>
        <v>0</v>
      </c>
      <c r="AE43" s="39">
        <f t="shared" si="26"/>
        <v>0</v>
      </c>
      <c r="AF43" s="61">
        <f t="shared" si="26"/>
        <v>0</v>
      </c>
      <c r="AG43" s="39">
        <f t="shared" si="26"/>
        <v>0</v>
      </c>
      <c r="AH43" s="61">
        <f t="shared" si="26"/>
        <v>0</v>
      </c>
      <c r="AI43" s="39">
        <f t="shared" si="26"/>
        <v>0</v>
      </c>
      <c r="AJ43" s="61">
        <f t="shared" ref="AJ43:AO43" si="27">AJ42+AJ39</f>
        <v>0</v>
      </c>
      <c r="AK43" s="39">
        <f t="shared" si="27"/>
        <v>0</v>
      </c>
      <c r="AL43" s="61">
        <f t="shared" si="27"/>
        <v>0</v>
      </c>
      <c r="AM43" s="39">
        <f t="shared" si="27"/>
        <v>0</v>
      </c>
      <c r="AN43" s="61">
        <f t="shared" si="27"/>
        <v>0</v>
      </c>
      <c r="AO43" s="39">
        <f t="shared" si="27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8">SUM(F45,H45,J45,L45,N45,P45,R45,T45,V45,X45,Z45,AB45,AD45,AF45,AH45,AJ45,AL45,AN45,AP45,AR45)</f>
        <v>0</v>
      </c>
      <c r="E45" s="38">
        <f t="shared" si="28"/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+Actuals!Y183</f>
        <v>0</v>
      </c>
      <c r="AC45" s="134">
        <f>+Actuals!Z183</f>
        <v>0</v>
      </c>
      <c r="AD45" s="133">
        <f>+Actuals!AA183</f>
        <v>0</v>
      </c>
      <c r="AE45" s="134">
        <f>+Actuals!AB183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  <c r="AJ45" s="133">
        <f>+Actuals!AG183</f>
        <v>0</v>
      </c>
      <c r="AK45" s="134">
        <f>+Actuals!AH183</f>
        <v>0</v>
      </c>
      <c r="AL45" s="133">
        <f>+Actuals!AI183</f>
        <v>0</v>
      </c>
      <c r="AM45" s="134">
        <f>+Actuals!AJ183</f>
        <v>0</v>
      </c>
      <c r="AN45" s="133">
        <f>+Actuals!AK183</f>
        <v>0</v>
      </c>
      <c r="AO45" s="134">
        <f>+Actuals!AL183</f>
        <v>0</v>
      </c>
      <c r="AP45" s="133">
        <f>+Actuals!AM183</f>
        <v>0</v>
      </c>
      <c r="AQ45" s="134">
        <f>+Actuals!AN183</f>
        <v>0</v>
      </c>
      <c r="AR45" s="133">
        <f>+Actuals!AO183</f>
        <v>0</v>
      </c>
      <c r="AS45" s="134">
        <f>+Actuals!AP183</f>
        <v>0</v>
      </c>
    </row>
    <row r="46" spans="1:45" x14ac:dyDescent="0.2">
      <c r="A46" s="9"/>
      <c r="B46" s="11"/>
      <c r="C46" s="6"/>
      <c r="D46" s="60">
        <f t="shared" si="28"/>
        <v>0</v>
      </c>
      <c r="E46" s="38">
        <f t="shared" si="28"/>
        <v>0</v>
      </c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8"/>
        <v>0</v>
      </c>
      <c r="E47" s="38">
        <f t="shared" si="28"/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+Actuals!Y184</f>
        <v>0</v>
      </c>
      <c r="AC47" s="134">
        <f>+Actuals!Z184</f>
        <v>0</v>
      </c>
      <c r="AD47" s="133">
        <f>+Actuals!AA184</f>
        <v>0</v>
      </c>
      <c r="AE47" s="134">
        <f>+Actuals!AB184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  <c r="AJ47" s="133">
        <f>+Actuals!AG184</f>
        <v>0</v>
      </c>
      <c r="AK47" s="134">
        <f>+Actuals!AH184</f>
        <v>0</v>
      </c>
      <c r="AL47" s="133">
        <f>+Actuals!AI184</f>
        <v>0</v>
      </c>
      <c r="AM47" s="134">
        <f>+Actuals!AJ184</f>
        <v>0</v>
      </c>
      <c r="AN47" s="133">
        <f>+Actuals!AK184</f>
        <v>0</v>
      </c>
      <c r="AO47" s="134">
        <f>+Actuals!AL184</f>
        <v>0</v>
      </c>
      <c r="AP47" s="133">
        <f>+Actuals!AM184</f>
        <v>0</v>
      </c>
      <c r="AQ47" s="134">
        <f>+Actuals!AN184</f>
        <v>0</v>
      </c>
      <c r="AR47" s="133">
        <f>+Actuals!AO184</f>
        <v>0</v>
      </c>
      <c r="AS47" s="134">
        <f>+Actuals!AP184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-1871537</v>
      </c>
      <c r="E49" s="38">
        <f>SUM(G49,I49,K49,M49,O49,Q49,S49,U49,W49,Y49,AA49,AC49,AE49,AG49,AI49,AK49,AM49,AO49,AQ49,AS49)</f>
        <v>-2998202.2740000002</v>
      </c>
      <c r="F49" s="60">
        <f>'TIE-OUT'!F49+RECLASS!F49</f>
        <v>0</v>
      </c>
      <c r="G49" s="38">
        <f>'TIE-OUT'!G49+RECLASS!G49</f>
        <v>0</v>
      </c>
      <c r="H49" s="133">
        <f>+Actuals!E145</f>
        <v>3420577</v>
      </c>
      <c r="I49" s="134">
        <f>+Actuals!F145</f>
        <v>5479764.3540000003</v>
      </c>
      <c r="J49" s="133">
        <f>+Actuals!G145</f>
        <v>-4973279</v>
      </c>
      <c r="K49" s="134">
        <f>+Actuals!H145</f>
        <v>-7967192.9580000006</v>
      </c>
      <c r="L49" s="133">
        <f>+Actuals!I145</f>
        <v>-214643</v>
      </c>
      <c r="M49" s="134">
        <f>+Actuals!J145</f>
        <v>-343858.08600000001</v>
      </c>
      <c r="N49" s="133">
        <f>+Actuals!K145</f>
        <v>3128</v>
      </c>
      <c r="O49" s="134">
        <f>+Actuals!L145</f>
        <v>5011.0559999999996</v>
      </c>
      <c r="P49" s="133">
        <f>+Actuals!M145</f>
        <v>-12305</v>
      </c>
      <c r="Q49" s="134">
        <f>+Actuals!N145</f>
        <v>-19712.61</v>
      </c>
      <c r="R49" s="133">
        <f>+Actuals!O145</f>
        <v>132162</v>
      </c>
      <c r="S49" s="134">
        <f>+Actuals!P145</f>
        <v>211723.524</v>
      </c>
      <c r="T49" s="133">
        <f>+Actuals!Q145</f>
        <v>-178592</v>
      </c>
      <c r="U49" s="134">
        <f>+Actuals!R145</f>
        <v>-286104.38400000002</v>
      </c>
      <c r="V49" s="133">
        <f>+Actuals!S145</f>
        <v>-4</v>
      </c>
      <c r="W49" s="134">
        <f>+Actuals!T145</f>
        <v>-6.4080000000000004</v>
      </c>
      <c r="X49" s="133">
        <f>+Actuals!U145</f>
        <v>0</v>
      </c>
      <c r="Y49" s="134">
        <f>+Actuals!V145</f>
        <v>0</v>
      </c>
      <c r="Z49" s="133">
        <f>+Actuals!W145</f>
        <v>-48581</v>
      </c>
      <c r="AA49" s="134">
        <f>+Actuals!X145</f>
        <v>-77826.762000000002</v>
      </c>
      <c r="AB49" s="133">
        <f>+Actuals!Y185</f>
        <v>48581</v>
      </c>
      <c r="AC49" s="134">
        <f>+Actuals!Z185</f>
        <v>77826.762000000002</v>
      </c>
      <c r="AD49" s="133">
        <f>+Actuals!AA185</f>
        <v>0</v>
      </c>
      <c r="AE49" s="134">
        <f>+Actuals!AB185</f>
        <v>0</v>
      </c>
      <c r="AF49" s="133">
        <f>+Actuals!AC185</f>
        <v>-48581</v>
      </c>
      <c r="AG49" s="134">
        <f>+Actuals!AD185</f>
        <v>-77826.762000000002</v>
      </c>
      <c r="AH49" s="133">
        <f>+Actuals!AE185</f>
        <v>0</v>
      </c>
      <c r="AI49" s="134">
        <f>+Actuals!AF185</f>
        <v>0</v>
      </c>
      <c r="AJ49" s="133">
        <f>+Actuals!AG185</f>
        <v>0</v>
      </c>
      <c r="AK49" s="134">
        <f>+Actuals!AH185</f>
        <v>0</v>
      </c>
      <c r="AL49" s="133">
        <f>+Actuals!AI185</f>
        <v>0</v>
      </c>
      <c r="AM49" s="134">
        <f>+Actuals!AJ185</f>
        <v>0</v>
      </c>
      <c r="AN49" s="133">
        <f>+Actuals!AK185</f>
        <v>0</v>
      </c>
      <c r="AO49" s="134">
        <f>+Actuals!AL185</f>
        <v>0</v>
      </c>
      <c r="AP49" s="133">
        <f>+Actuals!AM185</f>
        <v>0</v>
      </c>
      <c r="AQ49" s="134">
        <f>+Actuals!AN185</f>
        <v>0</v>
      </c>
      <c r="AR49" s="133">
        <f>+Actuals!AO185</f>
        <v>0</v>
      </c>
      <c r="AS49" s="134">
        <f>+Actuals!AP185</f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-288327</v>
      </c>
      <c r="E51" s="38">
        <f>SUM(G51,I51,K51,M51,O51,Q51,S51,U51,W51,Y51,AA51,AC51,AE51,AG51,AI51,AK51,AM51,AO51,AQ51,AS51)</f>
        <v>-461899.85399999993</v>
      </c>
      <c r="F51" s="60">
        <f>'TIE-OUT'!F51+RECLASS!F51</f>
        <v>0</v>
      </c>
      <c r="G51" s="38">
        <f>'TIE-OUT'!G51+RECLASS!G51</f>
        <v>0</v>
      </c>
      <c r="H51" s="133">
        <f>+Actuals!E146</f>
        <v>-339550</v>
      </c>
      <c r="I51" s="134">
        <f>+Actuals!F146</f>
        <v>-543959.1</v>
      </c>
      <c r="J51" s="133">
        <f>+Actuals!G146</f>
        <v>-127002</v>
      </c>
      <c r="K51" s="134">
        <f>+Actuals!H146</f>
        <v>-203457.204</v>
      </c>
      <c r="L51" s="133">
        <f>+Actuals!I146</f>
        <v>0</v>
      </c>
      <c r="M51" s="134">
        <f>+Actuals!J146</f>
        <v>0</v>
      </c>
      <c r="N51" s="133">
        <f>+Actuals!K146</f>
        <v>-136031</v>
      </c>
      <c r="O51" s="134">
        <f>+Actuals!L146</f>
        <v>-217921.66200000001</v>
      </c>
      <c r="P51" s="133">
        <f>+Actuals!M146</f>
        <v>161629</v>
      </c>
      <c r="Q51" s="134">
        <f>+Actuals!N146</f>
        <v>258929.658</v>
      </c>
      <c r="R51" s="133">
        <f>+Actuals!O146</f>
        <v>-71</v>
      </c>
      <c r="S51" s="134">
        <f>+Actuals!P146</f>
        <v>-113.742</v>
      </c>
      <c r="T51" s="133">
        <f>+Actuals!Q146</f>
        <v>152698</v>
      </c>
      <c r="U51" s="134">
        <f>+Actuals!R146</f>
        <v>244622.196</v>
      </c>
      <c r="V51" s="133">
        <f>+Actuals!S146</f>
        <v>0</v>
      </c>
      <c r="W51" s="134">
        <f>+Actuals!T146</f>
        <v>0</v>
      </c>
      <c r="X51" s="133">
        <f>+Actuals!U146</f>
        <v>0</v>
      </c>
      <c r="Y51" s="134">
        <f>+Actuals!V146</f>
        <v>0</v>
      </c>
      <c r="Z51" s="133">
        <f>+Actuals!W146</f>
        <v>0</v>
      </c>
      <c r="AA51" s="134">
        <f>+Actuals!X146</f>
        <v>0</v>
      </c>
      <c r="AB51" s="133">
        <f>+Actuals!Y186</f>
        <v>0</v>
      </c>
      <c r="AC51" s="134">
        <f>+Actuals!Z186</f>
        <v>0</v>
      </c>
      <c r="AD51" s="133">
        <f>+Actuals!AA186</f>
        <v>0</v>
      </c>
      <c r="AE51" s="134">
        <f>+Actuals!AB186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  <c r="AJ51" s="133">
        <f>+Actuals!AG186</f>
        <v>0</v>
      </c>
      <c r="AK51" s="134">
        <f>+Actuals!AH186</f>
        <v>0</v>
      </c>
      <c r="AL51" s="133">
        <f>+Actuals!AI186</f>
        <v>0</v>
      </c>
      <c r="AM51" s="134">
        <f>+Actuals!AJ186</f>
        <v>0</v>
      </c>
      <c r="AN51" s="133">
        <f>+Actuals!AK186</f>
        <v>0</v>
      </c>
      <c r="AO51" s="134">
        <f>+Actuals!AL186</f>
        <v>0</v>
      </c>
      <c r="AP51" s="133">
        <f>+Actuals!AM186</f>
        <v>0</v>
      </c>
      <c r="AQ51" s="134">
        <f>+Actuals!AN186</f>
        <v>0</v>
      </c>
      <c r="AR51" s="133">
        <f>+Actuals!AO186</f>
        <v>0</v>
      </c>
      <c r="AS51" s="134">
        <f>+Actuals!AP186</f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-16648211</v>
      </c>
      <c r="E54" s="38">
        <f>SUM(G54,I54,K54,M54,O54,Q54,S54,U54,W54,Y54,AA54,AC54,AE54,AG54,AI54,AK54,AM54,AO54,AQ54,AS54)</f>
        <v>-180916.94999999998</v>
      </c>
      <c r="F54" s="64">
        <f>'TIE-OUT'!F54+RECLASS!F54</f>
        <v>0</v>
      </c>
      <c r="G54" s="68">
        <f>'TIE-OUT'!G54+RECLASS!G54</f>
        <v>25573</v>
      </c>
      <c r="H54" s="133">
        <f>+Actuals!E147</f>
        <v>-6976456</v>
      </c>
      <c r="I54" s="134">
        <f>+Actuals!F147</f>
        <v>-238697.49</v>
      </c>
      <c r="J54" s="133">
        <f>+Actuals!G147</f>
        <v>-9339217</v>
      </c>
      <c r="K54" s="134">
        <f>+Actuals!H147</f>
        <v>37711.32</v>
      </c>
      <c r="L54" s="133">
        <f>+Actuals!I147</f>
        <v>-316758</v>
      </c>
      <c r="M54" s="134">
        <f>+Actuals!J147</f>
        <v>-11181.76</v>
      </c>
      <c r="N54" s="133">
        <f>+Actuals!K147</f>
        <v>0</v>
      </c>
      <c r="O54" s="134">
        <f>+Actuals!L147</f>
        <v>-4437.3599999999997</v>
      </c>
      <c r="P54" s="133">
        <f>+Actuals!M147</f>
        <v>1092</v>
      </c>
      <c r="Q54" s="134">
        <f>+Actuals!N147</f>
        <v>229.32</v>
      </c>
      <c r="R54" s="133">
        <f>+Actuals!O147</f>
        <v>-16872</v>
      </c>
      <c r="S54" s="134">
        <f>+Actuals!P147</f>
        <v>9886.02</v>
      </c>
      <c r="T54" s="133">
        <f>+Actuals!Q147</f>
        <v>0</v>
      </c>
      <c r="U54" s="134">
        <f>+Actuals!R147</f>
        <v>0</v>
      </c>
      <c r="V54" s="133">
        <f>+Actuals!S147</f>
        <v>0</v>
      </c>
      <c r="W54" s="134">
        <f>+Actuals!T147</f>
        <v>0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0</v>
      </c>
      <c r="AB54" s="133">
        <f>+Actuals!Y187</f>
        <v>0</v>
      </c>
      <c r="AC54" s="134">
        <f>+Actuals!Z187</f>
        <v>0</v>
      </c>
      <c r="AD54" s="133">
        <f>+Actuals!AA187</f>
        <v>0</v>
      </c>
      <c r="AE54" s="134">
        <f>+Actuals!AB187</f>
        <v>0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  <c r="AJ54" s="133">
        <f>+Actuals!AG187</f>
        <v>0</v>
      </c>
      <c r="AK54" s="134">
        <f>+Actuals!AH187</f>
        <v>0</v>
      </c>
      <c r="AL54" s="133">
        <f>+Actuals!AI187</f>
        <v>0</v>
      </c>
      <c r="AM54" s="134">
        <f>+Actuals!AJ187</f>
        <v>0</v>
      </c>
      <c r="AN54" s="133">
        <f>+Actuals!AK187</f>
        <v>0</v>
      </c>
      <c r="AO54" s="134">
        <f>+Actuals!AL187</f>
        <v>0</v>
      </c>
      <c r="AP54" s="133">
        <f>+Actuals!AM187</f>
        <v>0</v>
      </c>
      <c r="AQ54" s="134">
        <f>+Actuals!AN187</f>
        <v>0</v>
      </c>
      <c r="AR54" s="133">
        <f>+Actuals!AO187</f>
        <v>0</v>
      </c>
      <c r="AS54" s="134">
        <f>+Actuals!AP187</f>
        <v>0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-242948.53999999969</v>
      </c>
      <c r="F55" s="81">
        <f>'TIE-OUT'!F55+RECLASS!F55</f>
        <v>0</v>
      </c>
      <c r="G55" s="82">
        <f>'TIE-OUT'!G55+RECLASS!G55</f>
        <v>1373195</v>
      </c>
      <c r="H55" s="133">
        <f>+Actuals!E148</f>
        <v>0</v>
      </c>
      <c r="I55" s="134">
        <f>+Actuals!F148</f>
        <v>-2222370.8199999998</v>
      </c>
      <c r="J55" s="133">
        <f>+Actuals!G148</f>
        <v>0</v>
      </c>
      <c r="K55" s="134">
        <f>+Actuals!H148</f>
        <v>-375733.86</v>
      </c>
      <c r="L55" s="133">
        <f>+Actuals!I148</f>
        <v>0</v>
      </c>
      <c r="M55" s="172">
        <f>+Actuals!J148+969422</f>
        <v>970373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34">
        <f>+Actuals!N148</f>
        <v>9768.14</v>
      </c>
      <c r="R55" s="133">
        <f>+Actuals!O148</f>
        <v>0</v>
      </c>
      <c r="S55" s="134">
        <f>+Actuals!P148</f>
        <v>0</v>
      </c>
      <c r="T55" s="133">
        <f>+Actuals!Q148</f>
        <v>0</v>
      </c>
      <c r="U55" s="134">
        <f>+Actuals!R148</f>
        <v>0</v>
      </c>
      <c r="V55" s="133">
        <f>+Actuals!S148</f>
        <v>0</v>
      </c>
      <c r="W55" s="134">
        <f>+Actuals!T148</f>
        <v>1820</v>
      </c>
      <c r="X55" s="133">
        <f>+Actuals!U148</f>
        <v>0</v>
      </c>
      <c r="Y55" s="134">
        <f>+Actuals!V148</f>
        <v>0</v>
      </c>
      <c r="Z55" s="133">
        <f>+Actuals!W148</f>
        <v>0</v>
      </c>
      <c r="AA55" s="134">
        <f>+Actuals!X148</f>
        <v>0</v>
      </c>
      <c r="AB55" s="133">
        <f>+Actuals!Y188</f>
        <v>0</v>
      </c>
      <c r="AC55" s="134">
        <f>+Actuals!Z188</f>
        <v>0</v>
      </c>
      <c r="AD55" s="133">
        <f>+Actuals!AA188</f>
        <v>0</v>
      </c>
      <c r="AE55" s="134">
        <f>+Actuals!AB188</f>
        <v>0</v>
      </c>
      <c r="AF55" s="133">
        <f>+Actuals!AC188</f>
        <v>0</v>
      </c>
      <c r="AG55" s="134">
        <f>+Actuals!AD188</f>
        <v>0</v>
      </c>
      <c r="AH55" s="133">
        <f>+Actuals!AE188</f>
        <v>0</v>
      </c>
      <c r="AI55" s="134">
        <f>+Actuals!AF188</f>
        <v>0</v>
      </c>
      <c r="AJ55" s="133">
        <f>+Actuals!AG188</f>
        <v>0</v>
      </c>
      <c r="AK55" s="134">
        <f>+Actuals!AH188</f>
        <v>0</v>
      </c>
      <c r="AL55" s="133">
        <f>+Actuals!AI188</f>
        <v>0</v>
      </c>
      <c r="AM55" s="134">
        <f>+Actuals!AJ188</f>
        <v>0</v>
      </c>
      <c r="AN55" s="133">
        <f>+Actuals!AK188</f>
        <v>0</v>
      </c>
      <c r="AO55" s="134">
        <f>+Actuals!AL188</f>
        <v>0</v>
      </c>
      <c r="AP55" s="133">
        <f>+Actuals!AM188</f>
        <v>0</v>
      </c>
      <c r="AQ55" s="134">
        <f>+Actuals!AN188</f>
        <v>0</v>
      </c>
      <c r="AR55" s="133">
        <f>+Actuals!AO188</f>
        <v>0</v>
      </c>
      <c r="AS55" s="134">
        <f>+Actuals!AP188</f>
        <v>0</v>
      </c>
    </row>
    <row r="56" spans="1:45" x14ac:dyDescent="0.2">
      <c r="A56" s="9"/>
      <c r="B56" s="7" t="s">
        <v>61</v>
      </c>
      <c r="C56" s="6"/>
      <c r="D56" s="61">
        <f t="shared" ref="D56:I56" si="29">SUM(D54:D55)</f>
        <v>-16648211</v>
      </c>
      <c r="E56" s="39">
        <f t="shared" si="29"/>
        <v>-423865.48999999964</v>
      </c>
      <c r="F56" s="61">
        <f t="shared" si="29"/>
        <v>0</v>
      </c>
      <c r="G56" s="39">
        <f t="shared" si="29"/>
        <v>1398768</v>
      </c>
      <c r="H56" s="61">
        <f t="shared" si="29"/>
        <v>-6976456</v>
      </c>
      <c r="I56" s="39">
        <f t="shared" si="29"/>
        <v>-2461068.3099999996</v>
      </c>
      <c r="J56" s="61">
        <f t="shared" ref="J56:AC56" si="30">SUM(J54:J55)</f>
        <v>-9339217</v>
      </c>
      <c r="K56" s="39">
        <f t="shared" si="30"/>
        <v>-338022.54</v>
      </c>
      <c r="L56" s="61">
        <f t="shared" si="30"/>
        <v>-316758</v>
      </c>
      <c r="M56" s="39">
        <f t="shared" si="30"/>
        <v>959191.24</v>
      </c>
      <c r="N56" s="61">
        <f t="shared" si="30"/>
        <v>0</v>
      </c>
      <c r="O56" s="39">
        <f t="shared" si="30"/>
        <v>-4437.3599999999997</v>
      </c>
      <c r="P56" s="61">
        <f t="shared" si="30"/>
        <v>1092</v>
      </c>
      <c r="Q56" s="39">
        <f t="shared" si="30"/>
        <v>9997.4599999999991</v>
      </c>
      <c r="R56" s="61">
        <f t="shared" si="30"/>
        <v>-16872</v>
      </c>
      <c r="S56" s="39">
        <f t="shared" si="30"/>
        <v>9886.02</v>
      </c>
      <c r="T56" s="61">
        <f t="shared" si="30"/>
        <v>0</v>
      </c>
      <c r="U56" s="39">
        <f t="shared" si="30"/>
        <v>0</v>
      </c>
      <c r="V56" s="61">
        <f t="shared" si="30"/>
        <v>0</v>
      </c>
      <c r="W56" s="39">
        <f t="shared" si="30"/>
        <v>1820</v>
      </c>
      <c r="X56" s="61">
        <f t="shared" si="30"/>
        <v>0</v>
      </c>
      <c r="Y56" s="39">
        <f t="shared" si="30"/>
        <v>0</v>
      </c>
      <c r="Z56" s="61">
        <f t="shared" si="30"/>
        <v>0</v>
      </c>
      <c r="AA56" s="39">
        <f t="shared" si="30"/>
        <v>0</v>
      </c>
      <c r="AB56" s="61">
        <f t="shared" si="30"/>
        <v>0</v>
      </c>
      <c r="AC56" s="39">
        <f t="shared" si="30"/>
        <v>0</v>
      </c>
      <c r="AD56" s="61">
        <f t="shared" ref="AD56:AI56" si="31">SUM(AD54:AD55)</f>
        <v>0</v>
      </c>
      <c r="AE56" s="39">
        <f t="shared" si="31"/>
        <v>0</v>
      </c>
      <c r="AF56" s="61">
        <f t="shared" si="31"/>
        <v>0</v>
      </c>
      <c r="AG56" s="39">
        <f t="shared" si="31"/>
        <v>0</v>
      </c>
      <c r="AH56" s="61">
        <f t="shared" si="31"/>
        <v>0</v>
      </c>
      <c r="AI56" s="39">
        <f t="shared" si="31"/>
        <v>0</v>
      </c>
      <c r="AJ56" s="61">
        <f t="shared" ref="AJ56:AO56" si="32">SUM(AJ54:AJ55)</f>
        <v>0</v>
      </c>
      <c r="AK56" s="39">
        <f t="shared" si="32"/>
        <v>0</v>
      </c>
      <c r="AL56" s="61">
        <f t="shared" si="32"/>
        <v>0</v>
      </c>
      <c r="AM56" s="39">
        <f t="shared" si="32"/>
        <v>0</v>
      </c>
      <c r="AN56" s="61">
        <f t="shared" si="32"/>
        <v>0</v>
      </c>
      <c r="AO56" s="39">
        <f t="shared" si="32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+Actuals!Y189</f>
        <v>0</v>
      </c>
      <c r="AC59" s="134">
        <f>+Actuals!Z189</f>
        <v>0</v>
      </c>
      <c r="AD59" s="133">
        <f>+Actuals!AA189</f>
        <v>0</v>
      </c>
      <c r="AE59" s="134">
        <f>+Actuals!AB189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  <c r="AJ59" s="133">
        <f>+Actuals!AG189</f>
        <v>0</v>
      </c>
      <c r="AK59" s="134">
        <f>+Actuals!AH189</f>
        <v>0</v>
      </c>
      <c r="AL59" s="133">
        <f>+Actuals!AI189</f>
        <v>0</v>
      </c>
      <c r="AM59" s="134">
        <f>+Actuals!AJ189</f>
        <v>0</v>
      </c>
      <c r="AN59" s="133">
        <f>+Actuals!AK189</f>
        <v>0</v>
      </c>
      <c r="AO59" s="134">
        <f>+Actuals!AL189</f>
        <v>0</v>
      </c>
      <c r="AP59" s="133">
        <f>+Actuals!AM189</f>
        <v>0</v>
      </c>
      <c r="AQ59" s="134">
        <f>+Actuals!AN189</f>
        <v>0</v>
      </c>
      <c r="AR59" s="133">
        <f>+Actuals!AO189</f>
        <v>0</v>
      </c>
      <c r="AS59" s="134">
        <f>+Actuals!AP189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+Actuals!Y190</f>
        <v>0</v>
      </c>
      <c r="AC60" s="134">
        <f>+Actuals!Z190</f>
        <v>0</v>
      </c>
      <c r="AD60" s="133">
        <f>+Actuals!AA190</f>
        <v>0</v>
      </c>
      <c r="AE60" s="134">
        <f>+Actuals!AB190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  <c r="AJ60" s="133">
        <f>+Actuals!AG190</f>
        <v>0</v>
      </c>
      <c r="AK60" s="134">
        <f>+Actuals!AH190</f>
        <v>0</v>
      </c>
      <c r="AL60" s="133">
        <f>+Actuals!AI190</f>
        <v>0</v>
      </c>
      <c r="AM60" s="134">
        <f>+Actuals!AJ190</f>
        <v>0</v>
      </c>
      <c r="AN60" s="133">
        <f>+Actuals!AK190</f>
        <v>0</v>
      </c>
      <c r="AO60" s="134">
        <f>+Actuals!AL190</f>
        <v>0</v>
      </c>
      <c r="AP60" s="133">
        <f>+Actuals!AM190</f>
        <v>0</v>
      </c>
      <c r="AQ60" s="134">
        <f>+Actuals!AN190</f>
        <v>0</v>
      </c>
      <c r="AR60" s="133">
        <f>+Actuals!AO190</f>
        <v>0</v>
      </c>
      <c r="AS60" s="134">
        <f>+Actuals!AP190</f>
        <v>0</v>
      </c>
    </row>
    <row r="61" spans="1:45" x14ac:dyDescent="0.2">
      <c r="A61" s="9"/>
      <c r="B61" s="62" t="s">
        <v>65</v>
      </c>
      <c r="C61" s="6"/>
      <c r="D61" s="61">
        <f t="shared" ref="D61:I61" si="33">SUM(D59:D60)</f>
        <v>0</v>
      </c>
      <c r="E61" s="39">
        <f t="shared" si="33"/>
        <v>0</v>
      </c>
      <c r="F61" s="61">
        <f t="shared" si="33"/>
        <v>0</v>
      </c>
      <c r="G61" s="39">
        <f t="shared" si="33"/>
        <v>0</v>
      </c>
      <c r="H61" s="61">
        <f t="shared" si="33"/>
        <v>0</v>
      </c>
      <c r="I61" s="39">
        <f t="shared" si="33"/>
        <v>0</v>
      </c>
      <c r="J61" s="61">
        <f t="shared" ref="J61:AC61" si="34">SUM(J59:J60)</f>
        <v>0</v>
      </c>
      <c r="K61" s="39">
        <f t="shared" si="34"/>
        <v>0</v>
      </c>
      <c r="L61" s="61">
        <f t="shared" si="34"/>
        <v>0</v>
      </c>
      <c r="M61" s="39">
        <f t="shared" si="34"/>
        <v>0</v>
      </c>
      <c r="N61" s="61">
        <f t="shared" si="34"/>
        <v>0</v>
      </c>
      <c r="O61" s="39">
        <f t="shared" si="34"/>
        <v>0</v>
      </c>
      <c r="P61" s="61">
        <f t="shared" si="34"/>
        <v>0</v>
      </c>
      <c r="Q61" s="39">
        <f t="shared" si="34"/>
        <v>0</v>
      </c>
      <c r="R61" s="61">
        <f t="shared" si="34"/>
        <v>0</v>
      </c>
      <c r="S61" s="39">
        <f t="shared" si="34"/>
        <v>0</v>
      </c>
      <c r="T61" s="61">
        <f t="shared" si="34"/>
        <v>0</v>
      </c>
      <c r="U61" s="39">
        <f t="shared" si="34"/>
        <v>0</v>
      </c>
      <c r="V61" s="61">
        <f t="shared" si="34"/>
        <v>0</v>
      </c>
      <c r="W61" s="39">
        <f t="shared" si="34"/>
        <v>0</v>
      </c>
      <c r="X61" s="61">
        <f t="shared" si="34"/>
        <v>0</v>
      </c>
      <c r="Y61" s="39">
        <f t="shared" si="34"/>
        <v>0</v>
      </c>
      <c r="Z61" s="61">
        <f t="shared" si="34"/>
        <v>0</v>
      </c>
      <c r="AA61" s="39">
        <f t="shared" si="34"/>
        <v>0</v>
      </c>
      <c r="AB61" s="61">
        <f t="shared" si="34"/>
        <v>0</v>
      </c>
      <c r="AC61" s="39">
        <f t="shared" si="34"/>
        <v>0</v>
      </c>
      <c r="AD61" s="61">
        <f t="shared" ref="AD61:AI61" si="35">SUM(AD59:AD60)</f>
        <v>0</v>
      </c>
      <c r="AE61" s="39">
        <f t="shared" si="35"/>
        <v>0</v>
      </c>
      <c r="AF61" s="61">
        <f t="shared" si="35"/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ref="AJ61:AO61" si="36">SUM(AJ59:AJ60)</f>
        <v>0</v>
      </c>
      <c r="AK61" s="39">
        <f t="shared" si="36"/>
        <v>0</v>
      </c>
      <c r="AL61" s="61">
        <f t="shared" si="36"/>
        <v>0</v>
      </c>
      <c r="AM61" s="39">
        <f t="shared" si="36"/>
        <v>0</v>
      </c>
      <c r="AN61" s="61">
        <f t="shared" si="36"/>
        <v>0</v>
      </c>
      <c r="AO61" s="39">
        <f t="shared" si="36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37">SUM(F63,H63,J63,L63,N63,P63,R63,T63,V63,X63,Z63,AB63,AD63,AF63,AH63,AJ63,AL63,AN63,AP63,AR63)</f>
        <v>0</v>
      </c>
      <c r="E63" s="38">
        <f t="shared" si="37"/>
        <v>0</v>
      </c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37"/>
        <v>0</v>
      </c>
      <c r="E64" s="38">
        <f t="shared" si="37"/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+Actuals!Y191</f>
        <v>0</v>
      </c>
      <c r="AC64" s="134">
        <f>+Actuals!Z191</f>
        <v>0</v>
      </c>
      <c r="AD64" s="133">
        <f>+Actuals!AA191</f>
        <v>0</v>
      </c>
      <c r="AE64" s="134">
        <f>+Actuals!AB191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  <c r="AJ64" s="133">
        <f>+Actuals!AG191</f>
        <v>0</v>
      </c>
      <c r="AK64" s="134">
        <f>+Actuals!AH191</f>
        <v>0</v>
      </c>
      <c r="AL64" s="133">
        <f>+Actuals!AI191</f>
        <v>0</v>
      </c>
      <c r="AM64" s="134">
        <f>+Actuals!AJ191</f>
        <v>0</v>
      </c>
      <c r="AN64" s="133">
        <f>+Actuals!AK191</f>
        <v>0</v>
      </c>
      <c r="AO64" s="134">
        <f>+Actuals!AL191</f>
        <v>0</v>
      </c>
      <c r="AP64" s="133">
        <f>+Actuals!AM191</f>
        <v>0</v>
      </c>
      <c r="AQ64" s="134">
        <f>+Actuals!AN191</f>
        <v>0</v>
      </c>
      <c r="AR64" s="133">
        <f>+Actuals!AO191</f>
        <v>0</v>
      </c>
      <c r="AS64" s="134">
        <f>+Actuals!AP191</f>
        <v>0</v>
      </c>
    </row>
    <row r="65" spans="1:45" x14ac:dyDescent="0.2">
      <c r="A65" s="9">
        <v>29</v>
      </c>
      <c r="B65" s="11"/>
      <c r="C65" s="18" t="s">
        <v>67</v>
      </c>
      <c r="D65" s="60">
        <f t="shared" si="37"/>
        <v>0</v>
      </c>
      <c r="E65" s="38">
        <f t="shared" si="37"/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+Actuals!Y192</f>
        <v>0</v>
      </c>
      <c r="AC65" s="134">
        <f>+Actuals!Z192</f>
        <v>0</v>
      </c>
      <c r="AD65" s="133">
        <f>+Actuals!AA192</f>
        <v>0</v>
      </c>
      <c r="AE65" s="134">
        <f>+Actuals!AB192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  <c r="AJ65" s="133">
        <f>+Actuals!AG192</f>
        <v>0</v>
      </c>
      <c r="AK65" s="134">
        <f>+Actuals!AH192</f>
        <v>0</v>
      </c>
      <c r="AL65" s="133">
        <f>+Actuals!AI192</f>
        <v>0</v>
      </c>
      <c r="AM65" s="134">
        <f>+Actuals!AJ192</f>
        <v>0</v>
      </c>
      <c r="AN65" s="133">
        <f>+Actuals!AK192</f>
        <v>0</v>
      </c>
      <c r="AO65" s="134">
        <f>+Actuals!AL192</f>
        <v>0</v>
      </c>
      <c r="AP65" s="133">
        <f>+Actuals!AM192</f>
        <v>0</v>
      </c>
      <c r="AQ65" s="134">
        <f>+Actuals!AN192</f>
        <v>0</v>
      </c>
      <c r="AR65" s="133">
        <f>+Actuals!AO192</f>
        <v>0</v>
      </c>
      <c r="AS65" s="134">
        <f>+Actuals!AP192</f>
        <v>0</v>
      </c>
    </row>
    <row r="66" spans="1:45" x14ac:dyDescent="0.2">
      <c r="A66" s="9"/>
      <c r="B66" s="7" t="s">
        <v>68</v>
      </c>
      <c r="C66" s="6"/>
      <c r="D66" s="61">
        <f t="shared" ref="D66:I66" si="38">SUM(D64:D65)</f>
        <v>0</v>
      </c>
      <c r="E66" s="39">
        <f t="shared" si="38"/>
        <v>0</v>
      </c>
      <c r="F66" s="61">
        <f t="shared" si="38"/>
        <v>0</v>
      </c>
      <c r="G66" s="39">
        <f t="shared" si="38"/>
        <v>0</v>
      </c>
      <c r="H66" s="61">
        <f t="shared" si="38"/>
        <v>0</v>
      </c>
      <c r="I66" s="39">
        <f t="shared" si="38"/>
        <v>0</v>
      </c>
      <c r="J66" s="61">
        <f t="shared" ref="J66:AC66" si="39">SUM(J64:J65)</f>
        <v>0</v>
      </c>
      <c r="K66" s="39">
        <f t="shared" si="39"/>
        <v>0</v>
      </c>
      <c r="L66" s="61">
        <f t="shared" si="39"/>
        <v>0</v>
      </c>
      <c r="M66" s="39">
        <f t="shared" si="39"/>
        <v>0</v>
      </c>
      <c r="N66" s="61">
        <f t="shared" si="39"/>
        <v>0</v>
      </c>
      <c r="O66" s="39">
        <f t="shared" si="39"/>
        <v>0</v>
      </c>
      <c r="P66" s="61">
        <f t="shared" si="39"/>
        <v>0</v>
      </c>
      <c r="Q66" s="39">
        <f t="shared" si="39"/>
        <v>0</v>
      </c>
      <c r="R66" s="61">
        <f t="shared" si="39"/>
        <v>0</v>
      </c>
      <c r="S66" s="39">
        <f t="shared" si="39"/>
        <v>0</v>
      </c>
      <c r="T66" s="61">
        <f t="shared" si="39"/>
        <v>0</v>
      </c>
      <c r="U66" s="39">
        <f t="shared" si="39"/>
        <v>0</v>
      </c>
      <c r="V66" s="61">
        <f t="shared" si="39"/>
        <v>0</v>
      </c>
      <c r="W66" s="39">
        <f t="shared" si="39"/>
        <v>0</v>
      </c>
      <c r="X66" s="61">
        <f t="shared" si="39"/>
        <v>0</v>
      </c>
      <c r="Y66" s="39">
        <f t="shared" si="39"/>
        <v>0</v>
      </c>
      <c r="Z66" s="61">
        <f t="shared" si="39"/>
        <v>0</v>
      </c>
      <c r="AA66" s="39">
        <f t="shared" si="39"/>
        <v>0</v>
      </c>
      <c r="AB66" s="61">
        <f t="shared" si="39"/>
        <v>0</v>
      </c>
      <c r="AC66" s="39">
        <f t="shared" si="39"/>
        <v>0</v>
      </c>
      <c r="AD66" s="61">
        <f t="shared" ref="AD66:AI66" si="40">SUM(AD64:AD65)</f>
        <v>0</v>
      </c>
      <c r="AE66" s="39">
        <f t="shared" si="40"/>
        <v>0</v>
      </c>
      <c r="AF66" s="61">
        <f t="shared" si="40"/>
        <v>0</v>
      </c>
      <c r="AG66" s="39">
        <f t="shared" si="40"/>
        <v>0</v>
      </c>
      <c r="AH66" s="61">
        <f t="shared" si="40"/>
        <v>0</v>
      </c>
      <c r="AI66" s="39">
        <f t="shared" si="40"/>
        <v>0</v>
      </c>
      <c r="AJ66" s="61">
        <f t="shared" ref="AJ66:AO66" si="41">SUM(AJ64:AJ65)</f>
        <v>0</v>
      </c>
      <c r="AK66" s="39">
        <f t="shared" si="41"/>
        <v>0</v>
      </c>
      <c r="AL66" s="61">
        <f t="shared" si="41"/>
        <v>0</v>
      </c>
      <c r="AM66" s="39">
        <f t="shared" si="41"/>
        <v>0</v>
      </c>
      <c r="AN66" s="61">
        <f t="shared" si="41"/>
        <v>0</v>
      </c>
      <c r="AO66" s="39">
        <f t="shared" si="41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-2613977</v>
      </c>
      <c r="F70" s="64">
        <f>'TIE-OUT'!F70+RECLASS!F70</f>
        <v>0</v>
      </c>
      <c r="G70" s="68">
        <f>'TIE-OUT'!G70+RECLASS!G70</f>
        <v>-2613977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+Actuals!Y193</f>
        <v>0</v>
      </c>
      <c r="AC70" s="134">
        <f>+Actuals!Z193</f>
        <v>0</v>
      </c>
      <c r="AD70" s="133">
        <f>+Actuals!AA193</f>
        <v>0</v>
      </c>
      <c r="AE70" s="134">
        <f>+Actuals!AB193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  <c r="AJ70" s="133">
        <f>+Actuals!AG193</f>
        <v>0</v>
      </c>
      <c r="AK70" s="134">
        <f>+Actuals!AH193</f>
        <v>0</v>
      </c>
      <c r="AL70" s="133">
        <f>+Actuals!AI193</f>
        <v>0</v>
      </c>
      <c r="AM70" s="134">
        <f>+Actuals!AJ193</f>
        <v>0</v>
      </c>
      <c r="AN70" s="133">
        <f>+Actuals!AK193</f>
        <v>0</v>
      </c>
      <c r="AO70" s="134">
        <f>+Actuals!AL193</f>
        <v>0</v>
      </c>
      <c r="AP70" s="133">
        <f>+Actuals!AM193</f>
        <v>0</v>
      </c>
      <c r="AQ70" s="134">
        <f>+Actuals!AN193</f>
        <v>0</v>
      </c>
      <c r="AR70" s="133">
        <f>+Actuals!AO193</f>
        <v>0</v>
      </c>
      <c r="AS70" s="134">
        <f>+Actuals!AP193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+Actuals!Y194</f>
        <v>0</v>
      </c>
      <c r="AC71" s="134">
        <f>+Actuals!Z194</f>
        <v>0</v>
      </c>
      <c r="AD71" s="133">
        <f>+Actuals!AA194</f>
        <v>0</v>
      </c>
      <c r="AE71" s="134">
        <f>+Actuals!AB194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  <c r="AJ71" s="133">
        <f>+Actuals!AG194</f>
        <v>0</v>
      </c>
      <c r="AK71" s="134">
        <f>+Actuals!AH194</f>
        <v>0</v>
      </c>
      <c r="AL71" s="133">
        <f>+Actuals!AI194</f>
        <v>0</v>
      </c>
      <c r="AM71" s="134">
        <f>+Actuals!AJ194</f>
        <v>0</v>
      </c>
      <c r="AN71" s="133">
        <f>+Actuals!AK194</f>
        <v>0</v>
      </c>
      <c r="AO71" s="134">
        <f>+Actuals!AL194</f>
        <v>0</v>
      </c>
      <c r="AP71" s="133">
        <f>+Actuals!AM194</f>
        <v>0</v>
      </c>
      <c r="AQ71" s="134">
        <f>+Actuals!AN194</f>
        <v>0</v>
      </c>
      <c r="AR71" s="133">
        <f>+Actuals!AO194</f>
        <v>0</v>
      </c>
      <c r="AS71" s="134">
        <f>+Actuals!AP194</f>
        <v>0</v>
      </c>
    </row>
    <row r="72" spans="1:45" x14ac:dyDescent="0.2">
      <c r="A72" s="9"/>
      <c r="B72" s="3"/>
      <c r="C72" s="55" t="s">
        <v>73</v>
      </c>
      <c r="D72" s="61">
        <f t="shared" ref="D72:I72" si="42">SUM(D70:D71)</f>
        <v>0</v>
      </c>
      <c r="E72" s="39">
        <f t="shared" si="42"/>
        <v>-2613977</v>
      </c>
      <c r="F72" s="61">
        <f t="shared" si="42"/>
        <v>0</v>
      </c>
      <c r="G72" s="39">
        <f t="shared" si="42"/>
        <v>-2613977</v>
      </c>
      <c r="H72" s="61">
        <f t="shared" si="42"/>
        <v>0</v>
      </c>
      <c r="I72" s="39">
        <f t="shared" si="42"/>
        <v>0</v>
      </c>
      <c r="J72" s="61">
        <f t="shared" ref="J72:AC72" si="43">SUM(J70:J71)</f>
        <v>0</v>
      </c>
      <c r="K72" s="39">
        <f t="shared" si="43"/>
        <v>0</v>
      </c>
      <c r="L72" s="61">
        <f t="shared" si="43"/>
        <v>0</v>
      </c>
      <c r="M72" s="39">
        <f t="shared" si="43"/>
        <v>0</v>
      </c>
      <c r="N72" s="61">
        <f t="shared" si="43"/>
        <v>0</v>
      </c>
      <c r="O72" s="39">
        <f t="shared" si="43"/>
        <v>0</v>
      </c>
      <c r="P72" s="61">
        <f t="shared" si="43"/>
        <v>0</v>
      </c>
      <c r="Q72" s="39">
        <f t="shared" si="43"/>
        <v>0</v>
      </c>
      <c r="R72" s="61">
        <f t="shared" si="43"/>
        <v>0</v>
      </c>
      <c r="S72" s="39">
        <f t="shared" si="43"/>
        <v>0</v>
      </c>
      <c r="T72" s="61">
        <f t="shared" si="43"/>
        <v>0</v>
      </c>
      <c r="U72" s="39">
        <f t="shared" si="43"/>
        <v>0</v>
      </c>
      <c r="V72" s="61">
        <f t="shared" si="43"/>
        <v>0</v>
      </c>
      <c r="W72" s="39">
        <f t="shared" si="43"/>
        <v>0</v>
      </c>
      <c r="X72" s="61">
        <f t="shared" si="43"/>
        <v>0</v>
      </c>
      <c r="Y72" s="39">
        <f t="shared" si="43"/>
        <v>0</v>
      </c>
      <c r="Z72" s="61">
        <f t="shared" si="43"/>
        <v>0</v>
      </c>
      <c r="AA72" s="39">
        <f t="shared" si="43"/>
        <v>0</v>
      </c>
      <c r="AB72" s="61">
        <f t="shared" si="43"/>
        <v>0</v>
      </c>
      <c r="AC72" s="39">
        <f t="shared" si="43"/>
        <v>0</v>
      </c>
      <c r="AD72" s="61">
        <f t="shared" ref="AD72:AI72" si="44">SUM(AD70:AD71)</f>
        <v>0</v>
      </c>
      <c r="AE72" s="39">
        <f t="shared" si="44"/>
        <v>0</v>
      </c>
      <c r="AF72" s="61">
        <f t="shared" si="44"/>
        <v>0</v>
      </c>
      <c r="AG72" s="39">
        <f t="shared" si="44"/>
        <v>0</v>
      </c>
      <c r="AH72" s="61">
        <f t="shared" si="44"/>
        <v>0</v>
      </c>
      <c r="AI72" s="39">
        <f t="shared" si="44"/>
        <v>0</v>
      </c>
      <c r="AJ72" s="61">
        <f t="shared" ref="AJ72:AO72" si="45">SUM(AJ70:AJ71)</f>
        <v>0</v>
      </c>
      <c r="AK72" s="39">
        <f t="shared" si="45"/>
        <v>0</v>
      </c>
      <c r="AL72" s="61">
        <f t="shared" si="45"/>
        <v>0</v>
      </c>
      <c r="AM72" s="39">
        <f t="shared" si="45"/>
        <v>0</v>
      </c>
      <c r="AN72" s="61">
        <f t="shared" si="45"/>
        <v>0</v>
      </c>
      <c r="AO72" s="39">
        <f t="shared" si="4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46">SUM(F73,H73,J73,L73,N73,P73,R73,T73,V73,X73,Z73,AB73,AD73,AF73,AH73,AJ73,AL73,AN73,AP73,AR73)</f>
        <v>0</v>
      </c>
      <c r="E73" s="38">
        <f t="shared" ref="E73:E81" si="47">SUM(G73,I73,K73,M73,O73,Q73,S73,U73,W73,Y73,AA73,AC73,AE73,AG73,AI73,AK73,AM73,AO73,AQ73,AS73)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+Actuals!Y195</f>
        <v>0</v>
      </c>
      <c r="AC73" s="134">
        <f>+Actuals!Z195</f>
        <v>0</v>
      </c>
      <c r="AD73" s="133">
        <f>+Actuals!AA195</f>
        <v>0</v>
      </c>
      <c r="AE73" s="134">
        <f>+Actuals!AB195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  <c r="AJ73" s="133">
        <f>+Actuals!AG195</f>
        <v>0</v>
      </c>
      <c r="AK73" s="134">
        <f>+Actuals!AH195</f>
        <v>0</v>
      </c>
      <c r="AL73" s="133">
        <f>+Actuals!AI195</f>
        <v>0</v>
      </c>
      <c r="AM73" s="134">
        <f>+Actuals!AJ195</f>
        <v>0</v>
      </c>
      <c r="AN73" s="133">
        <f>+Actuals!AK195</f>
        <v>0</v>
      </c>
      <c r="AO73" s="134">
        <f>+Actuals!AL195</f>
        <v>0</v>
      </c>
      <c r="AP73" s="133">
        <f>+Actuals!AM195</f>
        <v>0</v>
      </c>
      <c r="AQ73" s="134">
        <f>+Actuals!AN195</f>
        <v>0</v>
      </c>
      <c r="AR73" s="133">
        <f>+Actuals!AO195</f>
        <v>0</v>
      </c>
      <c r="AS73" s="134">
        <f>+Actuals!AP195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46"/>
        <v>0</v>
      </c>
      <c r="E74" s="38">
        <f t="shared" si="47"/>
        <v>-70606</v>
      </c>
      <c r="F74" s="60">
        <f>'TIE-OUT'!F74+RECLASS!F74</f>
        <v>0</v>
      </c>
      <c r="G74" s="60">
        <f>'TIE-OUT'!G74+RECLASS!G74</f>
        <v>-124329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</f>
        <v>0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34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+Actuals!Y196</f>
        <v>0</v>
      </c>
      <c r="AC74" s="165">
        <f>+Actuals!Z196+53723</f>
        <v>53723</v>
      </c>
      <c r="AD74" s="133">
        <f>+Actuals!AA196</f>
        <v>0</v>
      </c>
      <c r="AE74" s="134">
        <f>+Actuals!AB196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  <c r="AJ74" s="133">
        <f>+Actuals!AG196</f>
        <v>0</v>
      </c>
      <c r="AK74" s="134">
        <f>+Actuals!AH196</f>
        <v>0</v>
      </c>
      <c r="AL74" s="133">
        <f>+Actuals!AI196</f>
        <v>0</v>
      </c>
      <c r="AM74" s="134">
        <f>+Actuals!AJ196</f>
        <v>0</v>
      </c>
      <c r="AN74" s="133">
        <f>+Actuals!AK196</f>
        <v>0</v>
      </c>
      <c r="AO74" s="134">
        <f>+Actuals!AL196</f>
        <v>0</v>
      </c>
      <c r="AP74" s="133">
        <f>+Actuals!AM196</f>
        <v>0</v>
      </c>
      <c r="AQ74" s="134">
        <f>+Actuals!AN196</f>
        <v>0</v>
      </c>
      <c r="AR74" s="133">
        <f>+Actuals!AO196</f>
        <v>0</v>
      </c>
      <c r="AS74" s="134">
        <f>+Actuals!AP196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46"/>
        <v>0</v>
      </c>
      <c r="E75" s="38">
        <f t="shared" si="47"/>
        <v>76900</v>
      </c>
      <c r="F75" s="60">
        <f>'TIE-OUT'!F75+RECLASS!F75</f>
        <v>0</v>
      </c>
      <c r="G75" s="60">
        <f>'TIE-OUT'!G75+RECLASS!G75</f>
        <v>76900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+Actuals!Y197</f>
        <v>0</v>
      </c>
      <c r="AC75" s="134">
        <f>+Actuals!Z197</f>
        <v>0</v>
      </c>
      <c r="AD75" s="133">
        <f>+Actuals!AA197</f>
        <v>0</v>
      </c>
      <c r="AE75" s="134">
        <f>+Actuals!AB197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  <c r="AJ75" s="133">
        <f>+Actuals!AG197</f>
        <v>0</v>
      </c>
      <c r="AK75" s="134">
        <f>+Actuals!AH197</f>
        <v>0</v>
      </c>
      <c r="AL75" s="133">
        <f>+Actuals!AI197</f>
        <v>0</v>
      </c>
      <c r="AM75" s="134">
        <f>+Actuals!AJ197</f>
        <v>0</v>
      </c>
      <c r="AN75" s="133">
        <f>+Actuals!AK197</f>
        <v>0</v>
      </c>
      <c r="AO75" s="134">
        <f>+Actuals!AL197</f>
        <v>0</v>
      </c>
      <c r="AP75" s="133">
        <f>+Actuals!AM197</f>
        <v>0</v>
      </c>
      <c r="AQ75" s="134">
        <f>+Actuals!AN197</f>
        <v>0</v>
      </c>
      <c r="AR75" s="133">
        <f>+Actuals!AO197</f>
        <v>0</v>
      </c>
      <c r="AS75" s="134">
        <f>+Actuals!AP197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46"/>
        <v>0</v>
      </c>
      <c r="E76" s="38">
        <f t="shared" si="47"/>
        <v>-14605.97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-22342.89</v>
      </c>
      <c r="J76" s="133">
        <f>+Actuals!G158</f>
        <v>0</v>
      </c>
      <c r="K76" s="134">
        <f>+Actuals!H158</f>
        <v>-1375.25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9112.17</v>
      </c>
      <c r="V76" s="133">
        <f>+Actuals!S158</f>
        <v>0</v>
      </c>
      <c r="W76" s="134">
        <f>+Actuals!T158</f>
        <v>0</v>
      </c>
      <c r="X76" s="133">
        <f>+Actuals!U158</f>
        <v>0</v>
      </c>
      <c r="Y76" s="134">
        <f>+Actuals!V158</f>
        <v>0</v>
      </c>
      <c r="Z76" s="133">
        <f>+Actuals!W158</f>
        <v>0</v>
      </c>
      <c r="AA76" s="134">
        <f>+Actuals!X158</f>
        <v>0</v>
      </c>
      <c r="AB76" s="133">
        <f>+Actuals!Y198</f>
        <v>0</v>
      </c>
      <c r="AC76" s="134">
        <f>+Actuals!Z198</f>
        <v>0</v>
      </c>
      <c r="AD76" s="133">
        <f>+Actuals!AA198</f>
        <v>0</v>
      </c>
      <c r="AE76" s="134">
        <f>+Actuals!AB198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  <c r="AJ76" s="133">
        <f>+Actuals!AG198</f>
        <v>0</v>
      </c>
      <c r="AK76" s="134">
        <f>+Actuals!AH198</f>
        <v>0</v>
      </c>
      <c r="AL76" s="133">
        <f>+Actuals!AI198</f>
        <v>0</v>
      </c>
      <c r="AM76" s="134">
        <f>+Actuals!AJ198</f>
        <v>0</v>
      </c>
      <c r="AN76" s="133">
        <f>+Actuals!AK198</f>
        <v>0</v>
      </c>
      <c r="AO76" s="134">
        <f>+Actuals!AL198</f>
        <v>0</v>
      </c>
      <c r="AP76" s="133">
        <f>+Actuals!AM198</f>
        <v>0</v>
      </c>
      <c r="AQ76" s="134">
        <f>+Actuals!AN198</f>
        <v>0</v>
      </c>
      <c r="AR76" s="133">
        <f>+Actuals!AO198</f>
        <v>0</v>
      </c>
      <c r="AS76" s="134">
        <f>+Actuals!AP198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46"/>
        <v>0</v>
      </c>
      <c r="E77" s="38">
        <f t="shared" si="47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+Actuals!Y199</f>
        <v>0</v>
      </c>
      <c r="AC77" s="134">
        <f>+Actuals!Z199</f>
        <v>0</v>
      </c>
      <c r="AD77" s="133">
        <f>+Actuals!AA199</f>
        <v>0</v>
      </c>
      <c r="AE77" s="134">
        <f>+Actuals!AB199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  <c r="AJ77" s="133">
        <f>+Actuals!AG199</f>
        <v>0</v>
      </c>
      <c r="AK77" s="134">
        <f>+Actuals!AH199</f>
        <v>0</v>
      </c>
      <c r="AL77" s="133">
        <f>+Actuals!AI199</f>
        <v>0</v>
      </c>
      <c r="AM77" s="134">
        <f>+Actuals!AJ199</f>
        <v>0</v>
      </c>
      <c r="AN77" s="133">
        <f>+Actuals!AK199</f>
        <v>0</v>
      </c>
      <c r="AO77" s="134">
        <f>+Actuals!AL199</f>
        <v>0</v>
      </c>
      <c r="AP77" s="133">
        <f>+Actuals!AM199</f>
        <v>0</v>
      </c>
      <c r="AQ77" s="134">
        <f>+Actuals!AN199</f>
        <v>0</v>
      </c>
      <c r="AR77" s="133">
        <f>+Actuals!AO199</f>
        <v>0</v>
      </c>
      <c r="AS77" s="134">
        <f>+Actuals!AP199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46"/>
        <v>0</v>
      </c>
      <c r="E78" s="38">
        <f t="shared" si="47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+Actuals!Y200</f>
        <v>0</v>
      </c>
      <c r="AC78" s="134">
        <f>+Actuals!Z200</f>
        <v>0</v>
      </c>
      <c r="AD78" s="133">
        <f>+Actuals!AA200</f>
        <v>0</v>
      </c>
      <c r="AE78" s="134">
        <f>+Actuals!AB200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  <c r="AJ78" s="133">
        <f>+Actuals!AG200</f>
        <v>0</v>
      </c>
      <c r="AK78" s="134">
        <f>+Actuals!AH200</f>
        <v>0</v>
      </c>
      <c r="AL78" s="133">
        <f>+Actuals!AI200</f>
        <v>0</v>
      </c>
      <c r="AM78" s="134">
        <f>+Actuals!AJ200</f>
        <v>0</v>
      </c>
      <c r="AN78" s="133">
        <f>+Actuals!AK200</f>
        <v>0</v>
      </c>
      <c r="AO78" s="134">
        <f>+Actuals!AL200</f>
        <v>0</v>
      </c>
      <c r="AP78" s="133">
        <f>+Actuals!AM200</f>
        <v>0</v>
      </c>
      <c r="AQ78" s="134">
        <f>+Actuals!AN200</f>
        <v>0</v>
      </c>
      <c r="AR78" s="133">
        <f>+Actuals!AO200</f>
        <v>0</v>
      </c>
      <c r="AS78" s="134">
        <f>+Actuals!AP200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46"/>
        <v>0</v>
      </c>
      <c r="E79" s="38">
        <f t="shared" si="47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+Actuals!Y201</f>
        <v>0</v>
      </c>
      <c r="AC79" s="134">
        <f>+Actuals!Z201</f>
        <v>0</v>
      </c>
      <c r="AD79" s="133">
        <f>+Actuals!AA201</f>
        <v>0</v>
      </c>
      <c r="AE79" s="134">
        <f>+Actuals!AB201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  <c r="AJ79" s="133">
        <f>+Actuals!AG201</f>
        <v>0</v>
      </c>
      <c r="AK79" s="134">
        <f>+Actuals!AH201</f>
        <v>0</v>
      </c>
      <c r="AL79" s="133">
        <f>+Actuals!AI201</f>
        <v>0</v>
      </c>
      <c r="AM79" s="134">
        <f>+Actuals!AJ201</f>
        <v>0</v>
      </c>
      <c r="AN79" s="133">
        <f>+Actuals!AK201</f>
        <v>0</v>
      </c>
      <c r="AO79" s="134">
        <f>+Actuals!AL201</f>
        <v>0</v>
      </c>
      <c r="AP79" s="133">
        <f>+Actuals!AM201</f>
        <v>0</v>
      </c>
      <c r="AQ79" s="134">
        <f>+Actuals!AN201</f>
        <v>0</v>
      </c>
      <c r="AR79" s="133">
        <f>+Actuals!AO201</f>
        <v>0</v>
      </c>
      <c r="AS79" s="134">
        <f>+Actuals!AP201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46"/>
        <v>0</v>
      </c>
      <c r="E80" s="38">
        <f t="shared" si="47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+Actuals!Y202</f>
        <v>0</v>
      </c>
      <c r="AC80" s="134">
        <f>+Actuals!Z202</f>
        <v>0</v>
      </c>
      <c r="AD80" s="133">
        <f>+Actuals!AA202</f>
        <v>0</v>
      </c>
      <c r="AE80" s="134">
        <f>+Actuals!AB202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  <c r="AJ80" s="133">
        <f>+Actuals!AG202</f>
        <v>0</v>
      </c>
      <c r="AK80" s="134">
        <f>+Actuals!AH202</f>
        <v>0</v>
      </c>
      <c r="AL80" s="133">
        <f>+Actuals!AI202</f>
        <v>0</v>
      </c>
      <c r="AM80" s="134">
        <f>+Actuals!AJ202</f>
        <v>0</v>
      </c>
      <c r="AN80" s="133">
        <f>+Actuals!AK202</f>
        <v>0</v>
      </c>
      <c r="AO80" s="134">
        <f>+Actuals!AL202</f>
        <v>0</v>
      </c>
      <c r="AP80" s="133">
        <f>+Actuals!AM202</f>
        <v>0</v>
      </c>
      <c r="AQ80" s="134">
        <f>+Actuals!AN202</f>
        <v>0</v>
      </c>
      <c r="AR80" s="133">
        <f>+Actuals!AO202</f>
        <v>0</v>
      </c>
      <c r="AS80" s="134">
        <f>+Actuals!AP202</f>
        <v>0</v>
      </c>
    </row>
    <row r="81" spans="1:45" x14ac:dyDescent="0.2">
      <c r="A81" s="9">
        <v>40</v>
      </c>
      <c r="B81" s="3"/>
      <c r="C81" s="10" t="s">
        <v>82</v>
      </c>
      <c r="D81" s="60">
        <f t="shared" si="46"/>
        <v>0</v>
      </c>
      <c r="E81" s="38">
        <f t="shared" si="47"/>
        <v>97579.219999999972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0</v>
      </c>
      <c r="J81" s="133">
        <f>+Actuals!G163</f>
        <v>0</v>
      </c>
      <c r="K81" s="134">
        <f>+Actuals!H163</f>
        <v>97579.22</v>
      </c>
      <c r="L81" s="133">
        <f>+Actuals!I163</f>
        <v>0</v>
      </c>
      <c r="M81" s="134">
        <f>+Actuals!J163</f>
        <v>0</v>
      </c>
      <c r="N81" s="133">
        <f>+Actuals!K163</f>
        <v>0</v>
      </c>
      <c r="O81" s="134">
        <f>+Actuals!L163</f>
        <v>0</v>
      </c>
      <c r="P81" s="133">
        <f>+Actuals!M163-988900</f>
        <v>-988900</v>
      </c>
      <c r="Q81" s="134">
        <f>+Actuals!N163-2052560</f>
        <v>-2052560</v>
      </c>
      <c r="R81" s="133">
        <f>+Actuals!O163-988900+988900+988900</f>
        <v>988900</v>
      </c>
      <c r="S81" s="134">
        <f>+Actuals!P163-2052560+2052560+2052560</f>
        <v>2052560</v>
      </c>
      <c r="T81" s="133">
        <f>+Actuals!Q163</f>
        <v>0</v>
      </c>
      <c r="U81" s="134">
        <f>+Actuals!R163</f>
        <v>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+Actuals!Y203</f>
        <v>0</v>
      </c>
      <c r="AC81" s="134">
        <f>+Actuals!Z203</f>
        <v>0</v>
      </c>
      <c r="AD81" s="133">
        <f>+Actuals!AA203</f>
        <v>0</v>
      </c>
      <c r="AE81" s="134">
        <f>+Actuals!AB203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  <c r="AJ81" s="133">
        <f>+Actuals!AG203</f>
        <v>0</v>
      </c>
      <c r="AK81" s="134">
        <f>+Actuals!AH203</f>
        <v>0</v>
      </c>
      <c r="AL81" s="133">
        <f>+Actuals!AI203</f>
        <v>0</v>
      </c>
      <c r="AM81" s="134">
        <f>+Actuals!AJ203</f>
        <v>0</v>
      </c>
      <c r="AN81" s="133">
        <f>+Actuals!AK203</f>
        <v>0</v>
      </c>
      <c r="AO81" s="134">
        <f>+Actuals!AL203</f>
        <v>0</v>
      </c>
      <c r="AP81" s="133">
        <f>+Actuals!AM203</f>
        <v>0</v>
      </c>
      <c r="AQ81" s="134">
        <f>+Actuals!AN203</f>
        <v>0</v>
      </c>
      <c r="AR81" s="133">
        <f>+Actuals!AO203</f>
        <v>0</v>
      </c>
      <c r="AS81" s="134">
        <f>+Actuals!AP203</f>
        <v>0</v>
      </c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-1261753.9519999856</v>
      </c>
      <c r="F82" s="92">
        <f>F16+F24+F29+F36+F43+F45+F47+F49</f>
        <v>0</v>
      </c>
      <c r="G82" s="93">
        <f>SUM(G72:G81)+G16+G24+G29+G36+G43+G45+G47+G49+G51+G56+G61+G66</f>
        <v>-17111319.139999997</v>
      </c>
      <c r="H82" s="92">
        <f>H16+H24+H29+H36+H43+H45+H47+H49</f>
        <v>0</v>
      </c>
      <c r="I82" s="166">
        <f>SUM(I72:I81)+I16+I24+I29+I36+I43+I45+I47+I49+I51+I56+I61+I66</f>
        <v>12129783.123999998</v>
      </c>
      <c r="J82" s="92">
        <f>J16+J24+J29+J36+J43+J45+J47+J49</f>
        <v>0</v>
      </c>
      <c r="K82" s="166">
        <f>SUM(K72:K81)+K16+K24+K29+K36+K43+K45+K47+K49+K51+K56+K61+K66</f>
        <v>295760.94099999865</v>
      </c>
      <c r="L82" s="92">
        <f>L16+L24+L29+L36+L43+L45+L47+L49</f>
        <v>0</v>
      </c>
      <c r="M82" s="181">
        <f>SUM(M72:M81)+M16+M24+M29+M36+M43+M45+M47+M49+M51+M56+M61+M66</f>
        <v>675312.26500000001</v>
      </c>
      <c r="N82" s="92">
        <f>N16+N24+N29+N36+N43+N45+N47+N49</f>
        <v>0</v>
      </c>
      <c r="O82" s="93">
        <f>SUM(O72:O81)+O16+O24+O29+O36+O43+O45+O47+O49+O51+O56+O61+O66</f>
        <v>-275494.37719999999</v>
      </c>
      <c r="P82" s="92">
        <f>P16+P24+P29+P36+P43+P45+P47+P49</f>
        <v>0</v>
      </c>
      <c r="Q82" s="93">
        <f>SUM(Q72:Q81)+Q16+Q24+Q29+Q36+Q43+Q45+Q47+Q49+Q51+Q56+Q61+Q66</f>
        <v>-1803472.1088</v>
      </c>
      <c r="R82" s="92">
        <f>R16+R24+R29+R36+R43+R45+R47+R49</f>
        <v>0</v>
      </c>
      <c r="S82" s="93">
        <f>SUM(S72:S81)+S16+S24+S29+S36+S43+S45+S47+S49+S51+S56+S61+S66</f>
        <v>3641550.7080000001</v>
      </c>
      <c r="T82" s="92">
        <f>T16+T24+T29+T36+T43+T45+T47+T49</f>
        <v>0</v>
      </c>
      <c r="U82" s="93">
        <f>SUM(U72:U81)+U16+U24+U29+U36+U43+U45+U47+U49+U51+U56+U61+U66</f>
        <v>641184.88300000015</v>
      </c>
      <c r="V82" s="92">
        <f>V16+V24+V29+V36+V43+V45+V47+V49</f>
        <v>0</v>
      </c>
      <c r="W82" s="93">
        <f>SUM(W72:W81)+W16+W24+W29+W36+W43+W45+W47+W49+W51+W56+W61+W66</f>
        <v>-65487.154999999999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4837.2379999999976</v>
      </c>
      <c r="AB82" s="92">
        <f>AB16+AB24+AB29+AB36+AB43+AB45+AB47+AB49</f>
        <v>0</v>
      </c>
      <c r="AC82" s="93">
        <f>SUM(AC72:AC81)+AC16+AC24+AC29+AC36+AC43+AC45+AC47+AC49+AC51+AC56+AC61+AC66</f>
        <v>144084.08199999999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4837.2379999999976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456668.35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5" thickTop="1" x14ac:dyDescent="0.2">
      <c r="A83" s="4"/>
      <c r="B83" s="3"/>
    </row>
    <row r="84" spans="1:45" x14ac:dyDescent="0.2">
      <c r="A84" s="4"/>
      <c r="B84" s="3"/>
    </row>
    <row r="85" spans="1:45" x14ac:dyDescent="0.2">
      <c r="A85" s="4"/>
      <c r="B85" s="3"/>
    </row>
    <row r="86" spans="1:45" x14ac:dyDescent="0.2">
      <c r="A86" s="4"/>
      <c r="B86" s="3"/>
    </row>
    <row r="87" spans="1:45" x14ac:dyDescent="0.2">
      <c r="A87" s="4"/>
      <c r="B87" s="3"/>
    </row>
    <row r="88" spans="1:45" x14ac:dyDescent="0.2">
      <c r="A88" s="4"/>
      <c r="B88" s="3"/>
    </row>
    <row r="89" spans="1:45" x14ac:dyDescent="0.2">
      <c r="A89" s="4"/>
      <c r="B89" s="3"/>
    </row>
    <row r="90" spans="1:45" x14ac:dyDescent="0.2">
      <c r="A90" s="4"/>
      <c r="B90" s="3"/>
    </row>
    <row r="91" spans="1:45" x14ac:dyDescent="0.2">
      <c r="A91" s="4"/>
      <c r="B91" s="3"/>
    </row>
    <row r="92" spans="1:45" x14ac:dyDescent="0.2">
      <c r="A92" s="4"/>
      <c r="B92" s="3"/>
    </row>
    <row r="93" spans="1:45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3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9"/>
  <sheetViews>
    <sheetView tabSelected="1" topLeftCell="A15" zoomScale="75" workbookViewId="0">
      <selection activeCell="C95" sqref="C95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186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6">
        <f>'CE-FLSH'!$M$82</f>
        <v>-1907876.1621467583</v>
      </c>
      <c r="C11" s="60">
        <f>CE_GL!$E$82</f>
        <v>-1261753.9519999856</v>
      </c>
      <c r="D11" s="108">
        <f t="shared" ref="D11:D19" si="0">C11-B11</f>
        <v>646122.21014677268</v>
      </c>
      <c r="E11" s="31"/>
      <c r="F11" s="31">
        <f>CE_GL!G82</f>
        <v>-17111319.139999997</v>
      </c>
      <c r="G11" s="31"/>
      <c r="H11" s="31"/>
    </row>
    <row r="12" spans="1:8" x14ac:dyDescent="0.2">
      <c r="A12" s="102" t="s">
        <v>15</v>
      </c>
      <c r="B12" s="146">
        <v>0</v>
      </c>
      <c r="C12" s="60">
        <f>CE_GL!$E$91</f>
        <v>0</v>
      </c>
      <c r="D12" s="108">
        <f>C12-B12</f>
        <v>0</v>
      </c>
      <c r="E12" s="31"/>
      <c r="F12" s="31">
        <f>NE_GL!G82</f>
        <v>-9077250.7099999972</v>
      </c>
      <c r="G12" s="31"/>
      <c r="H12" s="31"/>
    </row>
    <row r="13" spans="1:8" x14ac:dyDescent="0.2">
      <c r="A13" s="102" t="s">
        <v>171</v>
      </c>
      <c r="B13" s="145">
        <f>'SE-EGM-FLSH'!$M$82+'NE-FLSH'!M82</f>
        <v>607422.47515113512</v>
      </c>
      <c r="C13" s="60">
        <f>'SE-EGM-GL'!$E$82+NE_GL!E82</f>
        <v>-4863270.6250000279</v>
      </c>
      <c r="D13" s="108">
        <f t="shared" si="0"/>
        <v>-5470693.1001511626</v>
      </c>
      <c r="E13" s="31"/>
      <c r="F13" s="31">
        <f>'SE-EGM-GL'!G82</f>
        <v>0</v>
      </c>
      <c r="G13" s="31"/>
      <c r="H13" s="31"/>
    </row>
    <row r="14" spans="1:8" x14ac:dyDescent="0.2">
      <c r="A14" s="102" t="s">
        <v>172</v>
      </c>
      <c r="B14" s="145">
        <f>'SE-LRC-FLSH'!$M$82</f>
        <v>-3554506.9594850745</v>
      </c>
      <c r="C14" s="60">
        <f>'SE-LRC-GL'!$E$82</f>
        <v>695928.62299999676</v>
      </c>
      <c r="D14" s="108">
        <f t="shared" si="0"/>
        <v>4250435.5824850714</v>
      </c>
      <c r="E14" s="31"/>
      <c r="F14" s="31">
        <f>'SE-LRC-GL'!G82</f>
        <v>0</v>
      </c>
      <c r="G14" s="31"/>
      <c r="H14" s="31"/>
    </row>
    <row r="15" spans="1:8" x14ac:dyDescent="0.2">
      <c r="A15" s="102" t="s">
        <v>190</v>
      </c>
      <c r="B15" s="145">
        <f>+'NE-FLSH'!M89</f>
        <v>4377</v>
      </c>
      <c r="C15" s="60">
        <f>NE_GL!E89</f>
        <v>4376.1699999999983</v>
      </c>
      <c r="D15" s="108">
        <f>C15-B15</f>
        <v>-0.83000000000174623</v>
      </c>
      <c r="E15" s="31"/>
      <c r="F15" s="31">
        <f>'SE-LRC-GL'!G83</f>
        <v>0</v>
      </c>
      <c r="G15" s="31"/>
      <c r="H15" s="31"/>
    </row>
    <row r="16" spans="1:8" x14ac:dyDescent="0.2">
      <c r="A16" s="102" t="s">
        <v>18</v>
      </c>
      <c r="B16" s="145">
        <f>'TX-EGM-FLSH'!$M$82</f>
        <v>2938226.3141920278</v>
      </c>
      <c r="C16" s="60">
        <f>'TX-EGM-GL'!$E$82</f>
        <v>258399.47199999786</v>
      </c>
      <c r="D16" s="108">
        <f t="shared" si="0"/>
        <v>-2679826.84219203</v>
      </c>
      <c r="E16" s="31"/>
      <c r="F16" s="31">
        <f>'TX-EGM-GL'!G82</f>
        <v>-5467702.4300000006</v>
      </c>
      <c r="G16" s="31"/>
      <c r="H16" s="31"/>
    </row>
    <row r="17" spans="1:8" x14ac:dyDescent="0.2">
      <c r="A17" s="102" t="s">
        <v>19</v>
      </c>
      <c r="B17" s="145">
        <f>'TX-HPL-FLSH'!$M$82</f>
        <v>-649896.51511274558</v>
      </c>
      <c r="C17" s="60">
        <f>'TX-HPL-GL '!$E$82</f>
        <v>60487.313599996851</v>
      </c>
      <c r="D17" s="108">
        <f t="shared" si="0"/>
        <v>710383.82871274243</v>
      </c>
      <c r="E17" s="31"/>
      <c r="F17" s="31">
        <f>'TX-HPL-GL '!G82</f>
        <v>-402981.92999999993</v>
      </c>
      <c r="G17" s="31"/>
      <c r="H17" s="31"/>
    </row>
    <row r="18" spans="1:8" x14ac:dyDescent="0.2">
      <c r="A18" s="102" t="s">
        <v>189</v>
      </c>
      <c r="B18" s="145">
        <f>+'TX-EGM-FLSH'!M89</f>
        <v>258213</v>
      </c>
      <c r="C18" s="60">
        <f>'TX-EGM-GL'!$E$89</f>
        <v>258233.91999999993</v>
      </c>
      <c r="D18" s="108">
        <f>C18-B18</f>
        <v>20.919999999925494</v>
      </c>
      <c r="E18" s="31"/>
      <c r="F18" s="31">
        <f>'TX-HPL-GL '!G83</f>
        <v>0</v>
      </c>
      <c r="G18" s="31"/>
      <c r="H18" s="31"/>
    </row>
    <row r="19" spans="1:8" x14ac:dyDescent="0.2">
      <c r="A19" s="102" t="s">
        <v>20</v>
      </c>
      <c r="B19" s="145">
        <f>'WE-FLSH'!$M$82</f>
        <v>-542220.25069875969</v>
      </c>
      <c r="C19" s="60">
        <f>'WE-GL '!$E$82</f>
        <v>-920828.51300000423</v>
      </c>
      <c r="D19" s="108">
        <f t="shared" si="0"/>
        <v>-378608.26230124454</v>
      </c>
      <c r="E19" s="31"/>
      <c r="F19" s="31">
        <f>'WE-GL '!G82</f>
        <v>-972907.81</v>
      </c>
      <c r="G19" s="31"/>
      <c r="H19" s="31"/>
    </row>
    <row r="20" spans="1:8" x14ac:dyDescent="0.2">
      <c r="A20" s="102" t="s">
        <v>21</v>
      </c>
      <c r="B20" s="145">
        <f>STG_FLSH!$M$82</f>
        <v>-1149000</v>
      </c>
      <c r="C20" s="60">
        <f>STG_GL!$E$82</f>
        <v>-729629</v>
      </c>
      <c r="D20" s="108">
        <f>C20-B20</f>
        <v>419371</v>
      </c>
      <c r="E20" s="31"/>
      <c r="F20" s="31">
        <f>STG_GL!G82</f>
        <v>-181498</v>
      </c>
      <c r="G20" s="31"/>
      <c r="H20" s="31"/>
    </row>
    <row r="21" spans="1:8" x14ac:dyDescent="0.2">
      <c r="A21" s="102" t="s">
        <v>179</v>
      </c>
      <c r="B21" s="145">
        <f>ONT_FLSH!$M$82</f>
        <v>263445.28000000003</v>
      </c>
      <c r="C21" s="60">
        <f>'ONT_GL '!$E$82</f>
        <v>-474478.99000000209</v>
      </c>
      <c r="D21" s="108">
        <f>C21-B21</f>
        <v>-737924.27000000211</v>
      </c>
      <c r="E21" s="31"/>
      <c r="F21" s="31">
        <f>'ONT_GL '!G82</f>
        <v>96604.959999999992</v>
      </c>
      <c r="G21" s="31"/>
      <c r="H21" s="31"/>
    </row>
    <row r="22" spans="1:8" x14ac:dyDescent="0.2">
      <c r="A22" s="102" t="s">
        <v>188</v>
      </c>
      <c r="B22" s="145">
        <f>+ONT_FLSH!M89</f>
        <v>-110642</v>
      </c>
      <c r="C22" s="60">
        <f>'ONT_GL '!$E$89</f>
        <v>-110642</v>
      </c>
      <c r="D22" s="108">
        <f>C22-B22</f>
        <v>0</v>
      </c>
      <c r="E22" s="31"/>
      <c r="F22" s="31">
        <f>'ONT_GL '!G83</f>
        <v>0</v>
      </c>
      <c r="G22" s="31"/>
      <c r="H22" s="31"/>
    </row>
    <row r="23" spans="1:8" x14ac:dyDescent="0.2">
      <c r="A23" s="171" t="s">
        <v>176</v>
      </c>
      <c r="B23" s="145">
        <f>+BGC_FLSH!M82</f>
        <v>-544</v>
      </c>
      <c r="C23" s="60">
        <f>+BGC_GL!E82</f>
        <v>508114.14999999997</v>
      </c>
      <c r="D23" s="108">
        <f>C23-B23</f>
        <v>508658.14999999997</v>
      </c>
      <c r="E23" s="31"/>
      <c r="F23" s="31">
        <f>+BGC_GL!G82</f>
        <v>2925</v>
      </c>
      <c r="G23" s="31"/>
      <c r="H23" s="31"/>
    </row>
    <row r="24" spans="1:8" ht="21.75" customHeight="1" thickBot="1" x14ac:dyDescent="0.25">
      <c r="A24" s="102" t="s">
        <v>10</v>
      </c>
      <c r="B24" s="61">
        <f>SUM(B11:B23)</f>
        <v>-3843001.8181001758</v>
      </c>
      <c r="C24" s="61">
        <f>SUM(C11:C23)</f>
        <v>-6575063.4314000271</v>
      </c>
      <c r="D24" s="109">
        <f>SUM(D11:D23)</f>
        <v>-2732061.6132998536</v>
      </c>
      <c r="E24" s="31"/>
      <c r="F24" s="61">
        <f>SUM(F11:F23)</f>
        <v>-33114130.059999991</v>
      </c>
      <c r="G24" s="31"/>
      <c r="H24" s="31"/>
    </row>
    <row r="25" spans="1:8" ht="21" customHeight="1" thickBot="1" x14ac:dyDescent="0.25">
      <c r="A25" s="103" t="s">
        <v>23</v>
      </c>
      <c r="B25" s="104">
        <f>TOTAL!$E$82</f>
        <v>-3994949.8181001926</v>
      </c>
      <c r="C25" s="104">
        <f>TOTAL!$G$91</f>
        <v>-6575063.4313998818</v>
      </c>
      <c r="D25" s="110">
        <f>TOTAL!$I$91</f>
        <v>-2732061.6132996427</v>
      </c>
      <c r="E25" s="31"/>
      <c r="F25" s="31">
        <f>'TIE-OUT'!E82+RECLASS!E82</f>
        <v>-33114130.060000002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151948.00000001676</v>
      </c>
      <c r="C27" s="45">
        <f>+C24-C25</f>
        <v>-1.4528632164001465E-7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165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6">
        <f>+'[2]ST Warroom 99'!$B$41</f>
        <v>-1261754</v>
      </c>
      <c r="C30" s="178">
        <f>C11</f>
        <v>-1261753.9519999856</v>
      </c>
      <c r="D30" s="108">
        <f t="shared" ref="D30:D37" si="1">C30-B30</f>
        <v>4.8000014387071133E-2</v>
      </c>
    </row>
    <row r="31" spans="1:8" x14ac:dyDescent="0.2">
      <c r="A31" s="102" t="s">
        <v>15</v>
      </c>
      <c r="B31" s="146">
        <v>0</v>
      </c>
      <c r="C31" s="60">
        <f>C12</f>
        <v>0</v>
      </c>
      <c r="D31" s="108">
        <f t="shared" si="1"/>
        <v>0</v>
      </c>
    </row>
    <row r="32" spans="1:8" x14ac:dyDescent="0.2">
      <c r="A32" s="102" t="s">
        <v>173</v>
      </c>
      <c r="B32" s="145">
        <f>+'[2]ST Warroom 99'!$C$41+'[2]ST Warroom 99'!$D$41+'[2]ST Warroom 99'!$E$41+'[2]ST Warroom 99'!$G$41</f>
        <v>-4078285</v>
      </c>
      <c r="C32" s="178">
        <f>C13+C14+C15</f>
        <v>-4162965.8320000311</v>
      </c>
      <c r="D32" s="108">
        <f t="shared" si="1"/>
        <v>-84680.832000031136</v>
      </c>
    </row>
    <row r="33" spans="1:4" x14ac:dyDescent="0.2">
      <c r="A33" s="102" t="s">
        <v>167</v>
      </c>
      <c r="B33" s="145">
        <f>+'[2]ST Warroom 99'!$H$41+'[2]ST Warroom 99'!$I$41+'[2]ST Warroom 99'!$J$41+'[2]ST Warroom 99'!$K$41</f>
        <v>1463819</v>
      </c>
      <c r="C33" s="60">
        <f>C16+C17+C18</f>
        <v>577120.70559999463</v>
      </c>
      <c r="D33" s="108">
        <f t="shared" si="1"/>
        <v>-886698.29440000537</v>
      </c>
    </row>
    <row r="34" spans="1:4" x14ac:dyDescent="0.2">
      <c r="A34" s="102" t="s">
        <v>20</v>
      </c>
      <c r="B34" s="145">
        <f>+'[2]ST Warroom 99'!$L$41</f>
        <v>-920775</v>
      </c>
      <c r="C34" s="178">
        <f>C19</f>
        <v>-920828.51300000423</v>
      </c>
      <c r="D34" s="108">
        <f t="shared" si="1"/>
        <v>-53.513000004226342</v>
      </c>
    </row>
    <row r="35" spans="1:4" x14ac:dyDescent="0.2">
      <c r="A35" s="102" t="s">
        <v>21</v>
      </c>
      <c r="B35" s="145">
        <f>+'[2]ST Warroom 99'!$M$41</f>
        <v>-2122790</v>
      </c>
      <c r="C35" s="60">
        <f>C20</f>
        <v>-729629</v>
      </c>
      <c r="D35" s="108">
        <f t="shared" si="1"/>
        <v>1393161</v>
      </c>
    </row>
    <row r="36" spans="1:4" x14ac:dyDescent="0.2">
      <c r="A36" s="102" t="s">
        <v>179</v>
      </c>
      <c r="B36" s="145">
        <f>+'[2]ST Warroom 99'!$O$41</f>
        <v>-585121</v>
      </c>
      <c r="C36" s="178">
        <f>+C21+C22</f>
        <v>-585120.99000000209</v>
      </c>
      <c r="D36" s="108">
        <f t="shared" si="1"/>
        <v>9.9999979138374329E-3</v>
      </c>
    </row>
    <row r="37" spans="1:4" x14ac:dyDescent="0.2">
      <c r="A37" s="171" t="s">
        <v>176</v>
      </c>
      <c r="B37" s="145">
        <f>+'[2]ST Warroom 99'!$F$41</f>
        <v>508114</v>
      </c>
      <c r="C37" s="178">
        <f>C23</f>
        <v>508114.14999999997</v>
      </c>
      <c r="D37" s="108">
        <f t="shared" si="1"/>
        <v>0.1499999999650754</v>
      </c>
    </row>
    <row r="38" spans="1:4" ht="13.5" thickBot="1" x14ac:dyDescent="0.25">
      <c r="A38" s="102" t="s">
        <v>10</v>
      </c>
      <c r="B38" s="61">
        <f>SUM(B30:B37)</f>
        <v>-6996792</v>
      </c>
      <c r="C38" s="61">
        <f>SUM(C30:C37)</f>
        <v>-6575063.4314000281</v>
      </c>
      <c r="D38" s="109">
        <f>SUM(D30:D37)</f>
        <v>421728.56859997154</v>
      </c>
    </row>
    <row r="39" spans="1:4" ht="13.5" thickBot="1" x14ac:dyDescent="0.25">
      <c r="A39" s="103" t="s">
        <v>168</v>
      </c>
      <c r="B39" s="104">
        <f>+B38</f>
        <v>-6996792</v>
      </c>
      <c r="C39" s="104">
        <f>TOTAL!$G$91</f>
        <v>-6575063.4313998818</v>
      </c>
      <c r="D39" s="110">
        <f>C39-B39</f>
        <v>421728.56860011816</v>
      </c>
    </row>
    <row r="41" spans="1:4" x14ac:dyDescent="0.2">
      <c r="C41" s="45">
        <f>C39-[1]OAvsACT!$C$43</f>
        <v>48.648600121028721</v>
      </c>
      <c r="D41" s="163">
        <f>-D39+[1]OAvsACT!$G$43</f>
        <v>-48.648600121028721</v>
      </c>
    </row>
    <row r="42" spans="1:4" x14ac:dyDescent="0.2">
      <c r="C42" s="45"/>
      <c r="D42" s="164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8" spans="1:4" ht="13.5" thickBot="1" x14ac:dyDescent="0.25"/>
    <row r="99" spans="1:4" ht="18.75" thickBot="1" x14ac:dyDescent="0.3">
      <c r="A99" s="105" t="s">
        <v>12</v>
      </c>
      <c r="B99" s="106" t="s">
        <v>91</v>
      </c>
      <c r="C99" s="107" t="s">
        <v>8</v>
      </c>
      <c r="D99" s="107" t="s">
        <v>9</v>
      </c>
    </row>
    <row r="100" spans="1:4" x14ac:dyDescent="0.2">
      <c r="A100" s="102" t="s">
        <v>14</v>
      </c>
      <c r="B100" s="146">
        <f>'CE-FLSH'!$M$82</f>
        <v>-1907876.1621467583</v>
      </c>
      <c r="C100" s="60">
        <f>CE_GL!$E$82</f>
        <v>-1261753.9519999856</v>
      </c>
      <c r="D100" s="108">
        <f t="shared" ref="D100:D109" si="2">C100-B100</f>
        <v>646122.21014677268</v>
      </c>
    </row>
    <row r="101" spans="1:4" x14ac:dyDescent="0.2">
      <c r="A101" s="102" t="s">
        <v>15</v>
      </c>
      <c r="B101" s="146">
        <f>'NE-FLSH'!$M$82</f>
        <v>607422.47515113512</v>
      </c>
      <c r="C101" s="60">
        <f>NE_GL!$E$82</f>
        <v>-4863270.6250000279</v>
      </c>
      <c r="D101" s="108">
        <f t="shared" si="2"/>
        <v>-5470693.1001511626</v>
      </c>
    </row>
    <row r="102" spans="1:4" x14ac:dyDescent="0.2">
      <c r="A102" s="102" t="s">
        <v>16</v>
      </c>
      <c r="B102" s="145">
        <f>'SE-EGM-FLSH'!$M$82</f>
        <v>0</v>
      </c>
      <c r="C102" s="60">
        <f>'SE-EGM-GL'!$E$82</f>
        <v>0</v>
      </c>
      <c r="D102" s="108">
        <f t="shared" si="2"/>
        <v>0</v>
      </c>
    </row>
    <row r="103" spans="1:4" x14ac:dyDescent="0.2">
      <c r="A103" s="102" t="s">
        <v>17</v>
      </c>
      <c r="B103" s="145">
        <f>'SE-LRC-FLSH'!$M$82</f>
        <v>-3554506.9594850745</v>
      </c>
      <c r="C103" s="60">
        <f>'SE-LRC-GL'!$E$82</f>
        <v>695928.62299999676</v>
      </c>
      <c r="D103" s="108">
        <f t="shared" si="2"/>
        <v>4250435.5824850714</v>
      </c>
    </row>
    <row r="104" spans="1:4" x14ac:dyDescent="0.2">
      <c r="A104" s="102" t="s">
        <v>18</v>
      </c>
      <c r="B104" s="145">
        <f>'TX-EGM-FLSH'!$M$82</f>
        <v>2938226.3141920278</v>
      </c>
      <c r="C104" s="60">
        <f>'TX-EGM-GL'!$E$82</f>
        <v>258399.47199999786</v>
      </c>
      <c r="D104" s="108">
        <f t="shared" si="2"/>
        <v>-2679826.84219203</v>
      </c>
    </row>
    <row r="105" spans="1:4" x14ac:dyDescent="0.2">
      <c r="A105" s="102" t="s">
        <v>19</v>
      </c>
      <c r="B105" s="145">
        <f>'TX-HPL-FLSH'!$M$82</f>
        <v>-649896.51511274558</v>
      </c>
      <c r="C105" s="60">
        <f>'TX-HPL-GL '!$E$82</f>
        <v>60487.313599996851</v>
      </c>
      <c r="D105" s="108">
        <f t="shared" si="2"/>
        <v>710383.82871274243</v>
      </c>
    </row>
    <row r="106" spans="1:4" x14ac:dyDescent="0.2">
      <c r="A106" s="102" t="s">
        <v>20</v>
      </c>
      <c r="B106" s="145">
        <f>'WE-FLSH'!$M$82</f>
        <v>-542220.25069875969</v>
      </c>
      <c r="C106" s="60">
        <f>'WE-GL '!$E$82</f>
        <v>-920828.51300000423</v>
      </c>
      <c r="D106" s="108">
        <f t="shared" si="2"/>
        <v>-378608.26230124454</v>
      </c>
    </row>
    <row r="107" spans="1:4" x14ac:dyDescent="0.2">
      <c r="A107" s="102" t="s">
        <v>21</v>
      </c>
      <c r="B107" s="145">
        <f>STG_FLSH!$M$82</f>
        <v>-1149000</v>
      </c>
      <c r="C107" s="60">
        <f>STG_GL!$E$82</f>
        <v>-729629</v>
      </c>
      <c r="D107" s="108">
        <f t="shared" si="2"/>
        <v>419371</v>
      </c>
    </row>
    <row r="108" spans="1:4" x14ac:dyDescent="0.2">
      <c r="A108" s="102" t="s">
        <v>22</v>
      </c>
      <c r="B108" s="145">
        <f>ONT_FLSH!$M$82</f>
        <v>263445.28000000003</v>
      </c>
      <c r="C108" s="60">
        <f>'ONT_GL '!$E$82</f>
        <v>-474478.99000000209</v>
      </c>
      <c r="D108" s="108">
        <f t="shared" si="2"/>
        <v>-737924.27000000211</v>
      </c>
    </row>
    <row r="109" spans="1:4" x14ac:dyDescent="0.2">
      <c r="A109" s="102" t="s">
        <v>175</v>
      </c>
      <c r="B109" s="145">
        <f>BGC_FLSH!$M$82</f>
        <v>-544</v>
      </c>
      <c r="C109" s="60">
        <f>BGC_GL!$E$82</f>
        <v>508114.14999999997</v>
      </c>
      <c r="D109" s="108">
        <f t="shared" si="2"/>
        <v>508658.14999999997</v>
      </c>
    </row>
    <row r="110" spans="1:4" ht="13.5" thickBot="1" x14ac:dyDescent="0.25">
      <c r="A110" s="102" t="s">
        <v>10</v>
      </c>
      <c r="B110" s="61">
        <f>SUM(B100:B109)</f>
        <v>-3994949.8181001758</v>
      </c>
      <c r="C110" s="61">
        <f>SUM(C100:C109)</f>
        <v>-6727031.521400027</v>
      </c>
      <c r="D110" s="109">
        <f>SUM(D100:D109)</f>
        <v>-2732081.7032998535</v>
      </c>
    </row>
    <row r="111" spans="1:4" ht="13.5" thickBot="1" x14ac:dyDescent="0.25">
      <c r="A111" s="103" t="s">
        <v>23</v>
      </c>
      <c r="B111" s="104">
        <f>TOTAL!$E$82</f>
        <v>-3994949.8181001926</v>
      </c>
      <c r="C111" s="104">
        <f>TOTAL!$G$82</f>
        <v>-6727031.5213998817</v>
      </c>
      <c r="D111" s="110">
        <f>TOTAL!$I$82</f>
        <v>-2732081.7032996425</v>
      </c>
    </row>
    <row r="112" spans="1:4" x14ac:dyDescent="0.2">
      <c r="B112" s="45"/>
      <c r="C112" s="45"/>
      <c r="D112" s="45"/>
    </row>
    <row r="113" spans="1:4" x14ac:dyDescent="0.2">
      <c r="B113" s="45">
        <f>+B110-B111</f>
        <v>1.6763806343078613E-8</v>
      </c>
      <c r="C113" s="45">
        <f>+C110-C111</f>
        <v>-1.4528632164001465E-7</v>
      </c>
      <c r="D113" s="45"/>
    </row>
    <row r="114" spans="1:4" ht="13.5" thickBot="1" x14ac:dyDescent="0.25"/>
    <row r="115" spans="1:4" ht="18.75" thickBot="1" x14ac:dyDescent="0.3">
      <c r="A115" s="105" t="s">
        <v>12</v>
      </c>
      <c r="B115" s="106" t="s">
        <v>165</v>
      </c>
      <c r="C115" s="107" t="s">
        <v>8</v>
      </c>
      <c r="D115" s="107" t="s">
        <v>9</v>
      </c>
    </row>
    <row r="116" spans="1:4" x14ac:dyDescent="0.2">
      <c r="A116" s="102" t="s">
        <v>14</v>
      </c>
      <c r="B116" s="146">
        <f>'[1]ST Warroom 97&amp;98'!$B$89</f>
        <v>0</v>
      </c>
      <c r="C116" s="60">
        <f>C100</f>
        <v>-1261753.9519999856</v>
      </c>
      <c r="D116" s="108">
        <f t="shared" ref="D116:D123" si="3">C116-B116</f>
        <v>-1261753.9519999856</v>
      </c>
    </row>
    <row r="117" spans="1:4" x14ac:dyDescent="0.2">
      <c r="A117" s="102" t="s">
        <v>15</v>
      </c>
      <c r="B117" s="146">
        <f>'[1]ST Warroom 97&amp;98'!$C$89</f>
        <v>0</v>
      </c>
      <c r="C117" s="60">
        <f>C101</f>
        <v>-4863270.6250000279</v>
      </c>
      <c r="D117" s="108">
        <f t="shared" si="3"/>
        <v>-4863270.6250000279</v>
      </c>
    </row>
    <row r="118" spans="1:4" x14ac:dyDescent="0.2">
      <c r="A118" s="102" t="s">
        <v>166</v>
      </c>
      <c r="B118" s="145">
        <f>'[1]ST Warroom 97&amp;98'!$E$89</f>
        <v>0</v>
      </c>
      <c r="C118" s="60">
        <f>C102+C103</f>
        <v>695928.62299999676</v>
      </c>
      <c r="D118" s="108">
        <f t="shared" si="3"/>
        <v>695928.62299999676</v>
      </c>
    </row>
    <row r="119" spans="1:4" x14ac:dyDescent="0.2">
      <c r="A119" s="102" t="s">
        <v>167</v>
      </c>
      <c r="B119" s="145">
        <f>'[1]ST Warroom 97&amp;98'!$F$89</f>
        <v>0</v>
      </c>
      <c r="C119" s="60">
        <f>C104+C105</f>
        <v>318886.78559999471</v>
      </c>
      <c r="D119" s="108">
        <f t="shared" si="3"/>
        <v>318886.78559999471</v>
      </c>
    </row>
    <row r="120" spans="1:4" x14ac:dyDescent="0.2">
      <c r="A120" s="102" t="s">
        <v>20</v>
      </c>
      <c r="B120" s="145">
        <f>'[1]ST Warroom 97&amp;98'!$G$89</f>
        <v>0</v>
      </c>
      <c r="C120" s="60">
        <f>C106</f>
        <v>-920828.51300000423</v>
      </c>
      <c r="D120" s="108">
        <f t="shared" si="3"/>
        <v>-920828.51300000423</v>
      </c>
    </row>
    <row r="121" spans="1:4" x14ac:dyDescent="0.2">
      <c r="A121" s="102" t="s">
        <v>21</v>
      </c>
      <c r="B121" s="145">
        <f>'[1]ST Warroom 97&amp;98'!$H$89</f>
        <v>0</v>
      </c>
      <c r="C121" s="60">
        <f>C107</f>
        <v>-729629</v>
      </c>
      <c r="D121" s="108">
        <f t="shared" si="3"/>
        <v>-729629</v>
      </c>
    </row>
    <row r="122" spans="1:4" x14ac:dyDescent="0.2">
      <c r="A122" s="102" t="s">
        <v>22</v>
      </c>
      <c r="B122" s="145">
        <f>'[1]ST Warroom 97&amp;98'!$I$89</f>
        <v>0</v>
      </c>
      <c r="C122" s="60">
        <f>C108</f>
        <v>-474478.99000000209</v>
      </c>
      <c r="D122" s="108">
        <f t="shared" si="3"/>
        <v>-474478.99000000209</v>
      </c>
    </row>
    <row r="123" spans="1:4" x14ac:dyDescent="0.2">
      <c r="A123" s="102" t="s">
        <v>175</v>
      </c>
      <c r="B123" s="145">
        <f>'[1]ST Warroom 97&amp;98'!$D$89</f>
        <v>0</v>
      </c>
      <c r="C123" s="60">
        <f>C109</f>
        <v>508114.14999999997</v>
      </c>
      <c r="D123" s="108">
        <f t="shared" si="3"/>
        <v>508114.14999999997</v>
      </c>
    </row>
    <row r="124" spans="1:4" ht="13.5" thickBot="1" x14ac:dyDescent="0.25">
      <c r="A124" s="102" t="s">
        <v>10</v>
      </c>
      <c r="B124" s="61">
        <f>SUM(B116:B123)</f>
        <v>0</v>
      </c>
      <c r="C124" s="61">
        <f>SUM(C116:C123)</f>
        <v>-6727031.5214000279</v>
      </c>
      <c r="D124" s="109">
        <f>SUM(D116:D123)</f>
        <v>-6727031.5214000279</v>
      </c>
    </row>
    <row r="125" spans="1:4" ht="13.5" thickBot="1" x14ac:dyDescent="0.25">
      <c r="A125" s="103" t="s">
        <v>168</v>
      </c>
      <c r="B125" s="104">
        <f>'[1]ST Warroom 97&amp;98'!$M$89</f>
        <v>0</v>
      </c>
      <c r="C125" s="104">
        <f>TOTAL!$G$82</f>
        <v>-6727031.5213998817</v>
      </c>
      <c r="D125" s="110">
        <f>C125-B125</f>
        <v>-6727031.5213998817</v>
      </c>
    </row>
    <row r="127" spans="1:4" x14ac:dyDescent="0.2">
      <c r="C127" s="45">
        <f>C125-[1]OAvsACT!$C$39</f>
        <v>-34839056.301399887</v>
      </c>
      <c r="D127" s="163">
        <f>-D125+[1]OAvsACT!$G$39</f>
        <v>10119969.301399883</v>
      </c>
    </row>
    <row r="129" spans="4:4" x14ac:dyDescent="0.2">
      <c r="D129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S187"/>
  <sheetViews>
    <sheetView zoomScale="75" workbookViewId="0">
      <pane xSplit="3" ySplit="9" topLeftCell="AK52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S84" sqref="AS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113781230</v>
      </c>
      <c r="E11" s="38">
        <f t="shared" si="0"/>
        <v>217885477.40000001</v>
      </c>
      <c r="F11" s="60">
        <f>'TIE-OUT'!H11+RECLASS!H11</f>
        <v>0</v>
      </c>
      <c r="G11" s="38">
        <f>'TIE-OUT'!I11+RECLASS!I11</f>
        <v>0</v>
      </c>
      <c r="H11" s="133">
        <f>+Actuals!E164</f>
        <v>113908690</v>
      </c>
      <c r="I11" s="134">
        <f>+Actuals!F164</f>
        <v>206579265.88999999</v>
      </c>
      <c r="J11" s="133">
        <f>+Actuals!G164</f>
        <v>-116520</v>
      </c>
      <c r="K11" s="153">
        <f>+Actuals!H164</f>
        <v>7556132.46</v>
      </c>
      <c r="L11" s="133">
        <f>+Actuals!I164</f>
        <v>-31146</v>
      </c>
      <c r="M11" s="134">
        <f>+Actuals!J164</f>
        <v>-183202.28</v>
      </c>
      <c r="N11" s="133">
        <f>+Actuals!K164</f>
        <v>20080</v>
      </c>
      <c r="O11" s="134">
        <f>+Actuals!L164</f>
        <v>22875.83</v>
      </c>
      <c r="P11" s="133">
        <f>+Actuals!M164</f>
        <v>-3088</v>
      </c>
      <c r="Q11" s="134">
        <f>+Actuals!N164</f>
        <v>6431.97</v>
      </c>
      <c r="R11" s="133">
        <f>+Actuals!O164</f>
        <v>-21000</v>
      </c>
      <c r="S11" s="134">
        <f>+Actuals!P164</f>
        <v>2092.88</v>
      </c>
      <c r="T11" s="133">
        <f>+Actuals!Q164</f>
        <v>21000</v>
      </c>
      <c r="U11" s="134">
        <f>+Actuals!R164</f>
        <v>0</v>
      </c>
      <c r="V11" s="133">
        <f>+Actuals!S164</f>
        <v>0</v>
      </c>
      <c r="W11" s="134">
        <f>+Actuals!T164</f>
        <v>3849290</v>
      </c>
      <c r="X11" s="133">
        <f>+Actuals!U164</f>
        <v>0</v>
      </c>
      <c r="Y11" s="134">
        <f>+Actuals!V164</f>
        <v>52463.4</v>
      </c>
      <c r="Z11" s="133">
        <f>+Actuals!W164</f>
        <v>0</v>
      </c>
      <c r="AA11" s="134">
        <f>+Actuals!X164</f>
        <v>0</v>
      </c>
      <c r="AB11" s="133">
        <f>+Actuals!Y244</f>
        <v>0</v>
      </c>
      <c r="AC11" s="134">
        <f>+Actuals!Z244</f>
        <v>0</v>
      </c>
      <c r="AD11" s="133">
        <f>+Actuals!AA244</f>
        <v>0</v>
      </c>
      <c r="AE11" s="134">
        <f>+Actuals!AB244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  <c r="AJ11" s="133">
        <f>+Actuals!AG244</f>
        <v>3214</v>
      </c>
      <c r="AK11" s="134">
        <f>+Actuals!AH244</f>
        <v>9681.85</v>
      </c>
      <c r="AL11" s="133">
        <f>+Actuals!AI244</f>
        <v>0</v>
      </c>
      <c r="AM11" s="134">
        <f>+Actuals!AJ244</f>
        <v>-9554.6</v>
      </c>
      <c r="AN11" s="133">
        <f>+Actuals!AK244</f>
        <v>0</v>
      </c>
      <c r="AO11" s="134">
        <f>+Actuals!AL244</f>
        <v>0</v>
      </c>
      <c r="AP11" s="133">
        <f>+Actuals!AM244</f>
        <v>0</v>
      </c>
      <c r="AQ11" s="134">
        <f>+Actuals!AN244</f>
        <v>0</v>
      </c>
      <c r="AR11" s="133">
        <f>+Actuals!AO244</f>
        <v>0</v>
      </c>
      <c r="AS11" s="134">
        <f>+Actuals!AP244</f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-16145830.59</v>
      </c>
      <c r="F12" s="60">
        <f>'TIE-OUT'!H12+RECLASS!H12</f>
        <v>0</v>
      </c>
      <c r="G12" s="38">
        <f>'TIE-OUT'!I12+RECLASS!I12</f>
        <v>-16162925.59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+Actuals!H165+17095</f>
        <v>17095</v>
      </c>
      <c r="L12" s="133">
        <f>+Actuals!I165</f>
        <v>0</v>
      </c>
      <c r="M12" s="134">
        <f>+Actuals!J165</f>
        <v>0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+Actuals!Y245</f>
        <v>0</v>
      </c>
      <c r="AC12" s="134">
        <f>+Actuals!Z245</f>
        <v>0</v>
      </c>
      <c r="AD12" s="133">
        <f>+Actuals!AA245</f>
        <v>0</v>
      </c>
      <c r="AE12" s="134">
        <f>+Actuals!AB245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  <c r="AJ12" s="133">
        <f>+Actuals!AG245</f>
        <v>0</v>
      </c>
      <c r="AK12" s="134">
        <f>+Actuals!AH245</f>
        <v>0</v>
      </c>
      <c r="AL12" s="133">
        <f>+Actuals!AI245</f>
        <v>0</v>
      </c>
      <c r="AM12" s="134">
        <f>+Actuals!AJ245</f>
        <v>0</v>
      </c>
      <c r="AN12" s="133">
        <f>+Actuals!AK245</f>
        <v>0</v>
      </c>
      <c r="AO12" s="134">
        <f>+Actuals!AL245</f>
        <v>0</v>
      </c>
      <c r="AP12" s="133">
        <f>+Actuals!AM245</f>
        <v>0</v>
      </c>
      <c r="AQ12" s="134">
        <f>+Actuals!AN245</f>
        <v>0</v>
      </c>
      <c r="AR12" s="133">
        <f>+Actuals!AO245</f>
        <v>0</v>
      </c>
      <c r="AS12" s="134">
        <f>+Actuals!AP245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57587981</v>
      </c>
      <c r="E13" s="38">
        <f t="shared" si="0"/>
        <v>108285717</v>
      </c>
      <c r="F13" s="60">
        <f>'TIE-OUT'!H13+RECLASS!H13</f>
        <v>0</v>
      </c>
      <c r="G13" s="38">
        <f>'TIE-OUT'!I13+RECLASS!I13</f>
        <v>0</v>
      </c>
      <c r="H13" s="133">
        <f>+Actuals!E166</f>
        <v>57587981</v>
      </c>
      <c r="I13" s="134">
        <f>+Actuals!F166</f>
        <v>108285717</v>
      </c>
      <c r="J13" s="133">
        <f>+Actuals!G166</f>
        <v>63393</v>
      </c>
      <c r="K13" s="153">
        <f>+Actuals!H166</f>
        <v>94838</v>
      </c>
      <c r="L13" s="133">
        <f>+Actuals!I166</f>
        <v>-2264</v>
      </c>
      <c r="M13" s="134">
        <f>+Actuals!J166</f>
        <v>-3588</v>
      </c>
      <c r="N13" s="133">
        <f>+Actuals!K166</f>
        <v>0</v>
      </c>
      <c r="O13" s="134">
        <f>+Actuals!L166</f>
        <v>0</v>
      </c>
      <c r="P13" s="133">
        <f>+Actuals!M166</f>
        <v>0</v>
      </c>
      <c r="Q13" s="134">
        <f>+Actuals!N166</f>
        <v>0</v>
      </c>
      <c r="R13" s="133">
        <f>+Actuals!O166</f>
        <v>-2264</v>
      </c>
      <c r="S13" s="134">
        <f>+Actuals!P166</f>
        <v>-3588</v>
      </c>
      <c r="T13" s="133">
        <f>+Actuals!Q166</f>
        <v>0</v>
      </c>
      <c r="U13" s="134">
        <f>+Actuals!R166</f>
        <v>0</v>
      </c>
      <c r="V13" s="133">
        <f>+Actuals!S166</f>
        <v>492537</v>
      </c>
      <c r="W13" s="134">
        <f>+Actuals!T166</f>
        <v>809858</v>
      </c>
      <c r="X13" s="133">
        <f>+Actuals!U166</f>
        <v>492537</v>
      </c>
      <c r="Y13" s="134">
        <f>+Actuals!V166</f>
        <v>809858</v>
      </c>
      <c r="Z13" s="133">
        <f>+Actuals!W166</f>
        <v>-1043939</v>
      </c>
      <c r="AA13" s="134">
        <f>+Actuals!X166</f>
        <v>-1707378</v>
      </c>
      <c r="AB13" s="133">
        <f>+Actuals!Y246</f>
        <v>1043939</v>
      </c>
      <c r="AC13" s="134">
        <f>+Actuals!Z246</f>
        <v>1707378</v>
      </c>
      <c r="AD13" s="133">
        <f>+Actuals!AA246</f>
        <v>0</v>
      </c>
      <c r="AE13" s="134">
        <f>+Actuals!AB246</f>
        <v>0</v>
      </c>
      <c r="AF13" s="133">
        <f>+Actuals!AC246</f>
        <v>-1043939</v>
      </c>
      <c r="AG13" s="134">
        <f>+Actuals!AD246</f>
        <v>-1707378</v>
      </c>
      <c r="AH13" s="133">
        <f>+Actuals!AE246</f>
        <v>0</v>
      </c>
      <c r="AI13" s="134">
        <f>+Actuals!AF246</f>
        <v>0</v>
      </c>
      <c r="AJ13" s="133">
        <f>+Actuals!AG246</f>
        <v>0</v>
      </c>
      <c r="AK13" s="134">
        <f>+Actuals!AH246</f>
        <v>0</v>
      </c>
      <c r="AL13" s="133">
        <f>+Actuals!AI246</f>
        <v>0</v>
      </c>
      <c r="AM13" s="134">
        <f>+Actuals!AJ246</f>
        <v>0</v>
      </c>
      <c r="AN13" s="133">
        <f>+Actuals!AK246</f>
        <v>0</v>
      </c>
      <c r="AO13" s="134">
        <f>+Actuals!AL246</f>
        <v>0</v>
      </c>
      <c r="AP13" s="133">
        <f>+Actuals!AM246</f>
        <v>0</v>
      </c>
      <c r="AQ13" s="134">
        <f>+Actuals!AN246</f>
        <v>0</v>
      </c>
      <c r="AR13" s="133">
        <f>+Actuals!AO246</f>
        <v>0</v>
      </c>
      <c r="AS13" s="134">
        <f>+Actuals!AP246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+Actuals!Y247</f>
        <v>0</v>
      </c>
      <c r="AC14" s="134">
        <f>+Actuals!Z247</f>
        <v>0</v>
      </c>
      <c r="AD14" s="133">
        <f>+Actuals!AA247</f>
        <v>0</v>
      </c>
      <c r="AE14" s="134">
        <f>+Actuals!AB247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  <c r="AJ14" s="133">
        <f>+Actuals!AG247</f>
        <v>0</v>
      </c>
      <c r="AK14" s="134">
        <f>+Actuals!AH247</f>
        <v>0</v>
      </c>
      <c r="AL14" s="133">
        <f>+Actuals!AI247</f>
        <v>0</v>
      </c>
      <c r="AM14" s="134">
        <f>+Actuals!AJ247</f>
        <v>0</v>
      </c>
      <c r="AN14" s="133">
        <f>+Actuals!AK247</f>
        <v>0</v>
      </c>
      <c r="AO14" s="134">
        <f>+Actuals!AL247</f>
        <v>0</v>
      </c>
      <c r="AP14" s="133">
        <f>+Actuals!AM247</f>
        <v>0</v>
      </c>
      <c r="AQ14" s="134">
        <f>+Actuals!AN247</f>
        <v>0</v>
      </c>
      <c r="AR14" s="133">
        <f>+Actuals!AO247</f>
        <v>0</v>
      </c>
      <c r="AS14" s="134">
        <f>+Actuals!AP247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-7926</v>
      </c>
      <c r="F15" s="81">
        <f>'TIE-OUT'!H15+RECLASS!H15</f>
        <v>0</v>
      </c>
      <c r="G15" s="82">
        <f>'TIE-OUT'!I15+RECLASS!I15</f>
        <v>-7926</v>
      </c>
      <c r="H15" s="133">
        <f>+Actuals!E168</f>
        <v>0</v>
      </c>
      <c r="I15" s="134">
        <v>10500000</v>
      </c>
      <c r="J15" s="133">
        <f>+Actuals!G168</f>
        <v>0</v>
      </c>
      <c r="K15" s="153">
        <v>-10500000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+Actuals!Y248</f>
        <v>0</v>
      </c>
      <c r="AC15" s="134">
        <f>+Actuals!Z248</f>
        <v>0</v>
      </c>
      <c r="AD15" s="133">
        <f>+Actuals!AA248</f>
        <v>0</v>
      </c>
      <c r="AE15" s="134">
        <f>+Actuals!AB248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  <c r="AJ15" s="133">
        <f>+Actuals!AG248</f>
        <v>0</v>
      </c>
      <c r="AK15" s="134">
        <f>+Actuals!AH248</f>
        <v>0</v>
      </c>
      <c r="AL15" s="133">
        <f>+Actuals!AI248</f>
        <v>0</v>
      </c>
      <c r="AM15" s="134">
        <f>+Actuals!AJ248</f>
        <v>0</v>
      </c>
      <c r="AN15" s="133">
        <f>+Actuals!AK248</f>
        <v>0</v>
      </c>
      <c r="AO15" s="134">
        <f>+Actuals!AL248</f>
        <v>0</v>
      </c>
      <c r="AP15" s="133">
        <f>+Actuals!AM248</f>
        <v>0</v>
      </c>
      <c r="AQ15" s="134">
        <f>+Actuals!AN248</f>
        <v>0</v>
      </c>
      <c r="AR15" s="133">
        <f>+Actuals!AO248</f>
        <v>0</v>
      </c>
      <c r="AS15" s="134">
        <f>+Actuals!AP248</f>
        <v>0</v>
      </c>
    </row>
    <row r="16" spans="1:45" x14ac:dyDescent="0.2">
      <c r="A16" s="9"/>
      <c r="B16" s="7" t="s">
        <v>34</v>
      </c>
      <c r="C16" s="6"/>
      <c r="D16" s="61">
        <f t="shared" ref="D16:AC16" si="1">SUM(D11:D15)</f>
        <v>171369211</v>
      </c>
      <c r="E16" s="39">
        <f t="shared" si="1"/>
        <v>310017437.81</v>
      </c>
      <c r="F16" s="61">
        <f t="shared" si="1"/>
        <v>0</v>
      </c>
      <c r="G16" s="39">
        <f t="shared" si="1"/>
        <v>-16170851.59</v>
      </c>
      <c r="H16" s="61">
        <f t="shared" si="1"/>
        <v>171496671</v>
      </c>
      <c r="I16" s="39">
        <f t="shared" si="1"/>
        <v>325364982.88999999</v>
      </c>
      <c r="J16" s="61">
        <f t="shared" si="1"/>
        <v>-53127</v>
      </c>
      <c r="K16" s="154">
        <f t="shared" si="1"/>
        <v>-2831934.54</v>
      </c>
      <c r="L16" s="61">
        <f t="shared" si="1"/>
        <v>-33410</v>
      </c>
      <c r="M16" s="39">
        <f t="shared" si="1"/>
        <v>-186790.28</v>
      </c>
      <c r="N16" s="61">
        <f t="shared" si="1"/>
        <v>20080</v>
      </c>
      <c r="O16" s="39">
        <f t="shared" si="1"/>
        <v>22875.83</v>
      </c>
      <c r="P16" s="61">
        <f t="shared" si="1"/>
        <v>-3088</v>
      </c>
      <c r="Q16" s="39">
        <f t="shared" si="1"/>
        <v>6431.97</v>
      </c>
      <c r="R16" s="61">
        <f t="shared" si="1"/>
        <v>-23264</v>
      </c>
      <c r="S16" s="39">
        <f t="shared" si="1"/>
        <v>-1495.12</v>
      </c>
      <c r="T16" s="61">
        <f t="shared" si="1"/>
        <v>21000</v>
      </c>
      <c r="U16" s="39">
        <f t="shared" si="1"/>
        <v>0</v>
      </c>
      <c r="V16" s="61">
        <f t="shared" si="1"/>
        <v>492537</v>
      </c>
      <c r="W16" s="39">
        <f t="shared" si="1"/>
        <v>4659148</v>
      </c>
      <c r="X16" s="61">
        <f t="shared" si="1"/>
        <v>492537</v>
      </c>
      <c r="Y16" s="39">
        <f t="shared" si="1"/>
        <v>862321.4</v>
      </c>
      <c r="Z16" s="61">
        <f t="shared" si="1"/>
        <v>-1043939</v>
      </c>
      <c r="AA16" s="39">
        <f t="shared" si="1"/>
        <v>-1707378</v>
      </c>
      <c r="AB16" s="61">
        <f t="shared" si="1"/>
        <v>1043939</v>
      </c>
      <c r="AC16" s="39">
        <f t="shared" si="1"/>
        <v>1707378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-1043939</v>
      </c>
      <c r="AG16" s="39">
        <f t="shared" si="2"/>
        <v>-1707378</v>
      </c>
      <c r="AH16" s="61">
        <f t="shared" si="2"/>
        <v>0</v>
      </c>
      <c r="AI16" s="39">
        <f t="shared" si="2"/>
        <v>0</v>
      </c>
      <c r="AJ16" s="61">
        <f t="shared" ref="AJ16:AO16" si="3">SUM(AJ11:AJ15)</f>
        <v>3214</v>
      </c>
      <c r="AK16" s="39">
        <f t="shared" si="3"/>
        <v>9681.85</v>
      </c>
      <c r="AL16" s="61">
        <f t="shared" si="3"/>
        <v>0</v>
      </c>
      <c r="AM16" s="39">
        <f t="shared" si="3"/>
        <v>-9554.6</v>
      </c>
      <c r="AN16" s="61">
        <f t="shared" si="3"/>
        <v>0</v>
      </c>
      <c r="AO16" s="39">
        <f t="shared" si="3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SUM(F19,H19,J19,L19,N19,P19,R19,T19,V19,X19,Z19,AB19,AD19,AF19,AH19,AJ19,AL19,AN19,AP19,AR19)</f>
        <v>-118400513</v>
      </c>
      <c r="E19" s="38">
        <f t="shared" si="4"/>
        <v>-207967257.50999999</v>
      </c>
      <c r="F19" s="64">
        <f>'TIE-OUT'!H19+RECLASS!H19</f>
        <v>0</v>
      </c>
      <c r="G19" s="68">
        <f>'TIE-OUT'!I19+RECLASS!I19</f>
        <v>0</v>
      </c>
      <c r="H19" s="133">
        <f>+Actuals!E169</f>
        <v>-118399034</v>
      </c>
      <c r="I19" s="134">
        <f>+Actuals!F169</f>
        <v>-205033987.50999999</v>
      </c>
      <c r="J19" s="133">
        <f>+Actuals!G169</f>
        <v>256250</v>
      </c>
      <c r="K19" s="153">
        <f>+Actuals!H169</f>
        <v>-2625347.89</v>
      </c>
      <c r="L19" s="133">
        <f>+Actuals!I169</f>
        <v>-279882</v>
      </c>
      <c r="M19" s="134">
        <f>+Actuals!J169</f>
        <v>-410705.55</v>
      </c>
      <c r="N19" s="133">
        <f>+Actuals!K169</f>
        <v>-17986</v>
      </c>
      <c r="O19" s="134">
        <f>+Actuals!L169</f>
        <v>2854.14</v>
      </c>
      <c r="P19" s="133">
        <f>+Actuals!M169</f>
        <v>12965</v>
      </c>
      <c r="Q19" s="134">
        <f>+Actuals!N169</f>
        <v>20006.97</v>
      </c>
      <c r="R19" s="133">
        <f>+Actuals!O169</f>
        <v>-96</v>
      </c>
      <c r="S19" s="134">
        <f>+Actuals!P169</f>
        <v>21744.83</v>
      </c>
      <c r="T19" s="133">
        <f>+Actuals!Q169</f>
        <v>11</v>
      </c>
      <c r="U19" s="134">
        <f>+Actuals!R169</f>
        <v>24.07</v>
      </c>
      <c r="V19" s="133">
        <f>+Actuals!S169</f>
        <v>27322</v>
      </c>
      <c r="W19" s="134">
        <f>+Actuals!T169</f>
        <v>58334.35</v>
      </c>
      <c r="X19" s="133">
        <f>+Actuals!U169</f>
        <v>0</v>
      </c>
      <c r="Y19" s="134">
        <f>+Actuals!V169</f>
        <v>0</v>
      </c>
      <c r="Z19" s="133">
        <f>+Actuals!W169</f>
        <v>0</v>
      </c>
      <c r="AA19" s="134">
        <f>+Actuals!X169</f>
        <v>0</v>
      </c>
      <c r="AB19" s="133">
        <f>+Actuals!Y249</f>
        <v>0</v>
      </c>
      <c r="AC19" s="134">
        <f>+Actuals!Z249</f>
        <v>0</v>
      </c>
      <c r="AD19" s="133">
        <f>+Actuals!AA249</f>
        <v>0</v>
      </c>
      <c r="AE19" s="134">
        <f>+Actuals!AB249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  <c r="AJ19" s="133">
        <f>+Actuals!AG249</f>
        <v>-63</v>
      </c>
      <c r="AK19" s="134">
        <f>+Actuals!AH249</f>
        <v>-180.92</v>
      </c>
      <c r="AL19" s="133">
        <f>+Actuals!AI249</f>
        <v>0</v>
      </c>
      <c r="AM19" s="134">
        <f>+Actuals!AJ249</f>
        <v>0</v>
      </c>
      <c r="AN19" s="133">
        <f>+Actuals!AK249</f>
        <v>0</v>
      </c>
      <c r="AO19" s="134">
        <f>+Actuals!AL249</f>
        <v>0</v>
      </c>
      <c r="AP19" s="133">
        <f>+Actuals!AM249</f>
        <v>0</v>
      </c>
      <c r="AQ19" s="134">
        <f>+Actuals!AN249</f>
        <v>0</v>
      </c>
      <c r="AR19" s="133">
        <f>+Actuals!AO249</f>
        <v>0</v>
      </c>
      <c r="AS19" s="134">
        <f>+Actuals!AP249</f>
        <v>0</v>
      </c>
    </row>
    <row r="20" spans="1:4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9229717.0500000007</v>
      </c>
      <c r="F20" s="60">
        <f>'TIE-OUT'!H20+RECLASS!H20</f>
        <v>0</v>
      </c>
      <c r="G20" s="38">
        <f>'TIE-OUT'!I20+RECLASS!I20</f>
        <v>9229717.0500000007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</f>
        <v>0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+Actuals!Y250</f>
        <v>0</v>
      </c>
      <c r="AC20" s="134">
        <f>+Actuals!Z250</f>
        <v>0</v>
      </c>
      <c r="AD20" s="133">
        <f>+Actuals!AA250</f>
        <v>0</v>
      </c>
      <c r="AE20" s="134">
        <f>+Actuals!AB250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  <c r="AJ20" s="133">
        <f>+Actuals!AG250</f>
        <v>0</v>
      </c>
      <c r="AK20" s="134">
        <f>+Actuals!AH250</f>
        <v>0</v>
      </c>
      <c r="AL20" s="133">
        <f>+Actuals!AI250</f>
        <v>0</v>
      </c>
      <c r="AM20" s="134">
        <f>+Actuals!AJ250</f>
        <v>0</v>
      </c>
      <c r="AN20" s="133">
        <f>+Actuals!AK250</f>
        <v>0</v>
      </c>
      <c r="AO20" s="134">
        <f>+Actuals!AL250</f>
        <v>0</v>
      </c>
      <c r="AP20" s="133">
        <f>+Actuals!AM250</f>
        <v>0</v>
      </c>
      <c r="AQ20" s="134">
        <f>+Actuals!AN250</f>
        <v>0</v>
      </c>
      <c r="AR20" s="133">
        <f>+Actuals!AO250</f>
        <v>0</v>
      </c>
      <c r="AS20" s="134">
        <f>+Actuals!AP250</f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4"/>
        <v>-57535637</v>
      </c>
      <c r="E21" s="38">
        <f t="shared" si="4"/>
        <v>-108653057</v>
      </c>
      <c r="F21" s="60">
        <f>'TIE-OUT'!H21+RECLASS!H21</f>
        <v>0</v>
      </c>
      <c r="G21" s="38">
        <f>'TIE-OUT'!I21+RECLASS!I21</f>
        <v>0</v>
      </c>
      <c r="H21" s="133">
        <f>+Actuals!E171</f>
        <v>-57535637</v>
      </c>
      <c r="I21" s="134">
        <f>+Actuals!F171</f>
        <v>-108653057</v>
      </c>
      <c r="J21" s="133">
        <f>+Actuals!G171</f>
        <v>215598</v>
      </c>
      <c r="K21" s="153">
        <f>+Actuals!H171</f>
        <v>374062</v>
      </c>
      <c r="L21" s="133">
        <f>+Actuals!I171</f>
        <v>0</v>
      </c>
      <c r="M21" s="134">
        <f>+Actuals!J171</f>
        <v>0</v>
      </c>
      <c r="N21" s="133">
        <f>+Actuals!K171</f>
        <v>0</v>
      </c>
      <c r="O21" s="134">
        <f>+Actuals!L171</f>
        <v>0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-492537</v>
      </c>
      <c r="W21" s="134">
        <f>+Actuals!T171</f>
        <v>-809858</v>
      </c>
      <c r="X21" s="133">
        <f>+Actuals!U171</f>
        <v>-492537</v>
      </c>
      <c r="Y21" s="134">
        <f>+Actuals!V171</f>
        <v>-809858</v>
      </c>
      <c r="Z21" s="133">
        <f>+Actuals!W171</f>
        <v>769476</v>
      </c>
      <c r="AA21" s="134">
        <f>+Actuals!X171</f>
        <v>1245654</v>
      </c>
      <c r="AB21" s="133">
        <f>+Actuals!Y251</f>
        <v>-769476</v>
      </c>
      <c r="AC21" s="134">
        <f>+Actuals!Z251</f>
        <v>-1245654</v>
      </c>
      <c r="AD21" s="133">
        <f>+Actuals!AA251</f>
        <v>0</v>
      </c>
      <c r="AE21" s="134">
        <f>+Actuals!AB251</f>
        <v>0</v>
      </c>
      <c r="AF21" s="133">
        <f>+Actuals!AC251</f>
        <v>769476</v>
      </c>
      <c r="AG21" s="134">
        <f>+Actuals!AD251</f>
        <v>1245654</v>
      </c>
      <c r="AH21" s="133">
        <f>+Actuals!AE251</f>
        <v>0</v>
      </c>
      <c r="AI21" s="134">
        <f>+Actuals!AF251</f>
        <v>0</v>
      </c>
      <c r="AJ21" s="133">
        <f>+Actuals!AG251</f>
        <v>0</v>
      </c>
      <c r="AK21" s="134">
        <f>+Actuals!AH251</f>
        <v>0</v>
      </c>
      <c r="AL21" s="133">
        <f>+Actuals!AI251</f>
        <v>0</v>
      </c>
      <c r="AM21" s="134">
        <f>+Actuals!AJ251</f>
        <v>0</v>
      </c>
      <c r="AN21" s="133">
        <f>+Actuals!AK251</f>
        <v>0</v>
      </c>
      <c r="AO21" s="134">
        <f>+Actuals!AL251</f>
        <v>0</v>
      </c>
      <c r="AP21" s="133">
        <f>+Actuals!AM251</f>
        <v>0</v>
      </c>
      <c r="AQ21" s="134">
        <f>+Actuals!AN251</f>
        <v>0</v>
      </c>
      <c r="AR21" s="133">
        <f>+Actuals!AO251</f>
        <v>0</v>
      </c>
      <c r="AS21" s="134">
        <f>+Actuals!AP251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+Actuals!Y252</f>
        <v>0</v>
      </c>
      <c r="AC22" s="134">
        <f>+Actuals!Z252</f>
        <v>0</v>
      </c>
      <c r="AD22" s="133">
        <f>+Actuals!AA252</f>
        <v>0</v>
      </c>
      <c r="AE22" s="134">
        <f>+Actuals!AB252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  <c r="AJ22" s="133">
        <f>+Actuals!AG252</f>
        <v>0</v>
      </c>
      <c r="AK22" s="134">
        <f>+Actuals!AH252</f>
        <v>0</v>
      </c>
      <c r="AL22" s="133">
        <f>+Actuals!AI252</f>
        <v>0</v>
      </c>
      <c r="AM22" s="134">
        <f>+Actuals!AJ252</f>
        <v>0</v>
      </c>
      <c r="AN22" s="133">
        <f>+Actuals!AK252</f>
        <v>0</v>
      </c>
      <c r="AO22" s="134">
        <f>+Actuals!AL252</f>
        <v>0</v>
      </c>
      <c r="AP22" s="133">
        <f>+Actuals!AM252</f>
        <v>0</v>
      </c>
      <c r="AQ22" s="134">
        <f>+Actuals!AN252</f>
        <v>0</v>
      </c>
      <c r="AR22" s="133">
        <f>+Actuals!AO252</f>
        <v>0</v>
      </c>
      <c r="AS22" s="134">
        <f>+Actuals!AP252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4"/>
        <v>1111223</v>
      </c>
      <c r="E23" s="38">
        <f t="shared" si="4"/>
        <v>1795736.3679999998</v>
      </c>
      <c r="F23" s="81">
        <f>'TIE-OUT'!H23+RECLASS!H23</f>
        <v>0</v>
      </c>
      <c r="G23" s="82">
        <f>'TIE-OUT'!I23+RECLASS!I23</f>
        <v>0</v>
      </c>
      <c r="H23" s="133">
        <f>+Actuals!E173</f>
        <v>1216825</v>
      </c>
      <c r="I23" s="134">
        <f>+Actuals!F173</f>
        <v>1966389.2</v>
      </c>
      <c r="J23" s="133">
        <f>+Actuals!G173</f>
        <v>-118116</v>
      </c>
      <c r="K23" s="153">
        <f>+Actuals!H173</f>
        <v>-190875.45600000001</v>
      </c>
      <c r="L23" s="133">
        <f>+Actuals!I173</f>
        <v>30367</v>
      </c>
      <c r="M23" s="134">
        <f>+Actuals!J173</f>
        <v>49073.072</v>
      </c>
      <c r="N23" s="133">
        <f>+Actuals!K173</f>
        <v>-17967</v>
      </c>
      <c r="O23" s="134">
        <f>+Actuals!L173</f>
        <v>-29034.671999999999</v>
      </c>
      <c r="P23" s="133">
        <f>+Actuals!M173</f>
        <v>114</v>
      </c>
      <c r="Q23" s="134">
        <f>+Actuals!N173</f>
        <v>184.22399999999999</v>
      </c>
      <c r="R23" s="133">
        <f>+Actuals!O173</f>
        <v>0</v>
      </c>
      <c r="S23" s="134">
        <f>+Actuals!P173</f>
        <v>0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+Actuals!Y253</f>
        <v>0</v>
      </c>
      <c r="AC23" s="134">
        <f>+Actuals!Z253</f>
        <v>0</v>
      </c>
      <c r="AD23" s="133">
        <f>+Actuals!AA253</f>
        <v>0</v>
      </c>
      <c r="AE23" s="134">
        <f>+Actuals!AB253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  <c r="AJ23" s="133">
        <f>+Actuals!AG253</f>
        <v>0</v>
      </c>
      <c r="AK23" s="134">
        <f>+Actuals!AH253</f>
        <v>0</v>
      </c>
      <c r="AL23" s="133">
        <f>+Actuals!AI253</f>
        <v>0</v>
      </c>
      <c r="AM23" s="134">
        <f>+Actuals!AJ253</f>
        <v>0</v>
      </c>
      <c r="AN23" s="133">
        <f>+Actuals!AK253</f>
        <v>0</v>
      </c>
      <c r="AO23" s="134">
        <f>+Actuals!AL253</f>
        <v>0</v>
      </c>
      <c r="AP23" s="133">
        <f>+Actuals!AM253</f>
        <v>0</v>
      </c>
      <c r="AQ23" s="134">
        <f>+Actuals!AN253</f>
        <v>0</v>
      </c>
      <c r="AR23" s="133">
        <f>+Actuals!AO253</f>
        <v>0</v>
      </c>
      <c r="AS23" s="134">
        <f>+Actuals!AP253</f>
        <v>0</v>
      </c>
    </row>
    <row r="24" spans="1:45" x14ac:dyDescent="0.2">
      <c r="A24" s="9"/>
      <c r="B24" s="7" t="s">
        <v>37</v>
      </c>
      <c r="C24" s="6"/>
      <c r="D24" s="61">
        <f t="shared" ref="D24:AC24" si="5">SUM(D19:D23)</f>
        <v>-174824927</v>
      </c>
      <c r="E24" s="39">
        <f t="shared" si="5"/>
        <v>-305594861.09200001</v>
      </c>
      <c r="F24" s="61">
        <f t="shared" si="5"/>
        <v>0</v>
      </c>
      <c r="G24" s="39">
        <f t="shared" si="5"/>
        <v>9229717.0500000007</v>
      </c>
      <c r="H24" s="61">
        <f t="shared" si="5"/>
        <v>-174717846</v>
      </c>
      <c r="I24" s="39">
        <f t="shared" si="5"/>
        <v>-311720655.31</v>
      </c>
      <c r="J24" s="61">
        <f t="shared" si="5"/>
        <v>353732</v>
      </c>
      <c r="K24" s="154">
        <f t="shared" si="5"/>
        <v>-2442161.3459999999</v>
      </c>
      <c r="L24" s="61">
        <f t="shared" si="5"/>
        <v>-249515</v>
      </c>
      <c r="M24" s="39">
        <f t="shared" si="5"/>
        <v>-361632.478</v>
      </c>
      <c r="N24" s="61">
        <f t="shared" si="5"/>
        <v>-35953</v>
      </c>
      <c r="O24" s="39">
        <f t="shared" si="5"/>
        <v>-26180.531999999999</v>
      </c>
      <c r="P24" s="61">
        <f t="shared" si="5"/>
        <v>13079</v>
      </c>
      <c r="Q24" s="39">
        <f t="shared" si="5"/>
        <v>20191.194</v>
      </c>
      <c r="R24" s="61">
        <f t="shared" si="5"/>
        <v>-96</v>
      </c>
      <c r="S24" s="39">
        <f t="shared" si="5"/>
        <v>21744.83</v>
      </c>
      <c r="T24" s="61">
        <f t="shared" si="5"/>
        <v>11</v>
      </c>
      <c r="U24" s="39">
        <f t="shared" si="5"/>
        <v>24.07</v>
      </c>
      <c r="V24" s="61">
        <f t="shared" si="5"/>
        <v>-465215</v>
      </c>
      <c r="W24" s="39">
        <f t="shared" si="5"/>
        <v>-751523.65</v>
      </c>
      <c r="X24" s="61">
        <f t="shared" si="5"/>
        <v>-492537</v>
      </c>
      <c r="Y24" s="39">
        <f t="shared" si="5"/>
        <v>-809858</v>
      </c>
      <c r="Z24" s="61">
        <f t="shared" si="5"/>
        <v>769476</v>
      </c>
      <c r="AA24" s="39">
        <f t="shared" si="5"/>
        <v>1245654</v>
      </c>
      <c r="AB24" s="61">
        <f t="shared" si="5"/>
        <v>-769476</v>
      </c>
      <c r="AC24" s="39">
        <f t="shared" si="5"/>
        <v>-1245654</v>
      </c>
      <c r="AD24" s="61">
        <f t="shared" ref="AD24:AI24" si="6">SUM(AD19:AD23)</f>
        <v>0</v>
      </c>
      <c r="AE24" s="39">
        <f t="shared" si="6"/>
        <v>0</v>
      </c>
      <c r="AF24" s="61">
        <f t="shared" si="6"/>
        <v>769476</v>
      </c>
      <c r="AG24" s="39">
        <f t="shared" si="6"/>
        <v>1245654</v>
      </c>
      <c r="AH24" s="61">
        <f t="shared" si="6"/>
        <v>0</v>
      </c>
      <c r="AI24" s="39">
        <f t="shared" si="6"/>
        <v>0</v>
      </c>
      <c r="AJ24" s="61">
        <f t="shared" ref="AJ24:AO24" si="7">SUM(AJ19:AJ23)</f>
        <v>-63</v>
      </c>
      <c r="AK24" s="39">
        <f t="shared" si="7"/>
        <v>-180.92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8998725</v>
      </c>
      <c r="E27" s="38">
        <f>SUM(G27,I27,K27,M27,O27,Q27,S27,U27,W27,Y27,AA27,AC27,AE27,AG27,AI27,AK27,AM27,AO27,AQ27,AS27)</f>
        <v>15947372.279999999</v>
      </c>
      <c r="F27" s="64">
        <f>'TIE-OUT'!H27+RECLASS!H27</f>
        <v>0</v>
      </c>
      <c r="G27" s="68">
        <f>'TIE-OUT'!I27+RECLASS!I27</f>
        <v>0</v>
      </c>
      <c r="H27" s="133">
        <f>+Actuals!E174</f>
        <v>8998725</v>
      </c>
      <c r="I27" s="134">
        <f>+Actuals!F174</f>
        <v>15947413.949999999</v>
      </c>
      <c r="J27" s="133">
        <f>+Actuals!G174</f>
        <v>0</v>
      </c>
      <c r="K27" s="153">
        <f>+Actuals!H174</f>
        <v>-41.67</v>
      </c>
      <c r="L27" s="133">
        <f>+Actuals!I174</f>
        <v>0</v>
      </c>
      <c r="M27" s="134">
        <f>+Actuals!J174</f>
        <v>0</v>
      </c>
      <c r="N27" s="133">
        <f>+Actuals!K174</f>
        <v>0</v>
      </c>
      <c r="O27" s="134">
        <f>+Actuals!L174</f>
        <v>0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+Actuals!Y254</f>
        <v>0</v>
      </c>
      <c r="AC27" s="134">
        <f>+Actuals!Z254</f>
        <v>0</v>
      </c>
      <c r="AD27" s="133">
        <f>+Actuals!AA254</f>
        <v>0</v>
      </c>
      <c r="AE27" s="134">
        <f>+Actuals!AB254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  <c r="AJ27" s="133">
        <f>+Actuals!AG254</f>
        <v>0</v>
      </c>
      <c r="AK27" s="134">
        <f>+Actuals!AH254</f>
        <v>0</v>
      </c>
      <c r="AL27" s="133">
        <f>+Actuals!AI254</f>
        <v>0</v>
      </c>
      <c r="AM27" s="134">
        <f>+Actuals!AJ254</f>
        <v>0</v>
      </c>
      <c r="AN27" s="133">
        <f>+Actuals!AK254</f>
        <v>0</v>
      </c>
      <c r="AO27" s="134">
        <f>+Actuals!AL254</f>
        <v>0</v>
      </c>
      <c r="AP27" s="133">
        <f>+Actuals!AM254</f>
        <v>0</v>
      </c>
      <c r="AQ27" s="134">
        <f>+Actuals!AN254</f>
        <v>0</v>
      </c>
      <c r="AR27" s="133">
        <f>+Actuals!AO254</f>
        <v>0</v>
      </c>
      <c r="AS27" s="134">
        <f>+Actuals!AP254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-2535338</v>
      </c>
      <c r="E28" s="38">
        <f>SUM(G28,I28,K28,M28,O28,Q28,S28,U28,W28,Y28,AA28,AC28,AE28,AG28,AI28,AK28,AM28,AO28,AQ28,AS28)</f>
        <v>-4444900.129999999</v>
      </c>
      <c r="F28" s="81">
        <f>'TIE-OUT'!H28+RECLASS!H28</f>
        <v>0</v>
      </c>
      <c r="G28" s="82">
        <f>'TIE-OUT'!I28+RECLASS!I28</f>
        <v>0</v>
      </c>
      <c r="H28" s="133">
        <f>+Actuals!E175</f>
        <v>-2511299</v>
      </c>
      <c r="I28" s="134">
        <f>+Actuals!F175</f>
        <v>-4441851.97</v>
      </c>
      <c r="J28" s="133">
        <f>+Actuals!G175</f>
        <v>-24039</v>
      </c>
      <c r="K28" s="153">
        <f>+Actuals!H175</f>
        <v>-4069.02</v>
      </c>
      <c r="L28" s="133">
        <f>+Actuals!I175</f>
        <v>0</v>
      </c>
      <c r="M28" s="134">
        <f>+Actuals!J175</f>
        <v>2213.6999999999998</v>
      </c>
      <c r="N28" s="133">
        <f>+Actuals!K175</f>
        <v>0</v>
      </c>
      <c r="O28" s="134">
        <f>+Actuals!L175</f>
        <v>-1192.8399999999999</v>
      </c>
      <c r="P28" s="133">
        <f>+Actuals!M175</f>
        <v>0</v>
      </c>
      <c r="Q28" s="134">
        <f>+Actuals!N175</f>
        <v>0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+Actuals!Y255</f>
        <v>0</v>
      </c>
      <c r="AC28" s="134">
        <f>+Actuals!Z255</f>
        <v>0</v>
      </c>
      <c r="AD28" s="133">
        <f>+Actuals!AA255</f>
        <v>0</v>
      </c>
      <c r="AE28" s="134">
        <f>+Actuals!AB255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  <c r="AJ28" s="133">
        <f>+Actuals!AG255</f>
        <v>0</v>
      </c>
      <c r="AK28" s="134">
        <f>+Actuals!AH255</f>
        <v>0</v>
      </c>
      <c r="AL28" s="133">
        <f>+Actuals!AI255</f>
        <v>0</v>
      </c>
      <c r="AM28" s="134">
        <f>+Actuals!AJ255</f>
        <v>0</v>
      </c>
      <c r="AN28" s="133">
        <f>+Actuals!AK255</f>
        <v>0</v>
      </c>
      <c r="AO28" s="134">
        <f>+Actuals!AL255</f>
        <v>0</v>
      </c>
      <c r="AP28" s="133">
        <f>+Actuals!AM255</f>
        <v>0</v>
      </c>
      <c r="AQ28" s="134">
        <f>+Actuals!AN255</f>
        <v>0</v>
      </c>
      <c r="AR28" s="133">
        <f>+Actuals!AO255</f>
        <v>0</v>
      </c>
      <c r="AS28" s="134">
        <f>+Actuals!AP255</f>
        <v>0</v>
      </c>
    </row>
    <row r="29" spans="1:45" x14ac:dyDescent="0.2">
      <c r="A29" s="9"/>
      <c r="B29" s="7" t="s">
        <v>41</v>
      </c>
      <c r="C29" s="18"/>
      <c r="D29" s="61">
        <f t="shared" ref="D29:AC29" si="8">SUM(D27:D28)</f>
        <v>6463387</v>
      </c>
      <c r="E29" s="39">
        <f t="shared" si="8"/>
        <v>11502472.15</v>
      </c>
      <c r="F29" s="61">
        <f t="shared" si="8"/>
        <v>0</v>
      </c>
      <c r="G29" s="39">
        <f t="shared" si="8"/>
        <v>0</v>
      </c>
      <c r="H29" s="61">
        <f t="shared" si="8"/>
        <v>6487426</v>
      </c>
      <c r="I29" s="39">
        <f t="shared" si="8"/>
        <v>11505561.98</v>
      </c>
      <c r="J29" s="61">
        <f t="shared" si="8"/>
        <v>-24039</v>
      </c>
      <c r="K29" s="154">
        <f t="shared" si="8"/>
        <v>-4110.6899999999996</v>
      </c>
      <c r="L29" s="61">
        <f t="shared" si="8"/>
        <v>0</v>
      </c>
      <c r="M29" s="39">
        <f t="shared" si="8"/>
        <v>2213.6999999999998</v>
      </c>
      <c r="N29" s="61">
        <f t="shared" si="8"/>
        <v>0</v>
      </c>
      <c r="O29" s="39">
        <f t="shared" si="8"/>
        <v>-1192.8399999999999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ref="AD29:AI29" si="9">SUM(AD27:AD28)</f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ref="AJ29:AO29" si="10">SUM(AJ27:AJ28)</f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SUM(F32,H32,J32,L32,N32,P32,R32,T32,V32,X32,Z32,AB32,AD32,AF32,AH32,AJ32,AL32,AN32,AP32,AR32)</f>
        <v>132529</v>
      </c>
      <c r="E32" s="38">
        <f t="shared" si="11"/>
        <v>214166.59299999996</v>
      </c>
      <c r="F32" s="64">
        <f>'TIE-OUT'!H32+RECLASS!H32</f>
        <v>0</v>
      </c>
      <c r="G32" s="68">
        <f>'TIE-OUT'!I32+RECLASS!I32</f>
        <v>0</v>
      </c>
      <c r="H32" s="133">
        <f>+Actuals!E176</f>
        <v>-902134</v>
      </c>
      <c r="I32" s="134">
        <f>+Actuals!F176</f>
        <v>-1457848.55</v>
      </c>
      <c r="J32" s="133">
        <f>+Actuals!G176</f>
        <v>-146964</v>
      </c>
      <c r="K32" s="153">
        <f>+Actuals!H176</f>
        <v>-533339.17599999998</v>
      </c>
      <c r="L32" s="133">
        <f>+Actuals!I176</f>
        <v>977458</v>
      </c>
      <c r="M32" s="134">
        <f>+Actuals!J176</f>
        <v>1822476.2609999999</v>
      </c>
      <c r="N32" s="133">
        <f>+Actuals!K176</f>
        <v>-250837</v>
      </c>
      <c r="O32" s="134">
        <f>+Actuals!L176</f>
        <v>-550089.15899999999</v>
      </c>
      <c r="P32" s="133">
        <f>+Actuals!M176</f>
        <v>27315</v>
      </c>
      <c r="Q32" s="134">
        <f>+Actuals!N176</f>
        <v>50259.339</v>
      </c>
      <c r="R32" s="133">
        <f>+Actuals!O176</f>
        <v>446755</v>
      </c>
      <c r="S32" s="134">
        <f>+Actuals!P176</f>
        <v>1216097.193</v>
      </c>
      <c r="T32" s="133">
        <f>+Actuals!Q176</f>
        <v>-11</v>
      </c>
      <c r="U32" s="134">
        <f>+Actuals!R176</f>
        <v>-482983.18199999997</v>
      </c>
      <c r="V32" s="133">
        <f>+Actuals!S176</f>
        <v>-19462</v>
      </c>
      <c r="W32" s="134">
        <f>+Actuals!T176</f>
        <v>148932.927</v>
      </c>
      <c r="X32" s="133">
        <f>+Actuals!U176</f>
        <v>0</v>
      </c>
      <c r="Y32" s="134">
        <f>+Actuals!V176</f>
        <v>0</v>
      </c>
      <c r="Z32" s="133">
        <f>+Actuals!W176</f>
        <v>0</v>
      </c>
      <c r="AA32" s="134">
        <f>+Actuals!X176</f>
        <v>0</v>
      </c>
      <c r="AB32" s="133">
        <f>+Actuals!Y256</f>
        <v>0</v>
      </c>
      <c r="AC32" s="134">
        <f>+Actuals!Z256</f>
        <v>0</v>
      </c>
      <c r="AD32" s="133">
        <f>+Actuals!AA256</f>
        <v>0</v>
      </c>
      <c r="AE32" s="134">
        <f>+Actuals!AB256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  <c r="AJ32" s="133">
        <f>+Actuals!AG256</f>
        <v>0</v>
      </c>
      <c r="AK32" s="134">
        <f>+Actuals!AH256</f>
        <v>0</v>
      </c>
      <c r="AL32" s="133">
        <f>+Actuals!AI256</f>
        <v>0</v>
      </c>
      <c r="AM32" s="134">
        <f>+Actuals!AJ256</f>
        <v>0</v>
      </c>
      <c r="AN32" s="133">
        <f>+Actuals!AK256</f>
        <v>0</v>
      </c>
      <c r="AO32" s="134">
        <f>+Actuals!AL256</f>
        <v>0</v>
      </c>
      <c r="AP32" s="133">
        <f>+Actuals!AM256</f>
        <v>0</v>
      </c>
      <c r="AQ32" s="134">
        <f>+Actuals!AN256</f>
        <v>0</v>
      </c>
      <c r="AR32" s="133">
        <v>409</v>
      </c>
      <c r="AS32" s="134">
        <v>660.94</v>
      </c>
    </row>
    <row r="33" spans="1:45" x14ac:dyDescent="0.2">
      <c r="A33" s="9">
        <v>14</v>
      </c>
      <c r="B33" s="7"/>
      <c r="C33" s="18" t="s">
        <v>44</v>
      </c>
      <c r="D33" s="60">
        <f t="shared" si="11"/>
        <v>-306163</v>
      </c>
      <c r="E33" s="38">
        <f t="shared" si="11"/>
        <v>-598389.75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-179921</v>
      </c>
      <c r="K33" s="153">
        <f>+Actuals!H177</f>
        <v>-330664.86</v>
      </c>
      <c r="L33" s="133">
        <f>+Actuals!I177</f>
        <v>-47805</v>
      </c>
      <c r="M33" s="134">
        <f>+Actuals!J177</f>
        <v>-132767.99</v>
      </c>
      <c r="N33" s="133">
        <f>+Actuals!K177</f>
        <v>-22181</v>
      </c>
      <c r="O33" s="134">
        <f>+Actuals!L177</f>
        <v>-41458.47</v>
      </c>
      <c r="P33" s="133">
        <f>+Actuals!M177</f>
        <v>-45935</v>
      </c>
      <c r="Q33" s="134">
        <f>+Actuals!N177</f>
        <v>-76529.67</v>
      </c>
      <c r="R33" s="133">
        <f>+Actuals!O177</f>
        <v>0</v>
      </c>
      <c r="S33" s="134">
        <f>+Actuals!P177</f>
        <v>0</v>
      </c>
      <c r="T33" s="133">
        <f>+Actuals!Q177</f>
        <v>0</v>
      </c>
      <c r="U33" s="134">
        <f>+Actuals!R177</f>
        <v>0</v>
      </c>
      <c r="V33" s="133">
        <f>+Actuals!S177</f>
        <v>-10321</v>
      </c>
      <c r="W33" s="134">
        <f>+Actuals!T177</f>
        <v>-16968.759999999998</v>
      </c>
      <c r="X33" s="133">
        <f>+Actuals!U177</f>
        <v>0</v>
      </c>
      <c r="Y33" s="134">
        <f>+Actuals!V177</f>
        <v>0</v>
      </c>
      <c r="Z33" s="133">
        <f>+Actuals!W177</f>
        <v>0</v>
      </c>
      <c r="AA33" s="134">
        <f>+Actuals!X177</f>
        <v>0</v>
      </c>
      <c r="AB33" s="133">
        <f>+Actuals!Y257</f>
        <v>0</v>
      </c>
      <c r="AC33" s="134">
        <f>+Actuals!Z257</f>
        <v>0</v>
      </c>
      <c r="AD33" s="133">
        <f>+Actuals!AA257</f>
        <v>0</v>
      </c>
      <c r="AE33" s="134">
        <f>+Actuals!AB257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  <c r="AJ33" s="133">
        <f>+Actuals!AG257</f>
        <v>0</v>
      </c>
      <c r="AK33" s="134">
        <f>+Actuals!AH257</f>
        <v>0</v>
      </c>
      <c r="AL33" s="133">
        <f>+Actuals!AI257</f>
        <v>0</v>
      </c>
      <c r="AM33" s="134">
        <f>+Actuals!AJ257</f>
        <v>0</v>
      </c>
      <c r="AN33" s="133">
        <f>+Actuals!AK257</f>
        <v>0</v>
      </c>
      <c r="AO33" s="134">
        <f>+Actuals!AL257</f>
        <v>0</v>
      </c>
      <c r="AP33" s="133">
        <f>+Actuals!AM257</f>
        <v>0</v>
      </c>
      <c r="AQ33" s="134">
        <f>+Actuals!AN257</f>
        <v>0</v>
      </c>
      <c r="AR33" s="133">
        <f>+Actuals!AO257</f>
        <v>0</v>
      </c>
      <c r="AS33" s="134">
        <f>+Actuals!AP257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1"/>
        <v>58990</v>
      </c>
      <c r="E34" s="38">
        <f t="shared" si="11"/>
        <v>98177.35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4616</v>
      </c>
      <c r="K34" s="153">
        <f>+Actuals!H178</f>
        <v>8074.78</v>
      </c>
      <c r="L34" s="133">
        <f>+Actuals!I178</f>
        <v>0</v>
      </c>
      <c r="M34" s="134">
        <f>+Actuals!J178</f>
        <v>0</v>
      </c>
      <c r="N34" s="133">
        <f>+Actuals!K178</f>
        <v>5625</v>
      </c>
      <c r="O34" s="134">
        <f>+Actuals!L178</f>
        <v>9792.42</v>
      </c>
      <c r="P34" s="133">
        <f>+Actuals!M178</f>
        <v>12778</v>
      </c>
      <c r="Q34" s="134">
        <f>+Actuals!N178</f>
        <v>21170.23</v>
      </c>
      <c r="R34" s="133">
        <f>+Actuals!O178</f>
        <v>0</v>
      </c>
      <c r="S34" s="134">
        <f>+Actuals!P178</f>
        <v>0</v>
      </c>
      <c r="T34" s="133">
        <f>+Actuals!Q178</f>
        <v>0</v>
      </c>
      <c r="U34" s="134">
        <f>+Actuals!R178</f>
        <v>0</v>
      </c>
      <c r="V34" s="133">
        <f>+Actuals!S178</f>
        <v>35971</v>
      </c>
      <c r="W34" s="134">
        <f>+Actuals!T178</f>
        <v>59139.92</v>
      </c>
      <c r="X34" s="133">
        <f>+Actuals!U178</f>
        <v>0</v>
      </c>
      <c r="Y34" s="134">
        <f>+Actuals!V178</f>
        <v>0</v>
      </c>
      <c r="Z34" s="133">
        <f>+Actuals!W178</f>
        <v>0</v>
      </c>
      <c r="AA34" s="134">
        <f>+Actuals!X178</f>
        <v>0</v>
      </c>
      <c r="AB34" s="133">
        <f>+Actuals!Y258</f>
        <v>0</v>
      </c>
      <c r="AC34" s="134">
        <f>+Actuals!Z258</f>
        <v>0</v>
      </c>
      <c r="AD34" s="133">
        <f>+Actuals!AA258</f>
        <v>0</v>
      </c>
      <c r="AE34" s="134">
        <f>+Actuals!AB258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  <c r="AJ34" s="133">
        <f>+Actuals!AG258</f>
        <v>0</v>
      </c>
      <c r="AK34" s="134">
        <f>+Actuals!AH258</f>
        <v>0</v>
      </c>
      <c r="AL34" s="133">
        <f>+Actuals!AI258</f>
        <v>0</v>
      </c>
      <c r="AM34" s="134">
        <f>+Actuals!AJ258</f>
        <v>0</v>
      </c>
      <c r="AN34" s="133">
        <f>+Actuals!AK258</f>
        <v>0</v>
      </c>
      <c r="AO34" s="134">
        <f>+Actuals!AL258</f>
        <v>0</v>
      </c>
      <c r="AP34" s="133">
        <f>+Actuals!AM258</f>
        <v>0</v>
      </c>
      <c r="AQ34" s="134">
        <f>+Actuals!AN258</f>
        <v>0</v>
      </c>
      <c r="AR34" s="133">
        <f>+Actuals!AO258</f>
        <v>0</v>
      </c>
      <c r="AS34" s="134">
        <f>+Actuals!AP258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1"/>
        <v>-197362</v>
      </c>
      <c r="E35" s="38">
        <f t="shared" si="11"/>
        <v>-374713.01</v>
      </c>
      <c r="F35" s="81">
        <f>'TIE-OUT'!H35+RECLASS!H35</f>
        <v>0</v>
      </c>
      <c r="G35" s="82">
        <f>'TIE-OUT'!I35+RECLASS!I35</f>
        <v>0</v>
      </c>
      <c r="H35" s="133">
        <f>+Actuals!E179</f>
        <v>-217584</v>
      </c>
      <c r="I35" s="134">
        <f>+Actuals!F179</f>
        <v>-0.01</v>
      </c>
      <c r="J35" s="133">
        <f>+Actuals!G179</f>
        <v>293247</v>
      </c>
      <c r="K35" s="153">
        <f>+Actuals!H179</f>
        <v>0</v>
      </c>
      <c r="L35" s="133">
        <f>+Actuals!I179</f>
        <v>-273025</v>
      </c>
      <c r="M35" s="134">
        <f>+Actuals!J179</f>
        <v>0</v>
      </c>
      <c r="N35" s="133">
        <f>+Actuals!K179</f>
        <v>0</v>
      </c>
      <c r="O35" s="134">
        <f>+Actuals!L179</f>
        <v>0</v>
      </c>
      <c r="P35" s="133">
        <f>+Actuals!M179</f>
        <v>0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-374713</v>
      </c>
      <c r="X35" s="133">
        <f>+Actuals!U179</f>
        <v>0</v>
      </c>
      <c r="Y35" s="134">
        <f>+Actuals!V179</f>
        <v>0</v>
      </c>
      <c r="Z35" s="133">
        <f>+Actuals!W179</f>
        <v>0</v>
      </c>
      <c r="AA35" s="134">
        <f>+Actuals!X179</f>
        <v>0</v>
      </c>
      <c r="AB35" s="133">
        <f>+Actuals!Y259</f>
        <v>0</v>
      </c>
      <c r="AC35" s="134">
        <f>+Actuals!Z259</f>
        <v>0</v>
      </c>
      <c r="AD35" s="133">
        <f>+Actuals!AA259</f>
        <v>0</v>
      </c>
      <c r="AE35" s="134">
        <f>+Actuals!AB259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  <c r="AJ35" s="133">
        <f>+Actuals!AG259</f>
        <v>0</v>
      </c>
      <c r="AK35" s="134">
        <f>+Actuals!AH259</f>
        <v>0</v>
      </c>
      <c r="AL35" s="133">
        <f>+Actuals!AI259</f>
        <v>0</v>
      </c>
      <c r="AM35" s="134">
        <f>+Actuals!AJ259</f>
        <v>0</v>
      </c>
      <c r="AN35" s="133">
        <f>+Actuals!AK259</f>
        <v>0</v>
      </c>
      <c r="AO35" s="134">
        <f>+Actuals!AL259</f>
        <v>0</v>
      </c>
      <c r="AP35" s="133">
        <f>+Actuals!AM259</f>
        <v>0</v>
      </c>
      <c r="AQ35" s="134">
        <f>+Actuals!AN259</f>
        <v>0</v>
      </c>
      <c r="AR35" s="133">
        <f>+Actuals!AO259</f>
        <v>0</v>
      </c>
      <c r="AS35" s="134">
        <f>+Actuals!AP259</f>
        <v>0</v>
      </c>
    </row>
    <row r="36" spans="1:45" x14ac:dyDescent="0.2">
      <c r="A36" s="9"/>
      <c r="B36" s="7" t="s">
        <v>47</v>
      </c>
      <c r="C36" s="6"/>
      <c r="D36" s="61">
        <f t="shared" ref="D36:AC36" si="12">SUM(D32:D35)</f>
        <v>-312006</v>
      </c>
      <c r="E36" s="39">
        <f t="shared" si="12"/>
        <v>-660758.81700000004</v>
      </c>
      <c r="F36" s="61">
        <f t="shared" si="12"/>
        <v>0</v>
      </c>
      <c r="G36" s="39">
        <f t="shared" si="12"/>
        <v>0</v>
      </c>
      <c r="H36" s="61">
        <f t="shared" si="12"/>
        <v>-1119718</v>
      </c>
      <c r="I36" s="39">
        <f t="shared" si="12"/>
        <v>-1457848.56</v>
      </c>
      <c r="J36" s="61">
        <f t="shared" si="12"/>
        <v>-29022</v>
      </c>
      <c r="K36" s="154">
        <f t="shared" si="12"/>
        <v>-855929.25599999994</v>
      </c>
      <c r="L36" s="61">
        <f t="shared" si="12"/>
        <v>656628</v>
      </c>
      <c r="M36" s="39">
        <f t="shared" si="12"/>
        <v>1689708.2709999999</v>
      </c>
      <c r="N36" s="61">
        <f t="shared" si="12"/>
        <v>-267393</v>
      </c>
      <c r="O36" s="39">
        <f t="shared" si="12"/>
        <v>-581755.20899999992</v>
      </c>
      <c r="P36" s="61">
        <f t="shared" si="12"/>
        <v>-5842</v>
      </c>
      <c r="Q36" s="39">
        <f t="shared" si="12"/>
        <v>-5100.1009999999987</v>
      </c>
      <c r="R36" s="61">
        <f t="shared" si="12"/>
        <v>446755</v>
      </c>
      <c r="S36" s="39">
        <f t="shared" si="12"/>
        <v>1216097.193</v>
      </c>
      <c r="T36" s="61">
        <f t="shared" si="12"/>
        <v>-11</v>
      </c>
      <c r="U36" s="39">
        <f t="shared" si="12"/>
        <v>-482983.18199999997</v>
      </c>
      <c r="V36" s="61">
        <f t="shared" si="12"/>
        <v>6188</v>
      </c>
      <c r="W36" s="39">
        <f t="shared" si="12"/>
        <v>-183608.913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ref="AD36:AI36" si="13">SUM(AD32:AD35)</f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ref="AJ36:AO36" si="14">SUM(AJ32:AJ35)</f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>SUM(AP32:AP35)</f>
        <v>0</v>
      </c>
      <c r="AQ36" s="39">
        <f>SUM(AQ32:AQ35)</f>
        <v>0</v>
      </c>
      <c r="AR36" s="61">
        <f>SUM(AR32:AR35)</f>
        <v>409</v>
      </c>
      <c r="AS36" s="39">
        <f>SUM(AS32:AS35)</f>
        <v>660.94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SUM(F39,H39,J39,L39,N39,P39,R39,T39,V39,X39,Z39,AB39,AD39,AF39,AH39,AJ39,AL39,AN39,AP39,AR39)</f>
        <v>177355</v>
      </c>
      <c r="E39" s="38">
        <f t="shared" si="15"/>
        <v>309810.31</v>
      </c>
      <c r="F39" s="64">
        <f>'TIE-OUT'!H39+RECLASS!H39</f>
        <v>0</v>
      </c>
      <c r="G39" s="68">
        <f>'TIE-OUT'!I39+RECLASS!I39</f>
        <v>0</v>
      </c>
      <c r="H39" s="133">
        <f>+Actuals!E180</f>
        <v>178136</v>
      </c>
      <c r="I39" s="134">
        <f>+Actuals!F180</f>
        <v>311666.75</v>
      </c>
      <c r="J39" s="133">
        <f>+Actuals!G180</f>
        <v>0</v>
      </c>
      <c r="K39" s="153">
        <f>+Actuals!H180</f>
        <v>0</v>
      </c>
      <c r="L39" s="133">
        <f>+Actuals!I180</f>
        <v>0</v>
      </c>
      <c r="M39" s="134">
        <f>+Actuals!J180</f>
        <v>0</v>
      </c>
      <c r="N39" s="133">
        <f>+Actuals!K180</f>
        <v>-781</v>
      </c>
      <c r="O39" s="134">
        <f>+Actuals!L180</f>
        <v>-1856.44</v>
      </c>
      <c r="P39" s="133">
        <f>+Actuals!M180</f>
        <v>0</v>
      </c>
      <c r="Q39" s="134">
        <f>+Actuals!N180</f>
        <v>0</v>
      </c>
      <c r="R39" s="133">
        <f>+Actuals!O180</f>
        <v>0</v>
      </c>
      <c r="S39" s="134">
        <f>+Actuals!P180</f>
        <v>0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+Actuals!Y260</f>
        <v>0</v>
      </c>
      <c r="AC39" s="134">
        <f>+Actuals!Z260</f>
        <v>0</v>
      </c>
      <c r="AD39" s="133">
        <f>+Actuals!AA260</f>
        <v>0</v>
      </c>
      <c r="AE39" s="134">
        <f>+Actuals!AB260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  <c r="AJ39" s="133">
        <f>+Actuals!AG260</f>
        <v>0</v>
      </c>
      <c r="AK39" s="134">
        <v>39</v>
      </c>
      <c r="AL39" s="133">
        <f>+Actuals!AI260</f>
        <v>0</v>
      </c>
      <c r="AM39" s="134">
        <v>-39</v>
      </c>
      <c r="AN39" s="133">
        <f>+Actuals!AK260</f>
        <v>0</v>
      </c>
      <c r="AO39" s="134">
        <v>0</v>
      </c>
      <c r="AP39" s="133">
        <f>+Actuals!AM260</f>
        <v>0</v>
      </c>
      <c r="AQ39" s="134">
        <v>0</v>
      </c>
      <c r="AR39" s="133">
        <f>+Actuals!AO260</f>
        <v>0</v>
      </c>
      <c r="AS39" s="134"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5"/>
        <v>-2646458</v>
      </c>
      <c r="E40" s="38">
        <f t="shared" si="15"/>
        <v>-7381314.580000001</v>
      </c>
      <c r="F40" s="60">
        <f>'TIE-OUT'!H40+RECLASS!H40</f>
        <v>0</v>
      </c>
      <c r="G40" s="38">
        <f>'TIE-OUT'!I40+RECLASS!I40</f>
        <v>0</v>
      </c>
      <c r="H40" s="133">
        <f>+Actuals!E181</f>
        <v>-3366484</v>
      </c>
      <c r="I40" s="134">
        <f>+Actuals!F181</f>
        <v>-7715391.0999999996</v>
      </c>
      <c r="J40" s="133">
        <f>+Actuals!G181</f>
        <v>399144</v>
      </c>
      <c r="K40" s="153">
        <f>+Actuals!H181</f>
        <v>912594.01</v>
      </c>
      <c r="L40" s="133">
        <f>+Actuals!I181</f>
        <v>-1092</v>
      </c>
      <c r="M40" s="134">
        <f>+Actuals!J181</f>
        <v>-3152.15</v>
      </c>
      <c r="N40" s="133">
        <f>+Actuals!K181</f>
        <v>-8865</v>
      </c>
      <c r="O40" s="134">
        <f>+Actuals!L181</f>
        <v>-17247.240000000002</v>
      </c>
      <c r="P40" s="133">
        <f>+Actuals!M181</f>
        <v>-6164</v>
      </c>
      <c r="Q40" s="134">
        <f>+Actuals!N181</f>
        <v>-14267.44</v>
      </c>
      <c r="R40" s="133">
        <f>+Actuals!O181</f>
        <v>-436454</v>
      </c>
      <c r="S40" s="134">
        <f>+Actuals!P181</f>
        <v>-543850.68999999994</v>
      </c>
      <c r="T40" s="133">
        <f>+Actuals!Q181</f>
        <v>0</v>
      </c>
      <c r="U40" s="134">
        <f>+Actuals!R181</f>
        <v>0</v>
      </c>
      <c r="V40" s="133">
        <f>+Actuals!S181</f>
        <v>773457</v>
      </c>
      <c r="W40" s="134">
        <f>+Actuals!T181</f>
        <v>0.03</v>
      </c>
      <c r="X40" s="133">
        <f>+Actuals!U181</f>
        <v>0</v>
      </c>
      <c r="Y40" s="134">
        <f>+Actuals!V181</f>
        <v>0</v>
      </c>
      <c r="Z40" s="133">
        <f>+Actuals!W181</f>
        <v>0</v>
      </c>
      <c r="AA40" s="134">
        <f>+Actuals!X181</f>
        <v>0</v>
      </c>
      <c r="AB40" s="133">
        <f>+Actuals!Y261</f>
        <v>0</v>
      </c>
      <c r="AC40" s="134">
        <f>+Actuals!Z261</f>
        <v>0</v>
      </c>
      <c r="AD40" s="133">
        <f>+Actuals!AA261</f>
        <v>0</v>
      </c>
      <c r="AE40" s="134">
        <f>+Actuals!AB261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  <c r="AJ40" s="133">
        <v>-275779</v>
      </c>
      <c r="AK40" s="134">
        <v>309581</v>
      </c>
      <c r="AL40" s="133">
        <v>275779</v>
      </c>
      <c r="AM40" s="134">
        <v>-309581</v>
      </c>
      <c r="AN40" s="133">
        <v>0</v>
      </c>
      <c r="AO40" s="134">
        <v>0</v>
      </c>
      <c r="AP40" s="133">
        <v>0</v>
      </c>
      <c r="AQ40" s="134">
        <v>0</v>
      </c>
      <c r="AR40" s="133">
        <v>0</v>
      </c>
      <c r="AS40" s="134"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89462</v>
      </c>
      <c r="F41" s="81">
        <f>'TIE-OUT'!H41+RECLASS!H41</f>
        <v>0</v>
      </c>
      <c r="G41" s="82">
        <f>'TIE-OUT'!I41+RECLASS!I41</f>
        <v>89462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+Actuals!Y262</f>
        <v>0</v>
      </c>
      <c r="AC41" s="134">
        <f>+Actuals!Z262</f>
        <v>0</v>
      </c>
      <c r="AD41" s="133">
        <f>+Actuals!AA262</f>
        <v>0</v>
      </c>
      <c r="AE41" s="134">
        <f>+Actuals!AB262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  <c r="AJ41" s="133">
        <f>+Actuals!AG262</f>
        <v>0</v>
      </c>
      <c r="AK41" s="134">
        <f>+Actuals!AH262</f>
        <v>0</v>
      </c>
      <c r="AL41" s="133">
        <f>+Actuals!AI262</f>
        <v>0</v>
      </c>
      <c r="AM41" s="134">
        <f>+Actuals!AJ262</f>
        <v>0</v>
      </c>
      <c r="AN41" s="133">
        <f>+Actuals!AK262</f>
        <v>0</v>
      </c>
      <c r="AO41" s="134">
        <f>+Actuals!AL262</f>
        <v>0</v>
      </c>
      <c r="AP41" s="133">
        <f>+Actuals!AM262</f>
        <v>0</v>
      </c>
      <c r="AQ41" s="134">
        <f>+Actuals!AN262</f>
        <v>0</v>
      </c>
      <c r="AR41" s="133">
        <f>+Actuals!AO262</f>
        <v>0</v>
      </c>
      <c r="AS41" s="134">
        <f>+Actuals!AP262</f>
        <v>0</v>
      </c>
    </row>
    <row r="42" spans="1:45" x14ac:dyDescent="0.2">
      <c r="A42" s="9"/>
      <c r="B42" s="7"/>
      <c r="C42" s="53" t="s">
        <v>52</v>
      </c>
      <c r="D42" s="61">
        <f t="shared" ref="D42:AC42" si="16">SUM(D40:D41)</f>
        <v>-2646458</v>
      </c>
      <c r="E42" s="39">
        <f t="shared" si="16"/>
        <v>-7291852.580000001</v>
      </c>
      <c r="F42" s="61">
        <f t="shared" si="16"/>
        <v>0</v>
      </c>
      <c r="G42" s="39">
        <f t="shared" si="16"/>
        <v>89462</v>
      </c>
      <c r="H42" s="61">
        <f t="shared" si="16"/>
        <v>-3366484</v>
      </c>
      <c r="I42" s="39">
        <f t="shared" si="16"/>
        <v>-7715391.0999999996</v>
      </c>
      <c r="J42" s="61">
        <f t="shared" si="16"/>
        <v>399144</v>
      </c>
      <c r="K42" s="154">
        <f t="shared" si="16"/>
        <v>912594.01</v>
      </c>
      <c r="L42" s="61">
        <f t="shared" si="16"/>
        <v>-1092</v>
      </c>
      <c r="M42" s="39">
        <f t="shared" si="16"/>
        <v>-3152.15</v>
      </c>
      <c r="N42" s="61">
        <f t="shared" si="16"/>
        <v>-8865</v>
      </c>
      <c r="O42" s="39">
        <f t="shared" si="16"/>
        <v>-17247.240000000002</v>
      </c>
      <c r="P42" s="61">
        <f t="shared" si="16"/>
        <v>-6164</v>
      </c>
      <c r="Q42" s="39">
        <f t="shared" si="16"/>
        <v>-14267.44</v>
      </c>
      <c r="R42" s="61">
        <f t="shared" si="16"/>
        <v>-436454</v>
      </c>
      <c r="S42" s="39">
        <f t="shared" si="16"/>
        <v>-543850.68999999994</v>
      </c>
      <c r="T42" s="61">
        <f t="shared" si="16"/>
        <v>0</v>
      </c>
      <c r="U42" s="39">
        <f t="shared" si="16"/>
        <v>0</v>
      </c>
      <c r="V42" s="61">
        <f t="shared" si="16"/>
        <v>773457</v>
      </c>
      <c r="W42" s="39">
        <f t="shared" si="16"/>
        <v>0.03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ref="AD42:AI42" si="17">SUM(AD40:AD41)</f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ref="AJ42:AO42" si="18">SUM(AJ40:AJ41)</f>
        <v>-275779</v>
      </c>
      <c r="AK42" s="39">
        <f t="shared" si="18"/>
        <v>309581</v>
      </c>
      <c r="AL42" s="61">
        <f t="shared" si="18"/>
        <v>275779</v>
      </c>
      <c r="AM42" s="39">
        <f t="shared" si="18"/>
        <v>-309581</v>
      </c>
      <c r="AN42" s="61">
        <f t="shared" si="18"/>
        <v>0</v>
      </c>
      <c r="AO42" s="39">
        <f t="shared" si="18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 t="shared" ref="D43:AC43" si="19">D42+D39</f>
        <v>-2469103</v>
      </c>
      <c r="E43" s="39">
        <f t="shared" si="19"/>
        <v>-6982042.2700000014</v>
      </c>
      <c r="F43" s="61">
        <f t="shared" si="19"/>
        <v>0</v>
      </c>
      <c r="G43" s="39">
        <f t="shared" si="19"/>
        <v>89462</v>
      </c>
      <c r="H43" s="61">
        <f t="shared" si="19"/>
        <v>-3188348</v>
      </c>
      <c r="I43" s="39">
        <f t="shared" si="19"/>
        <v>-7403724.3499999996</v>
      </c>
      <c r="J43" s="61">
        <f t="shared" si="19"/>
        <v>399144</v>
      </c>
      <c r="K43" s="154">
        <f t="shared" si="19"/>
        <v>912594.01</v>
      </c>
      <c r="L43" s="61">
        <f t="shared" si="19"/>
        <v>-1092</v>
      </c>
      <c r="M43" s="39">
        <f t="shared" si="19"/>
        <v>-3152.15</v>
      </c>
      <c r="N43" s="61">
        <f t="shared" si="19"/>
        <v>-9646</v>
      </c>
      <c r="O43" s="39">
        <f t="shared" si="19"/>
        <v>-19103.68</v>
      </c>
      <c r="P43" s="61">
        <f t="shared" si="19"/>
        <v>-6164</v>
      </c>
      <c r="Q43" s="39">
        <f t="shared" si="19"/>
        <v>-14267.44</v>
      </c>
      <c r="R43" s="61">
        <f t="shared" si="19"/>
        <v>-436454</v>
      </c>
      <c r="S43" s="39">
        <f t="shared" si="19"/>
        <v>-543850.68999999994</v>
      </c>
      <c r="T43" s="61">
        <f t="shared" si="19"/>
        <v>0</v>
      </c>
      <c r="U43" s="39">
        <f t="shared" si="19"/>
        <v>0</v>
      </c>
      <c r="V43" s="61">
        <f t="shared" si="19"/>
        <v>773457</v>
      </c>
      <c r="W43" s="39">
        <f t="shared" si="19"/>
        <v>0.03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ref="AD43:AI43" si="20">AD42+AD39</f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ref="AJ43:AO43" si="21">AJ42+AJ39</f>
        <v>-275779</v>
      </c>
      <c r="AK43" s="39">
        <f t="shared" si="21"/>
        <v>309620</v>
      </c>
      <c r="AL43" s="61">
        <f t="shared" si="21"/>
        <v>275779</v>
      </c>
      <c r="AM43" s="39">
        <f t="shared" si="21"/>
        <v>-309620</v>
      </c>
      <c r="AN43" s="61">
        <f t="shared" si="21"/>
        <v>0</v>
      </c>
      <c r="AO43" s="39">
        <f t="shared" si="21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2">SUM(F45,H45,J45,L45,N45,P45,R45,T45,V45,X45,Z45,AB45,AD45,AF45,AH45,AJ45,AL45,AN45,AP45,AR45)</f>
        <v>0</v>
      </c>
      <c r="E45" s="38">
        <f t="shared" si="22"/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+Actuals!Y263</f>
        <v>0</v>
      </c>
      <c r="AC45" s="134">
        <f>+Actuals!Z263</f>
        <v>0</v>
      </c>
      <c r="AD45" s="133">
        <f>+Actuals!AA263</f>
        <v>0</v>
      </c>
      <c r="AE45" s="134">
        <f>+Actuals!AB263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  <c r="AJ45" s="133">
        <f>+Actuals!AG263</f>
        <v>0</v>
      </c>
      <c r="AK45" s="134">
        <f>+Actuals!AH263</f>
        <v>0</v>
      </c>
      <c r="AL45" s="133">
        <f>+Actuals!AI263</f>
        <v>0</v>
      </c>
      <c r="AM45" s="134">
        <f>+Actuals!AJ263</f>
        <v>0</v>
      </c>
      <c r="AN45" s="133">
        <f>+Actuals!AK263</f>
        <v>0</v>
      </c>
      <c r="AO45" s="134">
        <f>+Actuals!AL263</f>
        <v>0</v>
      </c>
      <c r="AP45" s="133">
        <f>+Actuals!AM263</f>
        <v>0</v>
      </c>
      <c r="AQ45" s="134">
        <f>+Actuals!AN263</f>
        <v>0</v>
      </c>
      <c r="AR45" s="133">
        <f>+Actuals!AO263</f>
        <v>0</v>
      </c>
      <c r="AS45" s="134">
        <f>+Actuals!AP263</f>
        <v>0</v>
      </c>
    </row>
    <row r="46" spans="1:45" x14ac:dyDescent="0.2">
      <c r="A46" s="9"/>
      <c r="B46" s="11"/>
      <c r="C46" s="6"/>
      <c r="D46" s="60">
        <f t="shared" si="22"/>
        <v>0</v>
      </c>
      <c r="E46" s="38">
        <f t="shared" si="22"/>
        <v>0</v>
      </c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2"/>
        <v>0</v>
      </c>
      <c r="E47" s="38">
        <f t="shared" si="22"/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+Actuals!Y264</f>
        <v>0</v>
      </c>
      <c r="AC47" s="134">
        <f>+Actuals!Z264</f>
        <v>0</v>
      </c>
      <c r="AD47" s="133">
        <f>+Actuals!AA264</f>
        <v>0</v>
      </c>
      <c r="AE47" s="134">
        <f>+Actuals!AB264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  <c r="AJ47" s="133">
        <f>+Actuals!AG264</f>
        <v>0</v>
      </c>
      <c r="AK47" s="134">
        <f>+Actuals!AH264</f>
        <v>0</v>
      </c>
      <c r="AL47" s="133">
        <f>+Actuals!AI264</f>
        <v>0</v>
      </c>
      <c r="AM47" s="134">
        <f>+Actuals!AJ264</f>
        <v>0</v>
      </c>
      <c r="AN47" s="133">
        <f>+Actuals!AK264</f>
        <v>0</v>
      </c>
      <c r="AO47" s="134">
        <f>+Actuals!AL264</f>
        <v>0</v>
      </c>
      <c r="AP47" s="133">
        <f>+Actuals!AM264</f>
        <v>0</v>
      </c>
      <c r="AQ47" s="134">
        <f>+Actuals!AN264</f>
        <v>0</v>
      </c>
      <c r="AR47" s="133">
        <f>+Actuals!AO264</f>
        <v>0</v>
      </c>
      <c r="AS47" s="134">
        <f>+Actuals!AP264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-226562</v>
      </c>
      <c r="E49" s="38">
        <f>SUM(G49,I49,K49,M49,O49,Q49,S49,U49,W49,Y49,AA49,AC49,AE49,AG49,AI49,AK49,AM49,AO49,AQ49,AS49)</f>
        <v>-366154.24800000008</v>
      </c>
      <c r="F49" s="60">
        <f>'TIE-OUT'!H49+RECLASS!H49</f>
        <v>0</v>
      </c>
      <c r="G49" s="38">
        <f>'TIE-OUT'!I49+RECLASS!I49</f>
        <v>0</v>
      </c>
      <c r="H49" s="133">
        <f>+Actuals!E185</f>
        <v>1041815</v>
      </c>
      <c r="I49" s="134">
        <f>+Actuals!F185</f>
        <v>1683573.04</v>
      </c>
      <c r="J49" s="133">
        <f>+Actuals!G185</f>
        <v>-646688</v>
      </c>
      <c r="K49" s="153">
        <f>+Actuals!H185</f>
        <v>-1045047.8080000001</v>
      </c>
      <c r="L49" s="133">
        <f>+Actuals!I185</f>
        <v>-372611</v>
      </c>
      <c r="M49" s="134">
        <f>+Actuals!J185</f>
        <v>-602139.37600000005</v>
      </c>
      <c r="N49" s="133">
        <f>+Actuals!K185</f>
        <v>292912</v>
      </c>
      <c r="O49" s="134">
        <f>+Actuals!L185</f>
        <v>473345.79200000002</v>
      </c>
      <c r="P49" s="133">
        <f>+Actuals!M185</f>
        <v>2015</v>
      </c>
      <c r="Q49" s="134">
        <f>+Actuals!N185</f>
        <v>3256.24</v>
      </c>
      <c r="R49" s="133">
        <f>+Actuals!O185</f>
        <v>13059</v>
      </c>
      <c r="S49" s="134">
        <f>+Actuals!P185</f>
        <v>21103.344000000001</v>
      </c>
      <c r="T49" s="133">
        <f>+Actuals!Q185</f>
        <v>-21000</v>
      </c>
      <c r="U49" s="134">
        <f>+Actuals!R185</f>
        <v>-33936</v>
      </c>
      <c r="V49" s="133">
        <f>+Actuals!S185</f>
        <v>-806967</v>
      </c>
      <c r="W49" s="134">
        <f>+Actuals!T185</f>
        <v>-1304058.672</v>
      </c>
      <c r="X49" s="133">
        <f>+Actuals!U185</f>
        <v>0</v>
      </c>
      <c r="Y49" s="134">
        <f>+Actuals!V185</f>
        <v>0</v>
      </c>
      <c r="Z49" s="133">
        <f>+Actuals!W185</f>
        <v>274463</v>
      </c>
      <c r="AA49" s="134">
        <f>+Actuals!X185</f>
        <v>443532.20799999998</v>
      </c>
      <c r="AB49" s="133">
        <f>+Actuals!Y265</f>
        <v>-274463</v>
      </c>
      <c r="AC49" s="134">
        <f>+Actuals!Z265</f>
        <v>-443532.20799999998</v>
      </c>
      <c r="AD49" s="133">
        <f>+Actuals!AA265</f>
        <v>0</v>
      </c>
      <c r="AE49" s="134">
        <f>+Actuals!AB265</f>
        <v>0</v>
      </c>
      <c r="AF49" s="133">
        <f>+Actuals!AC265</f>
        <v>274463</v>
      </c>
      <c r="AG49" s="134">
        <f>+Actuals!AD265</f>
        <v>443532.20799999998</v>
      </c>
      <c r="AH49" s="133">
        <f>+Actuals!AE265</f>
        <v>0</v>
      </c>
      <c r="AI49" s="134">
        <f>+Actuals!AF265</f>
        <v>0</v>
      </c>
      <c r="AJ49" s="133">
        <f>+Actuals!AG265+275779</f>
        <v>272628</v>
      </c>
      <c r="AK49" s="134">
        <f>+Actuals!AH265+445659</f>
        <v>440566.984</v>
      </c>
      <c r="AL49" s="133">
        <f>+Actuals!AI265-275779</f>
        <v>-275779</v>
      </c>
      <c r="AM49" s="134">
        <f>+Actuals!AJ265-445659</f>
        <v>-445659</v>
      </c>
      <c r="AN49" s="133">
        <v>0</v>
      </c>
      <c r="AO49" s="134">
        <v>0</v>
      </c>
      <c r="AP49" s="133">
        <v>0</v>
      </c>
      <c r="AQ49" s="134">
        <v>0</v>
      </c>
      <c r="AR49" s="133">
        <v>-409</v>
      </c>
      <c r="AS49" s="134">
        <v>-691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-1427308</v>
      </c>
      <c r="E51" s="38">
        <f>SUM(G51,I51,K51,M51,O51,Q51,S51,U51,W51,Y51,AA51,AC51,AE51,AG51,AI51,AK51,AM51,AO51,AQ51,AS51)</f>
        <v>-1795736.3679999998</v>
      </c>
      <c r="F51" s="60">
        <f>'TIE-OUT'!H51+RECLASS!H51</f>
        <v>0</v>
      </c>
      <c r="G51" s="38">
        <f>'TIE-OUT'!I51+RECLASS!I51</f>
        <v>0</v>
      </c>
      <c r="H51" s="133">
        <f>+Actuals!E186</f>
        <v>-1216825</v>
      </c>
      <c r="I51" s="134">
        <f>+Actuals!F186</f>
        <v>-1966389.2</v>
      </c>
      <c r="J51" s="133">
        <f>+Actuals!G186</f>
        <v>118116</v>
      </c>
      <c r="K51" s="153">
        <f>+Actuals!H186</f>
        <v>190875.45600000001</v>
      </c>
      <c r="L51" s="133">
        <f>+Actuals!I186</f>
        <v>-30367</v>
      </c>
      <c r="M51" s="134">
        <f>+Actuals!J186</f>
        <v>-49073.072</v>
      </c>
      <c r="N51" s="133">
        <f>+Actuals!K186</f>
        <v>17967</v>
      </c>
      <c r="O51" s="134">
        <f>+Actuals!L186</f>
        <v>29034.671999999999</v>
      </c>
      <c r="P51" s="133">
        <f>+Actuals!M186</f>
        <v>-114</v>
      </c>
      <c r="Q51" s="134">
        <f>+Actuals!N186</f>
        <v>-184.22399999999999</v>
      </c>
      <c r="R51" s="133">
        <f>+Actuals!O186</f>
        <v>0</v>
      </c>
      <c r="S51" s="134">
        <f>+Actuals!P186</f>
        <v>0</v>
      </c>
      <c r="T51" s="133">
        <f>+Actuals!Q186</f>
        <v>0</v>
      </c>
      <c r="U51" s="134">
        <f>+Actuals!R186</f>
        <v>0</v>
      </c>
      <c r="V51" s="133">
        <f>+Actuals!S186</f>
        <v>-316085</v>
      </c>
      <c r="W51" s="134">
        <f>+Actuals!T186</f>
        <v>0</v>
      </c>
      <c r="X51" s="133">
        <f>+Actuals!U186</f>
        <v>0</v>
      </c>
      <c r="Y51" s="134">
        <f>+Actuals!V186</f>
        <v>0</v>
      </c>
      <c r="Z51" s="133">
        <f>+Actuals!W186</f>
        <v>0</v>
      </c>
      <c r="AA51" s="134">
        <f>+Actuals!X186</f>
        <v>0</v>
      </c>
      <c r="AB51" s="133">
        <f>+Actuals!Y266</f>
        <v>0</v>
      </c>
      <c r="AC51" s="134">
        <f>+Actuals!Z266</f>
        <v>0</v>
      </c>
      <c r="AD51" s="133">
        <f>+Actuals!AA266</f>
        <v>0</v>
      </c>
      <c r="AE51" s="134">
        <f>+Actuals!AB266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  <c r="AJ51" s="133">
        <f>+Actuals!AG266</f>
        <v>0</v>
      </c>
      <c r="AK51" s="134">
        <f>+Actuals!AH266</f>
        <v>0</v>
      </c>
      <c r="AL51" s="133">
        <f>+Actuals!AI266</f>
        <v>0</v>
      </c>
      <c r="AM51" s="134">
        <f>+Actuals!AJ266</f>
        <v>0</v>
      </c>
      <c r="AN51" s="133">
        <f>+Actuals!AK266</f>
        <v>0</v>
      </c>
      <c r="AO51" s="134">
        <f>+Actuals!AL266</f>
        <v>0</v>
      </c>
      <c r="AP51" s="133">
        <f>+Actuals!AM266</f>
        <v>0</v>
      </c>
      <c r="AQ51" s="134">
        <f>+Actuals!AN266</f>
        <v>0</v>
      </c>
      <c r="AR51" s="133">
        <f>+Actuals!AO266</f>
        <v>0</v>
      </c>
      <c r="AS51" s="134">
        <f>+Actuals!AP266</f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-53861099</v>
      </c>
      <c r="E54" s="38">
        <f>SUM(G54,I54,K54,M54,O54,Q54,S54,U54,W54,Y54,AA54,AC54,AE54,AG54,AI54,AK54,AM54,AO54,AQ54,AS54)</f>
        <v>-1457484.6099999999</v>
      </c>
      <c r="F54" s="64">
        <f>'TIE-OUT'!H54+RECLASS!H54</f>
        <v>0</v>
      </c>
      <c r="G54" s="68">
        <f>'TIE-OUT'!I54+RECLASS!I54</f>
        <v>0</v>
      </c>
      <c r="H54" s="133">
        <f>+Actuals!E187</f>
        <v>-57370754</v>
      </c>
      <c r="I54" s="134">
        <f>+Actuals!F187</f>
        <v>-2246682.88</v>
      </c>
      <c r="J54" s="133">
        <f>+Actuals!G187</f>
        <v>3562571</v>
      </c>
      <c r="K54" s="153">
        <f>+Actuals!H187</f>
        <v>434555.1</v>
      </c>
      <c r="L54" s="133">
        <f>+Actuals!I187</f>
        <v>-53453</v>
      </c>
      <c r="M54" s="134">
        <f>+Actuals!J187</f>
        <v>-33064.26</v>
      </c>
      <c r="N54" s="133">
        <f>+Actuals!K187</f>
        <v>567</v>
      </c>
      <c r="O54" s="134">
        <f>+Actuals!L187</f>
        <v>494.38</v>
      </c>
      <c r="P54" s="133">
        <f>+Actuals!M187</f>
        <v>0</v>
      </c>
      <c r="Q54" s="134">
        <f>+Actuals!N187</f>
        <v>0</v>
      </c>
      <c r="R54" s="133">
        <f>+Actuals!O187</f>
        <v>0</v>
      </c>
      <c r="S54" s="134">
        <f>+Actuals!P187</f>
        <v>0</v>
      </c>
      <c r="T54" s="133">
        <f>+Actuals!Q187</f>
        <v>-30</v>
      </c>
      <c r="U54" s="134">
        <f>+Actuals!R187</f>
        <v>-4.92</v>
      </c>
      <c r="V54" s="133">
        <f>+Actuals!S187</f>
        <v>0</v>
      </c>
      <c r="W54" s="134">
        <f>+Actuals!T187+467087</f>
        <v>467087</v>
      </c>
      <c r="X54" s="133">
        <f>+Actuals!U187</f>
        <v>0</v>
      </c>
      <c r="Y54" s="134">
        <f>+Actuals!V187</f>
        <v>0</v>
      </c>
      <c r="Z54" s="133">
        <f>+Actuals!W187</f>
        <v>0</v>
      </c>
      <c r="AA54" s="134">
        <f>+Actuals!X187</f>
        <v>0</v>
      </c>
      <c r="AB54" s="133">
        <f>+Actuals!Y267</f>
        <v>0</v>
      </c>
      <c r="AC54" s="134">
        <f>+Actuals!Z267</f>
        <v>0</v>
      </c>
      <c r="AD54" s="133">
        <f>+Actuals!AA267</f>
        <v>0</v>
      </c>
      <c r="AE54" s="134">
        <f>+Actuals!AB267</f>
        <v>0</v>
      </c>
      <c r="AF54" s="133">
        <f>+Actuals!AC267</f>
        <v>0</v>
      </c>
      <c r="AG54" s="134">
        <f>+Actuals!AD267</f>
        <v>0</v>
      </c>
      <c r="AH54" s="133">
        <f>+Actuals!AE267</f>
        <v>0</v>
      </c>
      <c r="AI54" s="134">
        <f>+Actuals!AF267</f>
        <v>0</v>
      </c>
      <c r="AJ54" s="133">
        <f>+Actuals!AG267</f>
        <v>0</v>
      </c>
      <c r="AK54" s="134">
        <f>+Actuals!AH267</f>
        <v>-79488.78</v>
      </c>
      <c r="AL54" s="133">
        <f>+Actuals!AI267</f>
        <v>0</v>
      </c>
      <c r="AM54" s="134">
        <f>+Actuals!AJ267</f>
        <v>0</v>
      </c>
      <c r="AN54" s="133">
        <f>+Actuals!AK267</f>
        <v>0</v>
      </c>
      <c r="AO54" s="134">
        <f>+Actuals!AL267</f>
        <v>0</v>
      </c>
      <c r="AP54" s="133">
        <f>+Actuals!AM267</f>
        <v>0</v>
      </c>
      <c r="AQ54" s="134">
        <v>-380.25</v>
      </c>
      <c r="AR54" s="133"/>
      <c r="AS54" s="134"/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-15270645.639999999</v>
      </c>
      <c r="F55" s="81">
        <f>'TIE-OUT'!H55+RECLASS!H55</f>
        <v>0</v>
      </c>
      <c r="G55" s="82">
        <f>'TIE-OUT'!I55+RECLASS!I55</f>
        <v>647054</v>
      </c>
      <c r="H55" s="133">
        <f>+Actuals!E188</f>
        <v>0</v>
      </c>
      <c r="I55" s="134">
        <f>+Actuals!F188</f>
        <v>-16179147.109999999</v>
      </c>
      <c r="J55" s="133">
        <f>+Actuals!G188</f>
        <v>0</v>
      </c>
      <c r="K55" s="153">
        <f>+Actuals!H188</f>
        <v>252427.96</v>
      </c>
      <c r="L55" s="133">
        <f>+Actuals!I188</f>
        <v>0</v>
      </c>
      <c r="M55" s="134">
        <f>+Actuals!J188</f>
        <v>15902.45</v>
      </c>
      <c r="N55" s="133">
        <f>+Actuals!K188</f>
        <v>0</v>
      </c>
      <c r="O55" s="134">
        <f>+Actuals!L188</f>
        <v>-6916.23</v>
      </c>
      <c r="P55" s="133">
        <f>+Actuals!M188</f>
        <v>0</v>
      </c>
      <c r="Q55" s="134">
        <f>+Actuals!N188</f>
        <v>-0.12</v>
      </c>
      <c r="R55" s="133">
        <f>+Actuals!O188</f>
        <v>0</v>
      </c>
      <c r="S55" s="134">
        <f>+Actuals!P188</f>
        <v>33.409999999999997</v>
      </c>
      <c r="T55" s="133">
        <f>+Actuals!Q188</f>
        <v>0</v>
      </c>
      <c r="U55" s="134">
        <f>+Actuals!R188</f>
        <v>0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+Actuals!Y268</f>
        <v>0</v>
      </c>
      <c r="AC55" s="134">
        <f>+Actuals!Z268</f>
        <v>0</v>
      </c>
      <c r="AD55" s="133">
        <f>+Actuals!AA268</f>
        <v>0</v>
      </c>
      <c r="AE55" s="134">
        <f>+Actuals!AB268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  <c r="AJ55" s="133">
        <f>+Actuals!AG268</f>
        <v>0</v>
      </c>
      <c r="AK55" s="134">
        <f>+Actuals!AH268</f>
        <v>0</v>
      </c>
      <c r="AL55" s="133">
        <f>+Actuals!AI268</f>
        <v>0</v>
      </c>
      <c r="AM55" s="134">
        <f>+Actuals!AJ268</f>
        <v>0</v>
      </c>
      <c r="AN55" s="133">
        <f>+Actuals!AK268</f>
        <v>0</v>
      </c>
      <c r="AO55" s="134">
        <f>+Actuals!AL268</f>
        <v>0</v>
      </c>
      <c r="AP55" s="133">
        <f>+Actuals!AM268</f>
        <v>0</v>
      </c>
      <c r="AQ55" s="134">
        <f>+Actuals!AN268</f>
        <v>0</v>
      </c>
      <c r="AR55" s="133"/>
      <c r="AS55" s="134"/>
    </row>
    <row r="56" spans="1:45" x14ac:dyDescent="0.2">
      <c r="A56" s="9"/>
      <c r="B56" s="7" t="s">
        <v>61</v>
      </c>
      <c r="C56" s="6"/>
      <c r="D56" s="61">
        <f t="shared" ref="D56:AC56" si="23">SUM(D54:D55)</f>
        <v>-53861099</v>
      </c>
      <c r="E56" s="39">
        <f t="shared" si="23"/>
        <v>-16728130.249999998</v>
      </c>
      <c r="F56" s="61">
        <f t="shared" si="23"/>
        <v>0</v>
      </c>
      <c r="G56" s="39">
        <f t="shared" si="23"/>
        <v>647054</v>
      </c>
      <c r="H56" s="61">
        <f t="shared" si="23"/>
        <v>-57370754</v>
      </c>
      <c r="I56" s="39">
        <f t="shared" si="23"/>
        <v>-18425829.989999998</v>
      </c>
      <c r="J56" s="61">
        <f t="shared" si="23"/>
        <v>3562571</v>
      </c>
      <c r="K56" s="154">
        <f t="shared" si="23"/>
        <v>686983.05999999994</v>
      </c>
      <c r="L56" s="61">
        <f t="shared" si="23"/>
        <v>-53453</v>
      </c>
      <c r="M56" s="39">
        <f t="shared" si="23"/>
        <v>-17161.810000000001</v>
      </c>
      <c r="N56" s="61">
        <f t="shared" si="23"/>
        <v>567</v>
      </c>
      <c r="O56" s="39">
        <f t="shared" si="23"/>
        <v>-6421.8499999999995</v>
      </c>
      <c r="P56" s="61">
        <f t="shared" si="23"/>
        <v>0</v>
      </c>
      <c r="Q56" s="39">
        <f t="shared" si="23"/>
        <v>-0.12</v>
      </c>
      <c r="R56" s="61">
        <f t="shared" si="23"/>
        <v>0</v>
      </c>
      <c r="S56" s="39">
        <f t="shared" si="23"/>
        <v>33.409999999999997</v>
      </c>
      <c r="T56" s="61">
        <f t="shared" si="23"/>
        <v>-30</v>
      </c>
      <c r="U56" s="39">
        <f t="shared" si="23"/>
        <v>-4.92</v>
      </c>
      <c r="V56" s="61">
        <f t="shared" si="23"/>
        <v>0</v>
      </c>
      <c r="W56" s="39">
        <f t="shared" si="23"/>
        <v>467087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ref="AJ56:AO56" si="25">SUM(AJ54:AJ55)</f>
        <v>0</v>
      </c>
      <c r="AK56" s="39">
        <f t="shared" si="25"/>
        <v>-79488.78</v>
      </c>
      <c r="AL56" s="61">
        <f t="shared" si="25"/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>SUM(AP54:AP55)</f>
        <v>0</v>
      </c>
      <c r="AQ56" s="39">
        <f>SUM(AQ54:AQ55)</f>
        <v>-380.25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+Actuals!Y269</f>
        <v>0</v>
      </c>
      <c r="AC59" s="134">
        <f>+Actuals!Z269</f>
        <v>0</v>
      </c>
      <c r="AD59" s="133">
        <f>+Actuals!AA269</f>
        <v>0</v>
      </c>
      <c r="AE59" s="134">
        <f>+Actuals!AB269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  <c r="AJ59" s="133">
        <f>+Actuals!AG269</f>
        <v>0</v>
      </c>
      <c r="AK59" s="134">
        <f>+Actuals!AH269</f>
        <v>0</v>
      </c>
      <c r="AL59" s="133">
        <f>+Actuals!AI269</f>
        <v>0</v>
      </c>
      <c r="AM59" s="134">
        <f>+Actuals!AJ269</f>
        <v>0</v>
      </c>
      <c r="AN59" s="133">
        <f>+Actuals!AK269</f>
        <v>0</v>
      </c>
      <c r="AO59" s="134">
        <f>+Actuals!AL269</f>
        <v>0</v>
      </c>
      <c r="AP59" s="133">
        <f>+Actuals!AM269</f>
        <v>0</v>
      </c>
      <c r="AQ59" s="134">
        <f>+Actuals!AN269</f>
        <v>0</v>
      </c>
      <c r="AR59" s="133">
        <f>+Actuals!AO269</f>
        <v>0</v>
      </c>
      <c r="AS59" s="134">
        <f>+Actuals!AP269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+Actuals!Y270</f>
        <v>0</v>
      </c>
      <c r="AC60" s="134">
        <f>+Actuals!Z270</f>
        <v>0</v>
      </c>
      <c r="AD60" s="133">
        <f>+Actuals!AA270</f>
        <v>0</v>
      </c>
      <c r="AE60" s="134">
        <f>+Actuals!AB270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  <c r="AJ60" s="133">
        <f>+Actuals!AG270</f>
        <v>0</v>
      </c>
      <c r="AK60" s="134">
        <f>+Actuals!AH270</f>
        <v>0</v>
      </c>
      <c r="AL60" s="133">
        <f>+Actuals!AI270</f>
        <v>0</v>
      </c>
      <c r="AM60" s="134">
        <f>+Actuals!AJ270</f>
        <v>0</v>
      </c>
      <c r="AN60" s="133">
        <f>+Actuals!AK270</f>
        <v>0</v>
      </c>
      <c r="AO60" s="134">
        <f>+Actuals!AL270</f>
        <v>0</v>
      </c>
      <c r="AP60" s="133">
        <f>+Actuals!AM270</f>
        <v>0</v>
      </c>
      <c r="AQ60" s="134">
        <f>+Actuals!AN270</f>
        <v>0</v>
      </c>
      <c r="AR60" s="133">
        <f>+Actuals!AO270</f>
        <v>0</v>
      </c>
      <c r="AS60" s="134">
        <f>+Actuals!AP270</f>
        <v>0</v>
      </c>
    </row>
    <row r="61" spans="1:45" x14ac:dyDescent="0.2">
      <c r="A61" s="9"/>
      <c r="B61" s="62" t="s">
        <v>65</v>
      </c>
      <c r="C61" s="6"/>
      <c r="D61" s="61">
        <f t="shared" ref="D61:AC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ref="AJ61:AO61" si="28">SUM(AJ59:AJ60)</f>
        <v>0</v>
      </c>
      <c r="AK61" s="39">
        <f t="shared" si="28"/>
        <v>0</v>
      </c>
      <c r="AL61" s="61">
        <f t="shared" si="28"/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SUM(F63,H63,J63,L63,N63,P63,R63,T63,V63,X63,Z63,AB63,AD63,AF63,AH63,AJ63,AL63,AN63,AP63,AR63)</f>
        <v>0</v>
      </c>
      <c r="E63" s="38">
        <f t="shared" si="29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29"/>
        <v>0</v>
      </c>
      <c r="E64" s="38">
        <f t="shared" si="29"/>
        <v>27083</v>
      </c>
      <c r="F64" s="64">
        <f>'TIE-OUT'!H64+RECLASS!H64</f>
        <v>0</v>
      </c>
      <c r="G64" s="68">
        <f>'TIE-OUT'!I64+RECLASS!I64</f>
        <v>27083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+Actuals!Y271</f>
        <v>0</v>
      </c>
      <c r="AC64" s="134">
        <f>+Actuals!Z271</f>
        <v>0</v>
      </c>
      <c r="AD64" s="133">
        <f>+Actuals!AA271</f>
        <v>0</v>
      </c>
      <c r="AE64" s="134">
        <f>+Actuals!AB271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  <c r="AJ64" s="133">
        <f>+Actuals!AG271</f>
        <v>0</v>
      </c>
      <c r="AK64" s="134">
        <f>+Actuals!AH271</f>
        <v>0</v>
      </c>
      <c r="AL64" s="133">
        <f>+Actuals!AI271</f>
        <v>0</v>
      </c>
      <c r="AM64" s="134">
        <f>+Actuals!AJ271</f>
        <v>0</v>
      </c>
      <c r="AN64" s="133">
        <f>+Actuals!AK271</f>
        <v>0</v>
      </c>
      <c r="AO64" s="134">
        <f>+Actuals!AL271</f>
        <v>0</v>
      </c>
      <c r="AP64" s="133">
        <f>+Actuals!AM271</f>
        <v>0</v>
      </c>
      <c r="AQ64" s="134">
        <f>+Actuals!AN271</f>
        <v>0</v>
      </c>
      <c r="AR64" s="133">
        <f>+Actuals!AO271</f>
        <v>0</v>
      </c>
      <c r="AS64" s="134">
        <f>+Actuals!AP271</f>
        <v>0</v>
      </c>
    </row>
    <row r="65" spans="1:45" x14ac:dyDescent="0.2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-410000</v>
      </c>
      <c r="F65" s="81">
        <f>'TIE-OUT'!H65+RECLASS!H65</f>
        <v>0</v>
      </c>
      <c r="G65" s="82">
        <f>'TIE-OUT'!I65+RECLASS!I65</f>
        <v>-410000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+Actuals!Y272</f>
        <v>0</v>
      </c>
      <c r="AC65" s="134">
        <f>+Actuals!Z272</f>
        <v>0</v>
      </c>
      <c r="AD65" s="133">
        <f>+Actuals!AA272</f>
        <v>0</v>
      </c>
      <c r="AE65" s="134">
        <f>+Actuals!AB272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  <c r="AJ65" s="133">
        <f>+Actuals!AG272</f>
        <v>0</v>
      </c>
      <c r="AK65" s="134">
        <f>+Actuals!AH272</f>
        <v>0</v>
      </c>
      <c r="AL65" s="133">
        <f>+Actuals!AI272</f>
        <v>0</v>
      </c>
      <c r="AM65" s="134">
        <f>+Actuals!AJ272</f>
        <v>0</v>
      </c>
      <c r="AN65" s="133">
        <f>+Actuals!AK272</f>
        <v>0</v>
      </c>
      <c r="AO65" s="134">
        <f>+Actuals!AL272</f>
        <v>0</v>
      </c>
      <c r="AP65" s="133">
        <f>+Actuals!AM272</f>
        <v>0</v>
      </c>
      <c r="AQ65" s="134">
        <f>+Actuals!AN272</f>
        <v>0</v>
      </c>
      <c r="AR65" s="133">
        <f>+Actuals!AO272</f>
        <v>0</v>
      </c>
      <c r="AS65" s="134">
        <f>+Actuals!AP272</f>
        <v>0</v>
      </c>
    </row>
    <row r="66" spans="1:45" x14ac:dyDescent="0.2">
      <c r="A66" s="9"/>
      <c r="B66" s="7" t="s">
        <v>68</v>
      </c>
      <c r="C66" s="6"/>
      <c r="D66" s="61">
        <f t="shared" ref="D66:AC66" si="30">SUM(D64:D65)</f>
        <v>0</v>
      </c>
      <c r="E66" s="39">
        <f t="shared" si="30"/>
        <v>-382917</v>
      </c>
      <c r="F66" s="61">
        <f t="shared" si="30"/>
        <v>0</v>
      </c>
      <c r="G66" s="39">
        <f t="shared" si="30"/>
        <v>-382917</v>
      </c>
      <c r="H66" s="61">
        <f t="shared" si="30"/>
        <v>0</v>
      </c>
      <c r="I66" s="39">
        <f t="shared" si="30"/>
        <v>0</v>
      </c>
      <c r="J66" s="61">
        <f t="shared" si="30"/>
        <v>0</v>
      </c>
      <c r="K66" s="154">
        <f t="shared" si="30"/>
        <v>0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ref="AD66:AI66" si="31">SUM(AD64:AD65)</f>
        <v>0</v>
      </c>
      <c r="AE66" s="39">
        <f t="shared" si="31"/>
        <v>0</v>
      </c>
      <c r="AF66" s="61">
        <f t="shared" si="31"/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ref="AJ66:AO66" si="32">SUM(AJ64:AJ65)</f>
        <v>0</v>
      </c>
      <c r="AK66" s="39">
        <f t="shared" si="32"/>
        <v>0</v>
      </c>
      <c r="AL66" s="61">
        <f t="shared" si="32"/>
        <v>0</v>
      </c>
      <c r="AM66" s="39">
        <f t="shared" si="32"/>
        <v>0</v>
      </c>
      <c r="AN66" s="61">
        <f t="shared" si="32"/>
        <v>0</v>
      </c>
      <c r="AO66" s="39">
        <f t="shared" si="32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13025009.83</v>
      </c>
      <c r="F70" s="64">
        <f>'TIE-OUT'!H70+RECLASS!H70</f>
        <v>0</v>
      </c>
      <c r="G70" s="68">
        <f>'TIE-OUT'!I70+RECLASS!I70</f>
        <v>8497113.8300000001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0</v>
      </c>
      <c r="L70" s="133">
        <f>+Actuals!I193</f>
        <v>0</v>
      </c>
      <c r="M70" s="172">
        <v>4527896</v>
      </c>
      <c r="N70" s="133">
        <f>+Actuals!K193</f>
        <v>0</v>
      </c>
      <c r="O70" s="134">
        <f>+Actuals!L193</f>
        <v>0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+Actuals!Y273</f>
        <v>0</v>
      </c>
      <c r="AC70" s="134">
        <f>+Actuals!Z273</f>
        <v>0</v>
      </c>
      <c r="AD70" s="133">
        <f>+Actuals!AA273</f>
        <v>0</v>
      </c>
      <c r="AE70" s="134">
        <f>+Actuals!AB273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  <c r="AJ70" s="133">
        <f>+Actuals!AG273</f>
        <v>0</v>
      </c>
      <c r="AK70" s="134">
        <f>+Actuals!AH273</f>
        <v>0</v>
      </c>
      <c r="AL70" s="133">
        <f>+Actuals!AI273</f>
        <v>0</v>
      </c>
      <c r="AM70" s="134">
        <f>+Actuals!AJ273</f>
        <v>0</v>
      </c>
      <c r="AN70" s="133">
        <f>+Actuals!AK273</f>
        <v>0</v>
      </c>
      <c r="AO70" s="134">
        <f>+Actuals!AL273</f>
        <v>0</v>
      </c>
      <c r="AP70" s="133">
        <f>+Actuals!AM273</f>
        <v>0</v>
      </c>
      <c r="AQ70" s="134">
        <f>+Actuals!AN273</f>
        <v>0</v>
      </c>
      <c r="AR70" s="133">
        <f>+Actuals!AO273</f>
        <v>0</v>
      </c>
      <c r="AS70" s="134">
        <f>+Actuals!AP273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+Actuals!Y274</f>
        <v>0</v>
      </c>
      <c r="AC71" s="134">
        <f>+Actuals!Z274</f>
        <v>0</v>
      </c>
      <c r="AD71" s="133">
        <f>+Actuals!AA274</f>
        <v>0</v>
      </c>
      <c r="AE71" s="134">
        <f>+Actuals!AB274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  <c r="AJ71" s="133">
        <f>+Actuals!AG274</f>
        <v>0</v>
      </c>
      <c r="AK71" s="134">
        <f>+Actuals!AH274</f>
        <v>0</v>
      </c>
      <c r="AL71" s="133">
        <f>+Actuals!AI274</f>
        <v>0</v>
      </c>
      <c r="AM71" s="134">
        <f>+Actuals!AJ274</f>
        <v>0</v>
      </c>
      <c r="AN71" s="133">
        <f>+Actuals!AK274</f>
        <v>0</v>
      </c>
      <c r="AO71" s="134">
        <f>+Actuals!AL274</f>
        <v>0</v>
      </c>
      <c r="AP71" s="133">
        <f>+Actuals!AM274</f>
        <v>0</v>
      </c>
      <c r="AQ71" s="134">
        <f>+Actuals!AN274</f>
        <v>0</v>
      </c>
      <c r="AR71" s="133">
        <f>+Actuals!AO274</f>
        <v>0</v>
      </c>
      <c r="AS71" s="134">
        <f>+Actuals!AP274</f>
        <v>0</v>
      </c>
    </row>
    <row r="72" spans="1:45" x14ac:dyDescent="0.2">
      <c r="A72" s="9"/>
      <c r="B72" s="3"/>
      <c r="C72" s="55" t="s">
        <v>73</v>
      </c>
      <c r="D72" s="61">
        <f t="shared" ref="D72:AC72" si="33">SUM(D70:D71)</f>
        <v>0</v>
      </c>
      <c r="E72" s="39">
        <f t="shared" si="33"/>
        <v>13025009.83</v>
      </c>
      <c r="F72" s="61">
        <f t="shared" si="33"/>
        <v>0</v>
      </c>
      <c r="G72" s="39">
        <f t="shared" si="33"/>
        <v>8497113.8300000001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154">
        <f t="shared" si="33"/>
        <v>0</v>
      </c>
      <c r="L72" s="61">
        <f t="shared" si="33"/>
        <v>0</v>
      </c>
      <c r="M72" s="39">
        <f t="shared" si="33"/>
        <v>4527896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ref="AD72:AI72" si="34">SUM(AD70:AD71)</f>
        <v>0</v>
      </c>
      <c r="AE72" s="39">
        <f t="shared" si="34"/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ref="AJ72:AO72" si="35">SUM(AJ70:AJ71)</f>
        <v>0</v>
      </c>
      <c r="AK72" s="39">
        <f t="shared" si="35"/>
        <v>0</v>
      </c>
      <c r="AL72" s="61">
        <f t="shared" si="35"/>
        <v>0</v>
      </c>
      <c r="AM72" s="39">
        <f t="shared" si="35"/>
        <v>0</v>
      </c>
      <c r="AN72" s="61">
        <f t="shared" si="35"/>
        <v>0</v>
      </c>
      <c r="AO72" s="39">
        <f t="shared" si="3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SUM(F73,H73,J73,L73,N73,P73,R73,T73,V73,X73,Z73,AB73,AD73,AF73,AH73,AJ73,AL73,AN73,AP73,AR73)</f>
        <v>0</v>
      </c>
      <c r="E73" s="38">
        <f t="shared" ref="E73:E81" si="37">SUM(G73,I73,K73,M73,O73,Q73,S73,U73,W73,Y73,AA73,AC73,AE73,AG73,AI73,AK73,AM73,AO73,AQ73,AS73)</f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+Actuals!Y275</f>
        <v>0</v>
      </c>
      <c r="AC73" s="134">
        <f>+Actuals!Z275</f>
        <v>0</v>
      </c>
      <c r="AD73" s="133">
        <f>+Actuals!AA275</f>
        <v>0</v>
      </c>
      <c r="AE73" s="134">
        <f>+Actuals!AB275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  <c r="AJ73" s="133">
        <f>+Actuals!AG275</f>
        <v>0</v>
      </c>
      <c r="AK73" s="134">
        <f>+Actuals!AH275</f>
        <v>0</v>
      </c>
      <c r="AL73" s="133">
        <f>+Actuals!AI275</f>
        <v>0</v>
      </c>
      <c r="AM73" s="134">
        <f>+Actuals!AJ275</f>
        <v>0</v>
      </c>
      <c r="AN73" s="133">
        <f>+Actuals!AK275</f>
        <v>0</v>
      </c>
      <c r="AO73" s="134">
        <f>+Actuals!AL275</f>
        <v>0</v>
      </c>
      <c r="AP73" s="133">
        <f>+Actuals!AM275</f>
        <v>0</v>
      </c>
      <c r="AQ73" s="134">
        <f>+Actuals!AN275</f>
        <v>0</v>
      </c>
      <c r="AR73" s="133">
        <f>+Actuals!AO275</f>
        <v>0</v>
      </c>
      <c r="AS73" s="134">
        <f>+Actuals!AP275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-5019663</v>
      </c>
      <c r="F74" s="60">
        <f>'TIE-OUT'!H74+RECLASS!H74</f>
        <v>0</v>
      </c>
      <c r="G74" s="60">
        <f>'TIE-OUT'!I74+RECLASS!I74</f>
        <v>-8217041</v>
      </c>
      <c r="H74" s="133">
        <f>+Actuals!E196</f>
        <v>0</v>
      </c>
      <c r="I74" s="134">
        <f>+Actuals!F196-7052622</f>
        <v>-7052622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72">
        <v>10250000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+Actuals!Y276</f>
        <v>0</v>
      </c>
      <c r="AC74" s="134">
        <f>+Actuals!Z276</f>
        <v>0</v>
      </c>
      <c r="AD74" s="133">
        <f>+Actuals!AA276</f>
        <v>0</v>
      </c>
      <c r="AE74" s="134">
        <f>+Actuals!AB276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  <c r="AJ74" s="133">
        <f>+Actuals!AG276</f>
        <v>0</v>
      </c>
      <c r="AK74" s="134">
        <f>+Actuals!AH276</f>
        <v>0</v>
      </c>
      <c r="AL74" s="133">
        <f>+Actuals!AI276</f>
        <v>0</v>
      </c>
      <c r="AM74" s="134">
        <f>+Actuals!AJ276</f>
        <v>0</v>
      </c>
      <c r="AN74" s="133">
        <f>+Actuals!AK276</f>
        <v>0</v>
      </c>
      <c r="AO74" s="134">
        <f>+Actuals!AL276</f>
        <v>0</v>
      </c>
      <c r="AP74" s="133">
        <f>+Actuals!AM276</f>
        <v>0</v>
      </c>
      <c r="AQ74" s="134">
        <f>+Actuals!AN276</f>
        <v>0</v>
      </c>
      <c r="AR74" s="133">
        <f>+Actuals!AO276</f>
        <v>0</v>
      </c>
      <c r="AS74" s="134">
        <f>+Actuals!AP276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166000</v>
      </c>
      <c r="F75" s="60">
        <f>'TIE-OUT'!H75+RECLASS!H75</f>
        <v>0</v>
      </c>
      <c r="G75" s="60">
        <f>'TIE-OUT'!I75+RECLASS!I75</f>
        <v>166000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+Actuals!Y277</f>
        <v>0</v>
      </c>
      <c r="AC75" s="134">
        <f>+Actuals!Z277</f>
        <v>0</v>
      </c>
      <c r="AD75" s="133">
        <f>+Actuals!AA277</f>
        <v>0</v>
      </c>
      <c r="AE75" s="134">
        <f>+Actuals!AB277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  <c r="AJ75" s="133">
        <f>+Actuals!AG277</f>
        <v>0</v>
      </c>
      <c r="AK75" s="134">
        <f>+Actuals!AH277</f>
        <v>0</v>
      </c>
      <c r="AL75" s="133">
        <f>+Actuals!AI277</f>
        <v>0</v>
      </c>
      <c r="AM75" s="134">
        <f>+Actuals!AJ277</f>
        <v>0</v>
      </c>
      <c r="AN75" s="133">
        <f>+Actuals!AK277</f>
        <v>0</v>
      </c>
      <c r="AO75" s="134">
        <f>+Actuals!AL277</f>
        <v>0</v>
      </c>
      <c r="AP75" s="133">
        <f>+Actuals!AM277</f>
        <v>0</v>
      </c>
      <c r="AQ75" s="134">
        <f>+Actuals!AN277</f>
        <v>0</v>
      </c>
      <c r="AR75" s="133">
        <f>+Actuals!AO277</f>
        <v>0</v>
      </c>
      <c r="AS75" s="134">
        <f>+Actuals!AP277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-206717.31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-27984.82</v>
      </c>
      <c r="J76" s="133">
        <f>+Actuals!G198</f>
        <v>0</v>
      </c>
      <c r="K76" s="153">
        <f>+Actuals!H198</f>
        <v>-178732.49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+Actuals!Y278</f>
        <v>0</v>
      </c>
      <c r="AC76" s="134">
        <f>+Actuals!Z278</f>
        <v>0</v>
      </c>
      <c r="AD76" s="133">
        <f>+Actuals!AA278</f>
        <v>0</v>
      </c>
      <c r="AE76" s="134">
        <f>+Actuals!AB278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  <c r="AJ76" s="133">
        <f>+Actuals!AG278</f>
        <v>0</v>
      </c>
      <c r="AK76" s="134">
        <f>+Actuals!AH278</f>
        <v>0</v>
      </c>
      <c r="AL76" s="133">
        <f>+Actuals!AI278</f>
        <v>0</v>
      </c>
      <c r="AM76" s="134">
        <f>+Actuals!AJ278</f>
        <v>0</v>
      </c>
      <c r="AN76" s="133">
        <f>+Actuals!AK278</f>
        <v>0</v>
      </c>
      <c r="AO76" s="134">
        <f>+Actuals!AL278</f>
        <v>0</v>
      </c>
      <c r="AP76" s="133">
        <f>+Actuals!AM278</f>
        <v>0</v>
      </c>
      <c r="AQ76" s="134">
        <f>+Actuals!AN278</f>
        <v>0</v>
      </c>
      <c r="AR76" s="133">
        <f>+Actuals!AO278</f>
        <v>0</v>
      </c>
      <c r="AS76" s="134">
        <f>+Actuals!AP278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-3046809</v>
      </c>
      <c r="F77" s="60">
        <f>'TIE-OUT'!H77+RECLASS!H77</f>
        <v>0</v>
      </c>
      <c r="G77" s="60">
        <f>'TIE-OUT'!I77+RECLASS!I77</f>
        <v>-3046809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+Actuals!Y279</f>
        <v>0</v>
      </c>
      <c r="AC77" s="134">
        <f>+Actuals!Z279</f>
        <v>0</v>
      </c>
      <c r="AD77" s="133">
        <f>+Actuals!AA279</f>
        <v>0</v>
      </c>
      <c r="AE77" s="134">
        <f>+Actuals!AB279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  <c r="AJ77" s="133">
        <f>+Actuals!AG279</f>
        <v>0</v>
      </c>
      <c r="AK77" s="134">
        <f>+Actuals!AH279</f>
        <v>0</v>
      </c>
      <c r="AL77" s="133">
        <f>+Actuals!AI279</f>
        <v>0</v>
      </c>
      <c r="AM77" s="134">
        <f>+Actuals!AJ279</f>
        <v>0</v>
      </c>
      <c r="AN77" s="133">
        <f>+Actuals!AK279</f>
        <v>0</v>
      </c>
      <c r="AO77" s="134">
        <f>+Actuals!AL279</f>
        <v>0</v>
      </c>
      <c r="AP77" s="133">
        <f>+Actuals!AM279</f>
        <v>0</v>
      </c>
      <c r="AQ77" s="134">
        <f>+Actuals!AN279</f>
        <v>0</v>
      </c>
      <c r="AR77" s="133">
        <f>+Actuals!AO279</f>
        <v>0</v>
      </c>
      <c r="AS77" s="134">
        <f>+Actuals!AP279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+Actuals!Y280</f>
        <v>0</v>
      </c>
      <c r="AC78" s="134">
        <f>+Actuals!Z280</f>
        <v>0</v>
      </c>
      <c r="AD78" s="133">
        <f>+Actuals!AA280</f>
        <v>0</v>
      </c>
      <c r="AE78" s="134">
        <f>+Actuals!AB280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  <c r="AJ78" s="133">
        <f>+Actuals!AG280</f>
        <v>0</v>
      </c>
      <c r="AK78" s="134">
        <f>+Actuals!AH280</f>
        <v>0</v>
      </c>
      <c r="AL78" s="133">
        <f>+Actuals!AI280</f>
        <v>0</v>
      </c>
      <c r="AM78" s="134">
        <f>+Actuals!AJ280</f>
        <v>0</v>
      </c>
      <c r="AN78" s="133">
        <f>+Actuals!AK280</f>
        <v>0</v>
      </c>
      <c r="AO78" s="134">
        <f>+Actuals!AL280</f>
        <v>0</v>
      </c>
      <c r="AP78" s="133">
        <f>+Actuals!AM280</f>
        <v>0</v>
      </c>
      <c r="AQ78" s="134">
        <f>+Actuals!AN280</f>
        <v>0</v>
      </c>
      <c r="AR78" s="133">
        <f>+Actuals!AO280</f>
        <v>0</v>
      </c>
      <c r="AS78" s="134">
        <f>+Actuals!AP280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+Actuals!Y281</f>
        <v>0</v>
      </c>
      <c r="AC79" s="134">
        <f>+Actuals!Z281</f>
        <v>0</v>
      </c>
      <c r="AD79" s="133">
        <f>+Actuals!AA281</f>
        <v>0</v>
      </c>
      <c r="AE79" s="134">
        <f>+Actuals!AB281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  <c r="AJ79" s="133">
        <f>+Actuals!AG281</f>
        <v>0</v>
      </c>
      <c r="AK79" s="134">
        <f>+Actuals!AH281</f>
        <v>0</v>
      </c>
      <c r="AL79" s="133">
        <f>+Actuals!AI281</f>
        <v>0</v>
      </c>
      <c r="AM79" s="134">
        <f>+Actuals!AJ281</f>
        <v>0</v>
      </c>
      <c r="AN79" s="133">
        <f>+Actuals!AK281</f>
        <v>0</v>
      </c>
      <c r="AO79" s="134">
        <f>+Actuals!AL281</f>
        <v>0</v>
      </c>
      <c r="AP79" s="133">
        <f>+Actuals!AM281</f>
        <v>0</v>
      </c>
      <c r="AQ79" s="134">
        <f>+Actuals!AN281</f>
        <v>0</v>
      </c>
      <c r="AR79" s="133">
        <f>+Actuals!AO281</f>
        <v>0</v>
      </c>
      <c r="AS79" s="134">
        <f>+Actuals!AP281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+Actuals!Y282</f>
        <v>0</v>
      </c>
      <c r="AC80" s="134">
        <f>+Actuals!Z282</f>
        <v>0</v>
      </c>
      <c r="AD80" s="133">
        <f>+Actuals!AA282</f>
        <v>0</v>
      </c>
      <c r="AE80" s="134">
        <f>+Actuals!AB282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  <c r="AJ80" s="133">
        <f>+Actuals!AG282</f>
        <v>0</v>
      </c>
      <c r="AK80" s="134">
        <f>+Actuals!AH282</f>
        <v>0</v>
      </c>
      <c r="AL80" s="133">
        <f>+Actuals!AI282</f>
        <v>0</v>
      </c>
      <c r="AM80" s="134">
        <f>+Actuals!AJ282</f>
        <v>0</v>
      </c>
      <c r="AN80" s="133">
        <f>+Actuals!AK282</f>
        <v>0</v>
      </c>
      <c r="AO80" s="134">
        <f>+Actuals!AL282</f>
        <v>0</v>
      </c>
      <c r="AP80" s="133">
        <f>+Actuals!AM282</f>
        <v>0</v>
      </c>
      <c r="AQ80" s="134">
        <f>+Actuals!AN282</f>
        <v>0</v>
      </c>
      <c r="AR80" s="133">
        <f>+Actuals!AO282</f>
        <v>0</v>
      </c>
      <c r="AS80" s="134">
        <f>+Actuals!AP282</f>
        <v>0</v>
      </c>
    </row>
    <row r="81" spans="1:45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1209598.94</v>
      </c>
      <c r="F81" s="60">
        <f>'TIE-OUT'!H81+RECLASS!H81</f>
        <v>0</v>
      </c>
      <c r="G81" s="60">
        <f>'TIE-OUT'!I81+RECLASS!I81</f>
        <v>111021</v>
      </c>
      <c r="H81" s="133">
        <f>+Actuals!E203</f>
        <v>0</v>
      </c>
      <c r="I81" s="134">
        <f>+Actuals!F203</f>
        <v>1053029.19</v>
      </c>
      <c r="J81" s="133">
        <f>+Actuals!G203</f>
        <v>0</v>
      </c>
      <c r="K81" s="153">
        <f>+Actuals!H203</f>
        <v>45649.7</v>
      </c>
      <c r="L81" s="133">
        <f>+Actuals!I203</f>
        <v>0</v>
      </c>
      <c r="M81" s="134">
        <f>+Actuals!J203</f>
        <v>0</v>
      </c>
      <c r="N81" s="133">
        <f>+Actuals!K203</f>
        <v>0</v>
      </c>
      <c r="O81" s="134">
        <f>+Actuals!L203</f>
        <v>-100.95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+Actuals!Y283</f>
        <v>0</v>
      </c>
      <c r="AC81" s="134">
        <f>+Actuals!Z283</f>
        <v>0</v>
      </c>
      <c r="AD81" s="133">
        <f>+Actuals!AA283</f>
        <v>0</v>
      </c>
      <c r="AE81" s="134">
        <f>+Actuals!AB283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  <c r="AJ81" s="133">
        <f>+Actuals!AG283</f>
        <v>0</v>
      </c>
      <c r="AK81" s="134">
        <f>+Actuals!AH283</f>
        <v>0</v>
      </c>
      <c r="AL81" s="133">
        <f>+Actuals!AI283</f>
        <v>0</v>
      </c>
      <c r="AM81" s="134">
        <f>+Actuals!AJ283</f>
        <v>0</v>
      </c>
      <c r="AN81" s="133">
        <f>+Actuals!AK283</f>
        <v>0</v>
      </c>
      <c r="AO81" s="134">
        <f>+Actuals!AL283</f>
        <v>0</v>
      </c>
      <c r="AP81" s="133">
        <f>+Actuals!AM283</f>
        <v>0</v>
      </c>
      <c r="AQ81" s="134">
        <f>+Actuals!AN283</f>
        <v>0</v>
      </c>
      <c r="AR81" s="133">
        <f>+Actuals!AO283</f>
        <v>0</v>
      </c>
      <c r="AS81" s="134">
        <f>+Actuals!AP283</f>
        <v>0</v>
      </c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-4863270.6250000279</v>
      </c>
      <c r="F82" s="92">
        <f>F16+F24+F29+F36+F43+F45+F47+F49</f>
        <v>0</v>
      </c>
      <c r="G82" s="93">
        <f>SUM(G72:G81)+G16+G24+G29+G36+G43+G45+G47+G49+G51+G56+G61+G66</f>
        <v>-9077250.7099999972</v>
      </c>
      <c r="H82" s="92">
        <f>H16+H24+H29+H36+H43+H45+H47+H49</f>
        <v>0</v>
      </c>
      <c r="I82" s="93">
        <f>SUM(I72:I81)+I16+I24+I29+I36+I43+I45+I47+I49+I51+I56+I61+I66</f>
        <v>-8447907.1300000064</v>
      </c>
      <c r="J82" s="92">
        <f>J16+J24+J29+J36+J43+J45+J47+J49</f>
        <v>0</v>
      </c>
      <c r="K82" s="166">
        <f>SUM(K72:K81)+K16+K24+K29+K36+K43+K45+K47+K49+K51+K56+K61+K66</f>
        <v>-5521813.904000001</v>
      </c>
      <c r="L82" s="92">
        <f>L16+L24+L29+L36+L43+L45+L47+L49</f>
        <v>0</v>
      </c>
      <c r="M82" s="181">
        <f>SUM(M72:M81)+M16+M24+M29+M36+M43+M45+M47+M49+M51+M56+M61+M66</f>
        <v>15249868.804999998</v>
      </c>
      <c r="N82" s="92">
        <f>N16+N24+N29+N36+N43+N45+N47+N49</f>
        <v>0</v>
      </c>
      <c r="O82" s="93">
        <f>SUM(O72:O81)+O16+O24+O29+O36+O43+O45+O47+O49+O51+O56+O61+O66</f>
        <v>-109498.76699999993</v>
      </c>
      <c r="P82" s="92">
        <f>P16+P24+P29+P36+P43+P45+P47+P49</f>
        <v>0</v>
      </c>
      <c r="Q82" s="93">
        <f>SUM(Q72:Q81)+Q16+Q24+Q29+Q36+Q43+Q45+Q47+Q49+Q51+Q56+Q61+Q66</f>
        <v>10327.519</v>
      </c>
      <c r="R82" s="92">
        <f>R16+R24+R29+R36+R43+R45+R47+R49</f>
        <v>0</v>
      </c>
      <c r="S82" s="93">
        <f>SUM(S72:S81)+S16+S24+S29+S36+S43+S45+S47+S49+S51+S56+S61+S66</f>
        <v>713632.96700000006</v>
      </c>
      <c r="T82" s="92">
        <f>T16+T24+T29+T36+T43+T45+T47+T49</f>
        <v>0</v>
      </c>
      <c r="U82" s="93">
        <f>SUM(U72:U81)+U16+U24+U29+U36+U43+U45+U47+U49+U51+U56+U61+U66</f>
        <v>-516900.03199999995</v>
      </c>
      <c r="V82" s="92">
        <f>V16+V24+V29+V36+V43+V45+V47+V49</f>
        <v>0</v>
      </c>
      <c r="W82" s="93">
        <f>SUM(W72:W81)+W16+W24+W29+W36+W43+W45+W47+W49+W51+W56+W61+W66</f>
        <v>2887043.7949999999</v>
      </c>
      <c r="X82" s="92">
        <f>X16+X24+X29+X36+X43+X45+X47+X49</f>
        <v>0</v>
      </c>
      <c r="Y82" s="93">
        <f>SUM(Y72:Y81)+Y16+Y24+Y29+Y36+Y43+Y45+Y47+Y49+Y51+Y56+Y61+Y66</f>
        <v>52463.400000000023</v>
      </c>
      <c r="Z82" s="92">
        <f>Z16+Z24+Z29+Z36+Z43+Z45+Z47+Z49</f>
        <v>0</v>
      </c>
      <c r="AA82" s="93">
        <f>SUM(AA72:AA81)+AA16+AA24+AA29+AA36+AA43+AA45+AA47+AA49+AA51+AA56+AA61+AA66</f>
        <v>-18191.792000000016</v>
      </c>
      <c r="AB82" s="92">
        <f>AB16+AB24+AB29+AB36+AB43+AB45+AB47+AB49</f>
        <v>0</v>
      </c>
      <c r="AC82" s="93">
        <f>SUM(AC72:AC81)+AC16+AC24+AC29+AC36+AC43+AC45+AC47+AC49+AC51+AC56+AC61+AC66</f>
        <v>18191.792000000016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-18191.792000000016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680199.13399999996</v>
      </c>
      <c r="AL82" s="92">
        <f>AL16+AL24+AL29+AL36+AL43+AL45+AL47+AL49</f>
        <v>0</v>
      </c>
      <c r="AM82" s="93">
        <f>SUM(AM72:AM81)+AM16+AM24+AM29+AM36+AM43+AM45+AM47+AM49+AM51+AM56+AM61+AM66</f>
        <v>-764833.6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-380.25</v>
      </c>
      <c r="AR82" s="92">
        <f>AR16+AR24+AR29+AR36+AR43+AR45+AR47+AR49</f>
        <v>0</v>
      </c>
      <c r="AS82" s="93">
        <f>SUM(AS72:AS81)+AS16+AS24+AS29+AS36+AS43+AS45+AS47+AS49+AS51+AS56+AS61+AS66</f>
        <v>-30.059999999999945</v>
      </c>
    </row>
    <row r="83" spans="1:45" ht="13.5" thickTop="1" x14ac:dyDescent="0.2">
      <c r="A83" s="4"/>
      <c r="B83" s="3"/>
    </row>
    <row r="84" spans="1:45" x14ac:dyDescent="0.2">
      <c r="A84" s="4"/>
      <c r="B84" s="3"/>
    </row>
    <row r="85" spans="1:45" x14ac:dyDescent="0.2">
      <c r="A85" s="4" t="s">
        <v>190</v>
      </c>
      <c r="B85" s="3"/>
      <c r="F85" s="31"/>
      <c r="G85" s="31"/>
      <c r="H85" s="31"/>
      <c r="I85" s="31"/>
      <c r="K85"/>
      <c r="L85" s="45"/>
    </row>
    <row r="86" spans="1:45" s="3" customFormat="1" x14ac:dyDescent="0.2">
      <c r="A86" s="182"/>
      <c r="C86" s="10" t="s">
        <v>191</v>
      </c>
      <c r="D86" s="183">
        <f t="shared" ref="D86:E88" si="38">SUM(F86,H86,J86,L86,N86,P86,R86,T86,V86,X86,Z86,AB86,AD86)</f>
        <v>0</v>
      </c>
      <c r="E86" s="183">
        <f t="shared" si="38"/>
        <v>4376.1699999999983</v>
      </c>
      <c r="F86" s="183">
        <f>'TIE-OUT'!H86+RECLASS!H86</f>
        <v>0</v>
      </c>
      <c r="G86" s="183">
        <f>'TIE-OUT'!I86+RECLASS!I86</f>
        <v>47204.17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0</v>
      </c>
      <c r="N86" s="183">
        <v>0</v>
      </c>
      <c r="O86" s="183">
        <v>0</v>
      </c>
      <c r="P86" s="183">
        <v>0</v>
      </c>
      <c r="Q86" s="183">
        <v>0</v>
      </c>
      <c r="R86" s="183">
        <v>0</v>
      </c>
      <c r="S86" s="183">
        <v>-42828</v>
      </c>
      <c r="T86" s="183">
        <v>0</v>
      </c>
      <c r="U86" s="183">
        <v>0</v>
      </c>
      <c r="V86" s="183">
        <v>0</v>
      </c>
      <c r="W86" s="183">
        <v>0</v>
      </c>
      <c r="X86" s="183">
        <v>0</v>
      </c>
      <c r="Y86" s="183">
        <v>0</v>
      </c>
      <c r="Z86" s="183">
        <v>0</v>
      </c>
      <c r="AA86" s="183">
        <v>0</v>
      </c>
      <c r="AB86" s="183">
        <v>0</v>
      </c>
      <c r="AC86" s="183">
        <v>0</v>
      </c>
      <c r="AD86" s="183">
        <v>0</v>
      </c>
      <c r="AE86" s="183">
        <v>0</v>
      </c>
      <c r="AF86" s="183">
        <v>0</v>
      </c>
      <c r="AG86" s="183">
        <v>0</v>
      </c>
      <c r="AH86" s="183">
        <v>0</v>
      </c>
      <c r="AI86" s="183">
        <v>0</v>
      </c>
      <c r="AJ86" s="183">
        <v>0</v>
      </c>
      <c r="AK86" s="183">
        <v>0</v>
      </c>
      <c r="AL86" s="183">
        <v>0</v>
      </c>
      <c r="AM86" s="183">
        <v>0</v>
      </c>
      <c r="AN86" s="183">
        <v>0</v>
      </c>
      <c r="AO86" s="183">
        <v>0</v>
      </c>
      <c r="AP86" s="183">
        <v>0</v>
      </c>
      <c r="AQ86" s="183">
        <v>0</v>
      </c>
      <c r="AR86" s="183">
        <v>0</v>
      </c>
      <c r="AS86" s="183">
        <v>0</v>
      </c>
    </row>
    <row r="87" spans="1:45" s="3" customFormat="1" x14ac:dyDescent="0.2">
      <c r="A87" s="182"/>
      <c r="C87" s="10" t="s">
        <v>75</v>
      </c>
      <c r="D87" s="184">
        <f t="shared" si="38"/>
        <v>0</v>
      </c>
      <c r="E87" s="184">
        <f t="shared" si="38"/>
        <v>0</v>
      </c>
      <c r="F87" s="184">
        <f>'TIE-OUT'!H87+RECLASS!H87</f>
        <v>0</v>
      </c>
      <c r="G87" s="184">
        <f>'TIE-OUT'!I87+RECLASS!I87</f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  <c r="AJ87" s="184">
        <v>0</v>
      </c>
      <c r="AK87" s="184">
        <v>0</v>
      </c>
      <c r="AL87" s="184">
        <v>0</v>
      </c>
      <c r="AM87" s="184">
        <v>0</v>
      </c>
      <c r="AN87" s="184">
        <v>0</v>
      </c>
      <c r="AO87" s="184">
        <v>0</v>
      </c>
      <c r="AP87" s="184">
        <v>0</v>
      </c>
      <c r="AQ87" s="184">
        <v>0</v>
      </c>
      <c r="AR87" s="184">
        <v>0</v>
      </c>
      <c r="AS87" s="184">
        <v>0</v>
      </c>
    </row>
    <row r="88" spans="1:45" s="3" customFormat="1" x14ac:dyDescent="0.2">
      <c r="A88" s="182"/>
      <c r="C88" s="10" t="s">
        <v>76</v>
      </c>
      <c r="D88" s="185">
        <f t="shared" si="38"/>
        <v>0</v>
      </c>
      <c r="E88" s="185">
        <f t="shared" si="38"/>
        <v>0</v>
      </c>
      <c r="F88" s="185">
        <f>'TIE-OUT'!H88+RECLASS!H88</f>
        <v>0</v>
      </c>
      <c r="G88" s="185">
        <f>'TIE-OUT'!I88+RECLASS!I88</f>
        <v>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0</v>
      </c>
      <c r="V88" s="185">
        <v>0</v>
      </c>
      <c r="W88" s="185">
        <v>0</v>
      </c>
      <c r="X88" s="185">
        <v>0</v>
      </c>
      <c r="Y88" s="185">
        <v>0</v>
      </c>
      <c r="Z88" s="185">
        <v>0</v>
      </c>
      <c r="AA88" s="185">
        <v>0</v>
      </c>
      <c r="AB88" s="185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185">
        <v>0</v>
      </c>
      <c r="AI88" s="185">
        <v>0</v>
      </c>
      <c r="AJ88" s="185">
        <v>0</v>
      </c>
      <c r="AK88" s="185">
        <v>0</v>
      </c>
      <c r="AL88" s="185">
        <v>0</v>
      </c>
      <c r="AM88" s="185">
        <v>0</v>
      </c>
      <c r="AN88" s="185">
        <v>0</v>
      </c>
      <c r="AO88" s="185">
        <v>0</v>
      </c>
      <c r="AP88" s="185">
        <v>0</v>
      </c>
      <c r="AQ88" s="185">
        <v>0</v>
      </c>
      <c r="AR88" s="185">
        <v>0</v>
      </c>
      <c r="AS88" s="185">
        <v>0</v>
      </c>
    </row>
    <row r="89" spans="1:45" s="149" customFormat="1" ht="20.25" customHeight="1" x14ac:dyDescent="0.2">
      <c r="A89" s="186"/>
      <c r="B89" s="187"/>
      <c r="C89" s="188" t="s">
        <v>192</v>
      </c>
      <c r="D89" s="189">
        <f>SUM(D86:D88)</f>
        <v>0</v>
      </c>
      <c r="E89" s="189">
        <f t="shared" ref="E89:AE89" si="39">SUM(E86:E88)</f>
        <v>4376.1699999999983</v>
      </c>
      <c r="F89" s="189">
        <f t="shared" si="39"/>
        <v>0</v>
      </c>
      <c r="G89" s="189">
        <f t="shared" si="39"/>
        <v>47204.17</v>
      </c>
      <c r="H89" s="189">
        <f t="shared" si="39"/>
        <v>0</v>
      </c>
      <c r="I89" s="189">
        <f t="shared" si="39"/>
        <v>0</v>
      </c>
      <c r="J89" s="189">
        <f t="shared" si="39"/>
        <v>0</v>
      </c>
      <c r="K89" s="189">
        <f t="shared" si="39"/>
        <v>0</v>
      </c>
      <c r="L89" s="189">
        <f t="shared" si="39"/>
        <v>0</v>
      </c>
      <c r="M89" s="189">
        <f t="shared" si="39"/>
        <v>0</v>
      </c>
      <c r="N89" s="189">
        <f t="shared" si="39"/>
        <v>0</v>
      </c>
      <c r="O89" s="189">
        <f t="shared" si="39"/>
        <v>0</v>
      </c>
      <c r="P89" s="189">
        <f t="shared" si="39"/>
        <v>0</v>
      </c>
      <c r="Q89" s="189">
        <f t="shared" si="39"/>
        <v>0</v>
      </c>
      <c r="R89" s="189">
        <f t="shared" si="39"/>
        <v>0</v>
      </c>
      <c r="S89" s="189">
        <f t="shared" si="39"/>
        <v>-42828</v>
      </c>
      <c r="T89" s="189">
        <f t="shared" si="39"/>
        <v>0</v>
      </c>
      <c r="U89" s="189">
        <f t="shared" si="39"/>
        <v>0</v>
      </c>
      <c r="V89" s="189">
        <f t="shared" si="39"/>
        <v>0</v>
      </c>
      <c r="W89" s="189">
        <f t="shared" si="39"/>
        <v>0</v>
      </c>
      <c r="X89" s="189">
        <f t="shared" si="39"/>
        <v>0</v>
      </c>
      <c r="Y89" s="189">
        <f t="shared" si="39"/>
        <v>0</v>
      </c>
      <c r="Z89" s="189">
        <f t="shared" si="39"/>
        <v>0</v>
      </c>
      <c r="AA89" s="189">
        <f t="shared" si="39"/>
        <v>0</v>
      </c>
      <c r="AB89" s="189">
        <f t="shared" si="39"/>
        <v>0</v>
      </c>
      <c r="AC89" s="189">
        <f t="shared" si="39"/>
        <v>0</v>
      </c>
      <c r="AD89" s="189">
        <f t="shared" si="39"/>
        <v>0</v>
      </c>
      <c r="AE89" s="189">
        <f t="shared" si="39"/>
        <v>0</v>
      </c>
      <c r="AF89" s="189">
        <f t="shared" ref="AF89:AK89" si="40">SUM(AF86:AF88)</f>
        <v>0</v>
      </c>
      <c r="AG89" s="189">
        <f t="shared" si="40"/>
        <v>0</v>
      </c>
      <c r="AH89" s="189">
        <f t="shared" si="40"/>
        <v>0</v>
      </c>
      <c r="AI89" s="189">
        <f t="shared" si="40"/>
        <v>0</v>
      </c>
      <c r="AJ89" s="189">
        <f t="shared" si="40"/>
        <v>0</v>
      </c>
      <c r="AK89" s="189">
        <f t="shared" si="40"/>
        <v>0</v>
      </c>
      <c r="AL89" s="189">
        <f t="shared" ref="AL89:AQ89" si="41">SUM(AL86:AL88)</f>
        <v>0</v>
      </c>
      <c r="AM89" s="189">
        <f t="shared" si="41"/>
        <v>0</v>
      </c>
      <c r="AN89" s="189">
        <f t="shared" si="41"/>
        <v>0</v>
      </c>
      <c r="AO89" s="189">
        <f t="shared" si="41"/>
        <v>0</v>
      </c>
      <c r="AP89" s="189">
        <f t="shared" si="41"/>
        <v>0</v>
      </c>
      <c r="AQ89" s="189">
        <f t="shared" si="41"/>
        <v>0</v>
      </c>
      <c r="AR89" s="189">
        <f>SUM(AR86:AR88)</f>
        <v>0</v>
      </c>
      <c r="AS89" s="189">
        <f>SUM(AS86:AS88)</f>
        <v>0</v>
      </c>
    </row>
    <row r="90" spans="1:45" x14ac:dyDescent="0.2">
      <c r="A90" s="4"/>
      <c r="B90" s="3"/>
      <c r="F90" s="31"/>
      <c r="G90" s="31"/>
      <c r="H90" s="31"/>
      <c r="I90" s="31"/>
      <c r="K90"/>
    </row>
    <row r="91" spans="1:45" s="149" customFormat="1" ht="20.25" customHeight="1" x14ac:dyDescent="0.2">
      <c r="A91" s="186"/>
      <c r="B91" s="187"/>
      <c r="C91" s="188" t="s">
        <v>193</v>
      </c>
      <c r="D91" s="189">
        <f>+D82+D89</f>
        <v>0</v>
      </c>
      <c r="E91" s="189">
        <f t="shared" ref="E91:AE91" si="42">+E82+E89</f>
        <v>-4858894.455000028</v>
      </c>
      <c r="F91" s="189">
        <f t="shared" si="42"/>
        <v>0</v>
      </c>
      <c r="G91" s="189">
        <f t="shared" si="42"/>
        <v>-9030046.5399999972</v>
      </c>
      <c r="H91" s="189">
        <f t="shared" si="42"/>
        <v>0</v>
      </c>
      <c r="I91" s="189">
        <f t="shared" si="42"/>
        <v>-8447907.1300000064</v>
      </c>
      <c r="J91" s="189">
        <f t="shared" si="42"/>
        <v>0</v>
      </c>
      <c r="K91" s="189">
        <f t="shared" si="42"/>
        <v>-5521813.904000001</v>
      </c>
      <c r="L91" s="189">
        <f t="shared" si="42"/>
        <v>0</v>
      </c>
      <c r="M91" s="189">
        <f t="shared" si="42"/>
        <v>15249868.804999998</v>
      </c>
      <c r="N91" s="189">
        <f t="shared" si="42"/>
        <v>0</v>
      </c>
      <c r="O91" s="189">
        <f t="shared" si="42"/>
        <v>-109498.76699999993</v>
      </c>
      <c r="P91" s="189">
        <f t="shared" si="42"/>
        <v>0</v>
      </c>
      <c r="Q91" s="189">
        <f t="shared" si="42"/>
        <v>10327.519</v>
      </c>
      <c r="R91" s="189">
        <f t="shared" si="42"/>
        <v>0</v>
      </c>
      <c r="S91" s="189">
        <f t="shared" si="42"/>
        <v>670804.96700000006</v>
      </c>
      <c r="T91" s="189">
        <f t="shared" si="42"/>
        <v>0</v>
      </c>
      <c r="U91" s="189">
        <f t="shared" si="42"/>
        <v>-516900.03199999995</v>
      </c>
      <c r="V91" s="189">
        <f t="shared" si="42"/>
        <v>0</v>
      </c>
      <c r="W91" s="189">
        <f t="shared" si="42"/>
        <v>2887043.7949999999</v>
      </c>
      <c r="X91" s="189">
        <f t="shared" si="42"/>
        <v>0</v>
      </c>
      <c r="Y91" s="189">
        <f t="shared" si="42"/>
        <v>52463.400000000023</v>
      </c>
      <c r="Z91" s="189">
        <f t="shared" si="42"/>
        <v>0</v>
      </c>
      <c r="AA91" s="189">
        <f t="shared" si="42"/>
        <v>-18191.792000000016</v>
      </c>
      <c r="AB91" s="189">
        <f t="shared" si="42"/>
        <v>0</v>
      </c>
      <c r="AC91" s="189">
        <f t="shared" si="42"/>
        <v>18191.792000000016</v>
      </c>
      <c r="AD91" s="189">
        <f t="shared" si="42"/>
        <v>0</v>
      </c>
      <c r="AE91" s="189">
        <f t="shared" si="42"/>
        <v>0</v>
      </c>
      <c r="AF91" s="189">
        <f t="shared" ref="AF91:AK91" si="43">+AF82+AF89</f>
        <v>0</v>
      </c>
      <c r="AG91" s="189">
        <f t="shared" si="43"/>
        <v>-18191.792000000016</v>
      </c>
      <c r="AH91" s="189">
        <f t="shared" si="43"/>
        <v>0</v>
      </c>
      <c r="AI91" s="189">
        <f t="shared" si="43"/>
        <v>0</v>
      </c>
      <c r="AJ91" s="189">
        <f t="shared" si="43"/>
        <v>0</v>
      </c>
      <c r="AK91" s="189">
        <f t="shared" si="43"/>
        <v>680199.13399999996</v>
      </c>
      <c r="AL91" s="189">
        <f t="shared" ref="AL91:AQ91" si="44">+AL82+AL89</f>
        <v>0</v>
      </c>
      <c r="AM91" s="189">
        <f t="shared" si="44"/>
        <v>-764833.6</v>
      </c>
      <c r="AN91" s="189">
        <f t="shared" si="44"/>
        <v>0</v>
      </c>
      <c r="AO91" s="189">
        <f t="shared" si="44"/>
        <v>0</v>
      </c>
      <c r="AP91" s="189">
        <f t="shared" si="44"/>
        <v>0</v>
      </c>
      <c r="AQ91" s="189">
        <f t="shared" si="44"/>
        <v>-380.25</v>
      </c>
      <c r="AR91" s="189">
        <f>+AR82+AR89</f>
        <v>0</v>
      </c>
      <c r="AS91" s="189">
        <f>+AS82+AS89</f>
        <v>-30.059999999999945</v>
      </c>
    </row>
    <row r="92" spans="1:45" x14ac:dyDescent="0.2">
      <c r="A92" s="4"/>
      <c r="B92" s="3"/>
    </row>
    <row r="93" spans="1:45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S187"/>
  <sheetViews>
    <sheetView zoomScale="75" workbookViewId="0">
      <pane xSplit="3" ySplit="9" topLeftCell="AK75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S82" sqref="AS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  <c r="AJ11" s="133">
        <f>+Actuals!AG204</f>
        <v>0</v>
      </c>
      <c r="AK11" s="134">
        <f>+Actuals!AH204</f>
        <v>0</v>
      </c>
      <c r="AL11" s="133">
        <f>+Actuals!AI204</f>
        <v>0</v>
      </c>
      <c r="AM11" s="134">
        <f>+Actuals!AJ204</f>
        <v>0</v>
      </c>
      <c r="AN11" s="133">
        <f>+Actuals!AK204</f>
        <v>0</v>
      </c>
      <c r="AO11" s="134">
        <f>+Actuals!AL204</f>
        <v>0</v>
      </c>
      <c r="AP11" s="133">
        <f>+Actuals!AM204</f>
        <v>0</v>
      </c>
      <c r="AQ11" s="134">
        <f>+Actuals!AN204</f>
        <v>0</v>
      </c>
      <c r="AR11" s="133">
        <f>+Actuals!AO204</f>
        <v>0</v>
      </c>
      <c r="AS11" s="134">
        <f>+Actuals!AP204</f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  <c r="AJ12" s="133">
        <f>+Actuals!AG205</f>
        <v>0</v>
      </c>
      <c r="AK12" s="134">
        <f>+Actuals!AH205</f>
        <v>0</v>
      </c>
      <c r="AL12" s="133">
        <f>+Actuals!AI205</f>
        <v>0</v>
      </c>
      <c r="AM12" s="134">
        <f>+Actuals!AJ205</f>
        <v>0</v>
      </c>
      <c r="AN12" s="133">
        <f>+Actuals!AK205</f>
        <v>0</v>
      </c>
      <c r="AO12" s="134">
        <f>+Actuals!AL205</f>
        <v>0</v>
      </c>
      <c r="AP12" s="133">
        <f>+Actuals!AM205</f>
        <v>0</v>
      </c>
      <c r="AQ12" s="134">
        <f>+Actuals!AN205</f>
        <v>0</v>
      </c>
      <c r="AR12" s="133">
        <f>+Actuals!AO205</f>
        <v>0</v>
      </c>
      <c r="AS12" s="134">
        <f>+Actuals!AP205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  <c r="AJ13" s="133">
        <f>+Actuals!AG206</f>
        <v>0</v>
      </c>
      <c r="AK13" s="134">
        <f>+Actuals!AH206</f>
        <v>0</v>
      </c>
      <c r="AL13" s="133">
        <f>+Actuals!AI206</f>
        <v>0</v>
      </c>
      <c r="AM13" s="134">
        <f>+Actuals!AJ206</f>
        <v>0</v>
      </c>
      <c r="AN13" s="133">
        <f>+Actuals!AK206</f>
        <v>0</v>
      </c>
      <c r="AO13" s="134">
        <f>+Actuals!AL206</f>
        <v>0</v>
      </c>
      <c r="AP13" s="133">
        <f>+Actuals!AM206</f>
        <v>0</v>
      </c>
      <c r="AQ13" s="134">
        <f>+Actuals!AN206</f>
        <v>0</v>
      </c>
      <c r="AR13" s="133">
        <f>+Actuals!AO206</f>
        <v>0</v>
      </c>
      <c r="AS13" s="134">
        <f>+Actuals!AP206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  <c r="AJ14" s="133">
        <f>+Actuals!AG207</f>
        <v>0</v>
      </c>
      <c r="AK14" s="134">
        <f>+Actuals!AH207</f>
        <v>0</v>
      </c>
      <c r="AL14" s="133">
        <f>+Actuals!AI207</f>
        <v>0</v>
      </c>
      <c r="AM14" s="134">
        <f>+Actuals!AJ207</f>
        <v>0</v>
      </c>
      <c r="AN14" s="133">
        <f>+Actuals!AK207</f>
        <v>0</v>
      </c>
      <c r="AO14" s="134">
        <f>+Actuals!AL207</f>
        <v>0</v>
      </c>
      <c r="AP14" s="133">
        <f>+Actuals!AM207</f>
        <v>0</v>
      </c>
      <c r="AQ14" s="134">
        <f>+Actuals!AN207</f>
        <v>0</v>
      </c>
      <c r="AR14" s="133">
        <f>+Actuals!AO207</f>
        <v>0</v>
      </c>
      <c r="AS14" s="134">
        <f>+Actuals!AP207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  <c r="AJ15" s="133">
        <f>+Actuals!AG208</f>
        <v>0</v>
      </c>
      <c r="AK15" s="134">
        <f>+Actuals!AH208</f>
        <v>0</v>
      </c>
      <c r="AL15" s="133">
        <f>+Actuals!AI208</f>
        <v>0</v>
      </c>
      <c r="AM15" s="134">
        <f>+Actuals!AJ208</f>
        <v>0</v>
      </c>
      <c r="AN15" s="133">
        <f>+Actuals!AK208</f>
        <v>0</v>
      </c>
      <c r="AO15" s="134">
        <f>+Actuals!AL208</f>
        <v>0</v>
      </c>
      <c r="AP15" s="133">
        <f>+Actuals!AM208</f>
        <v>0</v>
      </c>
      <c r="AQ15" s="134">
        <f>+Actuals!AN208</f>
        <v>0</v>
      </c>
      <c r="AR15" s="133">
        <f>+Actuals!AO208</f>
        <v>0</v>
      </c>
      <c r="AS15" s="134">
        <f>+Actuals!AP208</f>
        <v>0</v>
      </c>
    </row>
    <row r="16" spans="1:45" x14ac:dyDescent="0.2">
      <c r="A16" s="9"/>
      <c r="B16" s="7" t="s">
        <v>34</v>
      </c>
      <c r="C16" s="6"/>
      <c r="D16" s="61">
        <f t="shared" ref="D16:AC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ref="AJ16:AO16" si="3">SUM(AJ11:AJ15)</f>
        <v>0</v>
      </c>
      <c r="AK16" s="39">
        <f t="shared" si="3"/>
        <v>0</v>
      </c>
      <c r="AL16" s="61">
        <f t="shared" si="3"/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  <c r="AJ19" s="133">
        <f>+Actuals!AG209</f>
        <v>0</v>
      </c>
      <c r="AK19" s="134">
        <f>+Actuals!AH209</f>
        <v>0</v>
      </c>
      <c r="AL19" s="133">
        <f>+Actuals!AI209</f>
        <v>0</v>
      </c>
      <c r="AM19" s="134">
        <f>+Actuals!AJ209</f>
        <v>0</v>
      </c>
      <c r="AN19" s="133">
        <f>+Actuals!AK209</f>
        <v>0</v>
      </c>
      <c r="AO19" s="134">
        <f>+Actuals!AL209</f>
        <v>0</v>
      </c>
      <c r="AP19" s="133">
        <f>+Actuals!AM209</f>
        <v>0</v>
      </c>
      <c r="AQ19" s="134">
        <f>+Actuals!AN209</f>
        <v>0</v>
      </c>
      <c r="AR19" s="133">
        <f>+Actuals!AO209</f>
        <v>0</v>
      </c>
      <c r="AS19" s="134">
        <f>+Actuals!AP209</f>
        <v>0</v>
      </c>
    </row>
    <row r="20" spans="1:4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  <c r="AJ20" s="133">
        <f>+Actuals!AG210</f>
        <v>0</v>
      </c>
      <c r="AK20" s="134">
        <f>+Actuals!AH210</f>
        <v>0</v>
      </c>
      <c r="AL20" s="133">
        <f>+Actuals!AI210</f>
        <v>0</v>
      </c>
      <c r="AM20" s="134">
        <f>+Actuals!AJ210</f>
        <v>0</v>
      </c>
      <c r="AN20" s="133">
        <f>+Actuals!AK210</f>
        <v>0</v>
      </c>
      <c r="AO20" s="134">
        <f>+Actuals!AL210</f>
        <v>0</v>
      </c>
      <c r="AP20" s="133">
        <f>+Actuals!AM210</f>
        <v>0</v>
      </c>
      <c r="AQ20" s="134">
        <f>+Actuals!AN210</f>
        <v>0</v>
      </c>
      <c r="AR20" s="133">
        <f>+Actuals!AO210</f>
        <v>0</v>
      </c>
      <c r="AS20" s="134">
        <f>+Actuals!AP210</f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  <c r="AJ21" s="133">
        <f>+Actuals!AG211</f>
        <v>0</v>
      </c>
      <c r="AK21" s="134">
        <f>+Actuals!AH211</f>
        <v>0</v>
      </c>
      <c r="AL21" s="133">
        <f>+Actuals!AI211</f>
        <v>0</v>
      </c>
      <c r="AM21" s="134">
        <f>+Actuals!AJ211</f>
        <v>0</v>
      </c>
      <c r="AN21" s="133">
        <f>+Actuals!AK211</f>
        <v>0</v>
      </c>
      <c r="AO21" s="134">
        <f>+Actuals!AL211</f>
        <v>0</v>
      </c>
      <c r="AP21" s="133">
        <f>+Actuals!AM211</f>
        <v>0</v>
      </c>
      <c r="AQ21" s="134">
        <f>+Actuals!AN211</f>
        <v>0</v>
      </c>
      <c r="AR21" s="133">
        <f>+Actuals!AO211</f>
        <v>0</v>
      </c>
      <c r="AS21" s="134">
        <f>+Actuals!AP211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  <c r="AJ22" s="133">
        <f>+Actuals!AG212</f>
        <v>0</v>
      </c>
      <c r="AK22" s="134">
        <f>+Actuals!AH212</f>
        <v>0</v>
      </c>
      <c r="AL22" s="133">
        <f>+Actuals!AI212</f>
        <v>0</v>
      </c>
      <c r="AM22" s="134">
        <f>+Actuals!AJ212</f>
        <v>0</v>
      </c>
      <c r="AN22" s="133">
        <f>+Actuals!AK212</f>
        <v>0</v>
      </c>
      <c r="AO22" s="134">
        <f>+Actuals!AL212</f>
        <v>0</v>
      </c>
      <c r="AP22" s="133">
        <f>+Actuals!AM212</f>
        <v>0</v>
      </c>
      <c r="AQ22" s="134">
        <f>+Actuals!AN212</f>
        <v>0</v>
      </c>
      <c r="AR22" s="133">
        <f>+Actuals!AO212</f>
        <v>0</v>
      </c>
      <c r="AS22" s="134">
        <f>+Actuals!AP212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  <c r="AJ23" s="133">
        <f>+Actuals!AG213</f>
        <v>0</v>
      </c>
      <c r="AK23" s="134">
        <f>+Actuals!AH213</f>
        <v>0</v>
      </c>
      <c r="AL23" s="133">
        <f>+Actuals!AI213</f>
        <v>0</v>
      </c>
      <c r="AM23" s="134">
        <f>+Actuals!AJ213</f>
        <v>0</v>
      </c>
      <c r="AN23" s="133">
        <f>+Actuals!AK213</f>
        <v>0</v>
      </c>
      <c r="AO23" s="134">
        <f>+Actuals!AL213</f>
        <v>0</v>
      </c>
      <c r="AP23" s="133">
        <f>+Actuals!AM213</f>
        <v>0</v>
      </c>
      <c r="AQ23" s="134">
        <f>+Actuals!AN213</f>
        <v>0</v>
      </c>
      <c r="AR23" s="133">
        <f>+Actuals!AO213</f>
        <v>0</v>
      </c>
      <c r="AS23" s="134">
        <f>+Actuals!AP213</f>
        <v>0</v>
      </c>
    </row>
    <row r="24" spans="1:45" x14ac:dyDescent="0.2">
      <c r="A24" s="9"/>
      <c r="B24" s="7" t="s">
        <v>37</v>
      </c>
      <c r="C24" s="6"/>
      <c r="D24" s="61">
        <f t="shared" ref="D24:AC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ref="AD24:AI24" si="6">SUM(AD19:AD23)</f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ref="AJ24:AO24" si="7">SUM(AJ19:AJ23)</f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0</v>
      </c>
      <c r="E27" s="38">
        <f>SUM(G27,I27,K27,M27,O27,Q27,S27,U27,W27,Y27,AA27,AC27,AE27,AG27,AI27,AK27,AM27,AO27,AQ27,AS27)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  <c r="AJ27" s="133">
        <f>+Actuals!AG214</f>
        <v>0</v>
      </c>
      <c r="AK27" s="134">
        <f>+Actuals!AH214</f>
        <v>0</v>
      </c>
      <c r="AL27" s="133">
        <f>+Actuals!AI214</f>
        <v>0</v>
      </c>
      <c r="AM27" s="134">
        <f>+Actuals!AJ214</f>
        <v>0</v>
      </c>
      <c r="AN27" s="133">
        <f>+Actuals!AK214</f>
        <v>0</v>
      </c>
      <c r="AO27" s="134">
        <f>+Actuals!AL214</f>
        <v>0</v>
      </c>
      <c r="AP27" s="133">
        <f>+Actuals!AM214</f>
        <v>0</v>
      </c>
      <c r="AQ27" s="134">
        <f>+Actuals!AN214</f>
        <v>0</v>
      </c>
      <c r="AR27" s="133">
        <f>+Actuals!AO214</f>
        <v>0</v>
      </c>
      <c r="AS27" s="134">
        <f>+Actuals!AP214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0</v>
      </c>
      <c r="E28" s="38">
        <f>SUM(G28,I28,K28,M28,O28,Q28,S28,U28,W28,Y28,AA28,AC28,AE28,AG28,AI28,AK28,AM28,AO28,AQ28,AS28)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  <c r="AJ28" s="133">
        <f>+Actuals!AG215</f>
        <v>0</v>
      </c>
      <c r="AK28" s="134">
        <f>+Actuals!AH215</f>
        <v>0</v>
      </c>
      <c r="AL28" s="133">
        <f>+Actuals!AI215</f>
        <v>0</v>
      </c>
      <c r="AM28" s="134">
        <f>+Actuals!AJ215</f>
        <v>0</v>
      </c>
      <c r="AN28" s="133">
        <f>+Actuals!AK215</f>
        <v>0</v>
      </c>
      <c r="AO28" s="134">
        <f>+Actuals!AL215</f>
        <v>0</v>
      </c>
      <c r="AP28" s="133">
        <f>+Actuals!AM215</f>
        <v>0</v>
      </c>
      <c r="AQ28" s="134">
        <f>+Actuals!AN215</f>
        <v>0</v>
      </c>
      <c r="AR28" s="133">
        <f>+Actuals!AO215</f>
        <v>0</v>
      </c>
      <c r="AS28" s="134">
        <f>+Actuals!AP215</f>
        <v>0</v>
      </c>
    </row>
    <row r="29" spans="1:45" x14ac:dyDescent="0.2">
      <c r="A29" s="9"/>
      <c r="B29" s="7" t="s">
        <v>41</v>
      </c>
      <c r="C29" s="18"/>
      <c r="D29" s="61">
        <f t="shared" ref="D29:AC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ref="AD29:AI29" si="9">SUM(AD27:AD28)</f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ref="AJ29:AO29" si="10">SUM(AJ27:AJ28)</f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  <c r="AJ32" s="133">
        <f>+Actuals!AG216</f>
        <v>0</v>
      </c>
      <c r="AK32" s="134">
        <f>+Actuals!AH216</f>
        <v>0</v>
      </c>
      <c r="AL32" s="133">
        <f>+Actuals!AI216</f>
        <v>0</v>
      </c>
      <c r="AM32" s="134">
        <f>+Actuals!AJ216</f>
        <v>0</v>
      </c>
      <c r="AN32" s="133">
        <f>+Actuals!AK216</f>
        <v>0</v>
      </c>
      <c r="AO32" s="134">
        <f>+Actuals!AL216</f>
        <v>0</v>
      </c>
      <c r="AP32" s="133">
        <f>+Actuals!AM216</f>
        <v>0</v>
      </c>
      <c r="AQ32" s="134">
        <f>+Actuals!AN216</f>
        <v>0</v>
      </c>
      <c r="AR32" s="133">
        <f>+Actuals!AO216</f>
        <v>0</v>
      </c>
      <c r="AS32" s="134">
        <f>+Actuals!AP216</f>
        <v>0</v>
      </c>
    </row>
    <row r="33" spans="1:4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  <c r="AJ33" s="133">
        <f>+Actuals!AG217</f>
        <v>0</v>
      </c>
      <c r="AK33" s="134">
        <f>+Actuals!AH217</f>
        <v>0</v>
      </c>
      <c r="AL33" s="133">
        <f>+Actuals!AI217</f>
        <v>0</v>
      </c>
      <c r="AM33" s="134">
        <f>+Actuals!AJ217</f>
        <v>0</v>
      </c>
      <c r="AN33" s="133">
        <f>+Actuals!AK217</f>
        <v>0</v>
      </c>
      <c r="AO33" s="134">
        <f>+Actuals!AL217</f>
        <v>0</v>
      </c>
      <c r="AP33" s="133">
        <f>+Actuals!AM217</f>
        <v>0</v>
      </c>
      <c r="AQ33" s="134">
        <f>+Actuals!AN217</f>
        <v>0</v>
      </c>
      <c r="AR33" s="133">
        <f>+Actuals!AO217</f>
        <v>0</v>
      </c>
      <c r="AS33" s="134">
        <f>+Actuals!AP217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  <c r="AJ34" s="133">
        <f>+Actuals!AG218</f>
        <v>0</v>
      </c>
      <c r="AK34" s="134">
        <f>+Actuals!AH218</f>
        <v>0</v>
      </c>
      <c r="AL34" s="133">
        <f>+Actuals!AI218</f>
        <v>0</v>
      </c>
      <c r="AM34" s="134">
        <f>+Actuals!AJ218</f>
        <v>0</v>
      </c>
      <c r="AN34" s="133">
        <f>+Actuals!AK218</f>
        <v>0</v>
      </c>
      <c r="AO34" s="134">
        <f>+Actuals!AL218</f>
        <v>0</v>
      </c>
      <c r="AP34" s="133">
        <f>+Actuals!AM218</f>
        <v>0</v>
      </c>
      <c r="AQ34" s="134">
        <f>+Actuals!AN218</f>
        <v>0</v>
      </c>
      <c r="AR34" s="133">
        <f>+Actuals!AO218</f>
        <v>0</v>
      </c>
      <c r="AS34" s="134">
        <f>+Actuals!AP218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  <c r="AJ35" s="133">
        <f>+Actuals!AG219</f>
        <v>0</v>
      </c>
      <c r="AK35" s="134">
        <f>+Actuals!AH219</f>
        <v>0</v>
      </c>
      <c r="AL35" s="133">
        <f>+Actuals!AI219</f>
        <v>0</v>
      </c>
      <c r="AM35" s="134">
        <f>+Actuals!AJ219</f>
        <v>0</v>
      </c>
      <c r="AN35" s="133">
        <f>+Actuals!AK219</f>
        <v>0</v>
      </c>
      <c r="AO35" s="134">
        <f>+Actuals!AL219</f>
        <v>0</v>
      </c>
      <c r="AP35" s="133">
        <f>+Actuals!AM219</f>
        <v>0</v>
      </c>
      <c r="AQ35" s="134">
        <f>+Actuals!AN219</f>
        <v>0</v>
      </c>
      <c r="AR35" s="133">
        <f>+Actuals!AO219</f>
        <v>0</v>
      </c>
      <c r="AS35" s="134">
        <f>+Actuals!AP219</f>
        <v>0</v>
      </c>
    </row>
    <row r="36" spans="1:45" x14ac:dyDescent="0.2">
      <c r="A36" s="9"/>
      <c r="B36" s="7" t="s">
        <v>47</v>
      </c>
      <c r="C36" s="6"/>
      <c r="D36" s="61">
        <f t="shared" ref="D36:AC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ref="AD36:AI36" si="13">SUM(AD32:AD35)</f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ref="AJ36:AO36" si="14">SUM(AJ32:AJ35)</f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  <c r="AJ39" s="133">
        <f>+Actuals!AG220</f>
        <v>0</v>
      </c>
      <c r="AK39" s="134">
        <f>+Actuals!AH220</f>
        <v>0</v>
      </c>
      <c r="AL39" s="133">
        <f>+Actuals!AI220</f>
        <v>0</v>
      </c>
      <c r="AM39" s="134">
        <f>+Actuals!AJ220</f>
        <v>0</v>
      </c>
      <c r="AN39" s="133">
        <f>+Actuals!AK220</f>
        <v>0</v>
      </c>
      <c r="AO39" s="134">
        <f>+Actuals!AL220</f>
        <v>0</v>
      </c>
      <c r="AP39" s="133">
        <f>+Actuals!AM220</f>
        <v>0</v>
      </c>
      <c r="AQ39" s="134">
        <f>+Actuals!AN220</f>
        <v>0</v>
      </c>
      <c r="AR39" s="133">
        <f>+Actuals!AO220</f>
        <v>0</v>
      </c>
      <c r="AS39" s="134">
        <f>+Actuals!AP220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  <c r="AJ40" s="133">
        <f>+Actuals!AG221</f>
        <v>0</v>
      </c>
      <c r="AK40" s="134">
        <f>+Actuals!AH221</f>
        <v>0</v>
      </c>
      <c r="AL40" s="133">
        <f>+Actuals!AI221</f>
        <v>0</v>
      </c>
      <c r="AM40" s="134">
        <f>+Actuals!AJ221</f>
        <v>0</v>
      </c>
      <c r="AN40" s="133">
        <f>+Actuals!AK221</f>
        <v>0</v>
      </c>
      <c r="AO40" s="134">
        <f>+Actuals!AL221</f>
        <v>0</v>
      </c>
      <c r="AP40" s="133">
        <f>+Actuals!AM221</f>
        <v>0</v>
      </c>
      <c r="AQ40" s="134">
        <f>+Actuals!AN221</f>
        <v>0</v>
      </c>
      <c r="AR40" s="133">
        <f>+Actuals!AO221</f>
        <v>0</v>
      </c>
      <c r="AS40" s="134">
        <f>+Actuals!AP221</f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  <c r="AJ41" s="133">
        <f>+Actuals!AG222</f>
        <v>0</v>
      </c>
      <c r="AK41" s="134">
        <f>+Actuals!AH222</f>
        <v>0</v>
      </c>
      <c r="AL41" s="133">
        <f>+Actuals!AI222</f>
        <v>0</v>
      </c>
      <c r="AM41" s="134">
        <f>+Actuals!AJ222</f>
        <v>0</v>
      </c>
      <c r="AN41" s="133">
        <f>+Actuals!AK222</f>
        <v>0</v>
      </c>
      <c r="AO41" s="134">
        <f>+Actuals!AL222</f>
        <v>0</v>
      </c>
      <c r="AP41" s="133">
        <f>+Actuals!AM222</f>
        <v>0</v>
      </c>
      <c r="AQ41" s="134">
        <f>+Actuals!AN222</f>
        <v>0</v>
      </c>
      <c r="AR41" s="133">
        <f>+Actuals!AO222</f>
        <v>0</v>
      </c>
      <c r="AS41" s="134">
        <f>+Actuals!AP222</f>
        <v>0</v>
      </c>
    </row>
    <row r="42" spans="1:45" x14ac:dyDescent="0.2">
      <c r="A42" s="9"/>
      <c r="B42" s="7"/>
      <c r="C42" s="53" t="s">
        <v>52</v>
      </c>
      <c r="D42" s="61">
        <f t="shared" ref="D42:AC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ref="AD42:AI42" si="17">SUM(AD40:AD41)</f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ref="AJ42:AO42" si="18">SUM(AJ40:AJ41)</f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 t="shared" ref="D43:AC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ref="AD43:AI43" si="20">AD42+AD39</f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ref="AJ43:AO43" si="21">AJ42+AJ39</f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2">SUM(F45,H45,J45,L45,N45,P45,R45,T45,V45,X45,Z45,AB45,AD45,AF45,AH45,AJ45,AL45,AN45,AP45,AR45)</f>
        <v>0</v>
      </c>
      <c r="E45" s="38">
        <f t="shared" si="22"/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  <c r="AJ45" s="133">
        <f>+Actuals!AG223</f>
        <v>0</v>
      </c>
      <c r="AK45" s="134">
        <f>+Actuals!AH223</f>
        <v>0</v>
      </c>
      <c r="AL45" s="133">
        <f>+Actuals!AI223</f>
        <v>0</v>
      </c>
      <c r="AM45" s="134">
        <f>+Actuals!AJ223</f>
        <v>0</v>
      </c>
      <c r="AN45" s="133">
        <f>+Actuals!AK223</f>
        <v>0</v>
      </c>
      <c r="AO45" s="134">
        <f>+Actuals!AL223</f>
        <v>0</v>
      </c>
      <c r="AP45" s="133">
        <f>+Actuals!AM223</f>
        <v>0</v>
      </c>
      <c r="AQ45" s="134">
        <f>+Actuals!AN223</f>
        <v>0</v>
      </c>
      <c r="AR45" s="133">
        <f>+Actuals!AO223</f>
        <v>0</v>
      </c>
      <c r="AS45" s="134">
        <f>+Actuals!AP223</f>
        <v>0</v>
      </c>
    </row>
    <row r="46" spans="1:45" x14ac:dyDescent="0.2">
      <c r="A46" s="9"/>
      <c r="B46" s="11"/>
      <c r="C46" s="6"/>
      <c r="D46" s="60">
        <f t="shared" si="22"/>
        <v>0</v>
      </c>
      <c r="E46" s="38">
        <f t="shared" si="22"/>
        <v>0</v>
      </c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2"/>
        <v>0</v>
      </c>
      <c r="E47" s="38">
        <f t="shared" si="22"/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  <c r="AJ47" s="133">
        <f>+Actuals!AG224</f>
        <v>0</v>
      </c>
      <c r="AK47" s="134">
        <f>+Actuals!AH224</f>
        <v>0</v>
      </c>
      <c r="AL47" s="133">
        <f>+Actuals!AI224</f>
        <v>0</v>
      </c>
      <c r="AM47" s="134">
        <f>+Actuals!AJ224</f>
        <v>0</v>
      </c>
      <c r="AN47" s="133">
        <f>+Actuals!AK224</f>
        <v>0</v>
      </c>
      <c r="AO47" s="134">
        <f>+Actuals!AL224</f>
        <v>0</v>
      </c>
      <c r="AP47" s="133">
        <f>+Actuals!AM224</f>
        <v>0</v>
      </c>
      <c r="AQ47" s="134">
        <f>+Actuals!AN224</f>
        <v>0</v>
      </c>
      <c r="AR47" s="133">
        <f>+Actuals!AO224</f>
        <v>0</v>
      </c>
      <c r="AS47" s="134">
        <f>+Actuals!AP224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0</v>
      </c>
      <c r="E49" s="38">
        <f>SUM(G49,I49,K49,M49,O49,Q49,S49,U49,W49,Y49,AA49,AC49,AE49,AG49,AI49,AK49,AM49,AO49,AQ49,AS49)</f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  <c r="AJ49" s="133">
        <f>+Actuals!AG225</f>
        <v>0</v>
      </c>
      <c r="AK49" s="134">
        <f>+Actuals!AH225</f>
        <v>0</v>
      </c>
      <c r="AL49" s="133">
        <f>+Actuals!AI225</f>
        <v>0</v>
      </c>
      <c r="AM49" s="134">
        <f>+Actuals!AJ225</f>
        <v>0</v>
      </c>
      <c r="AN49" s="133">
        <f>+Actuals!AK225</f>
        <v>0</v>
      </c>
      <c r="AO49" s="134">
        <f>+Actuals!AL225</f>
        <v>0</v>
      </c>
      <c r="AP49" s="133">
        <f>+Actuals!AM225</f>
        <v>0</v>
      </c>
      <c r="AQ49" s="134">
        <f>+Actuals!AN225</f>
        <v>0</v>
      </c>
      <c r="AR49" s="133">
        <f>+Actuals!AO225</f>
        <v>0</v>
      </c>
      <c r="AS49" s="134">
        <f>+Actuals!AP225</f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0</v>
      </c>
      <c r="E51" s="38">
        <f>SUM(G51,I51,K51,M51,O51,Q51,S51,U51,W51,Y51,AA51,AC51,AE51,AG51,AI51,AK51,AM51,AO51,AQ51,AS51)</f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  <c r="AJ51" s="133">
        <f>+Actuals!AG226</f>
        <v>0</v>
      </c>
      <c r="AK51" s="134">
        <f>+Actuals!AH226</f>
        <v>0</v>
      </c>
      <c r="AL51" s="133">
        <f>+Actuals!AI226</f>
        <v>0</v>
      </c>
      <c r="AM51" s="134">
        <f>+Actuals!AJ226</f>
        <v>0</v>
      </c>
      <c r="AN51" s="133">
        <f>+Actuals!AK226</f>
        <v>0</v>
      </c>
      <c r="AO51" s="134">
        <f>+Actuals!AL226</f>
        <v>0</v>
      </c>
      <c r="AP51" s="133">
        <f>+Actuals!AM226</f>
        <v>0</v>
      </c>
      <c r="AQ51" s="134">
        <f>+Actuals!AN226</f>
        <v>0</v>
      </c>
      <c r="AR51" s="133">
        <f>+Actuals!AO226</f>
        <v>0</v>
      </c>
      <c r="AS51" s="134">
        <f>+Actuals!AP226</f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0</v>
      </c>
      <c r="E54" s="38">
        <f>SUM(G54,I54,K54,M54,O54,Q54,S54,U54,W54,Y54,AA54,AC54,AE54,AG54,AI54,AK54,AM54,AO54,AQ54,AS54)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  <c r="AJ54" s="133">
        <f>+Actuals!AG227</f>
        <v>0</v>
      </c>
      <c r="AK54" s="134">
        <f>+Actuals!AH227</f>
        <v>0</v>
      </c>
      <c r="AL54" s="133">
        <f>+Actuals!AI227</f>
        <v>0</v>
      </c>
      <c r="AM54" s="134">
        <f>+Actuals!AJ227</f>
        <v>0</v>
      </c>
      <c r="AN54" s="133">
        <f>+Actuals!AK227</f>
        <v>0</v>
      </c>
      <c r="AO54" s="134">
        <f>+Actuals!AL227</f>
        <v>0</v>
      </c>
      <c r="AP54" s="133">
        <f>+Actuals!AM227</f>
        <v>0</v>
      </c>
      <c r="AQ54" s="134">
        <f>+Actuals!AN227</f>
        <v>0</v>
      </c>
      <c r="AR54" s="133">
        <f>+Actuals!AO227</f>
        <v>0</v>
      </c>
      <c r="AS54" s="134">
        <f>+Actuals!AP227</f>
        <v>0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  <c r="AJ55" s="133">
        <f>+Actuals!AG228</f>
        <v>0</v>
      </c>
      <c r="AK55" s="134">
        <f>+Actuals!AH228</f>
        <v>0</v>
      </c>
      <c r="AL55" s="133">
        <f>+Actuals!AI228</f>
        <v>0</v>
      </c>
      <c r="AM55" s="134">
        <f>+Actuals!AJ228</f>
        <v>0</v>
      </c>
      <c r="AN55" s="133">
        <f>+Actuals!AK228</f>
        <v>0</v>
      </c>
      <c r="AO55" s="134">
        <f>+Actuals!AL228</f>
        <v>0</v>
      </c>
      <c r="AP55" s="133">
        <f>+Actuals!AM228</f>
        <v>0</v>
      </c>
      <c r="AQ55" s="134">
        <f>+Actuals!AN228</f>
        <v>0</v>
      </c>
      <c r="AR55" s="133">
        <f>+Actuals!AO228</f>
        <v>0</v>
      </c>
      <c r="AS55" s="134">
        <f>+Actuals!AP228</f>
        <v>0</v>
      </c>
    </row>
    <row r="56" spans="1:45" x14ac:dyDescent="0.2">
      <c r="A56" s="9"/>
      <c r="B56" s="7" t="s">
        <v>61</v>
      </c>
      <c r="C56" s="6"/>
      <c r="D56" s="61">
        <f t="shared" ref="D56:AC56" si="23">SUM(D54:D55)</f>
        <v>0</v>
      </c>
      <c r="E56" s="39">
        <f t="shared" si="23"/>
        <v>0</v>
      </c>
      <c r="F56" s="61">
        <f t="shared" si="23"/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39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ref="AJ56:AO56" si="25">SUM(AJ54:AJ55)</f>
        <v>0</v>
      </c>
      <c r="AK56" s="39">
        <f t="shared" si="25"/>
        <v>0</v>
      </c>
      <c r="AL56" s="61">
        <f t="shared" si="25"/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  <c r="AJ59" s="133">
        <f>+Actuals!AG229</f>
        <v>0</v>
      </c>
      <c r="AK59" s="134">
        <f>+Actuals!AH229</f>
        <v>0</v>
      </c>
      <c r="AL59" s="133">
        <f>+Actuals!AI229</f>
        <v>0</v>
      </c>
      <c r="AM59" s="134">
        <f>+Actuals!AJ229</f>
        <v>0</v>
      </c>
      <c r="AN59" s="133">
        <f>+Actuals!AK229</f>
        <v>0</v>
      </c>
      <c r="AO59" s="134">
        <f>+Actuals!AL229</f>
        <v>0</v>
      </c>
      <c r="AP59" s="133">
        <f>+Actuals!AM229</f>
        <v>0</v>
      </c>
      <c r="AQ59" s="134">
        <f>+Actuals!AN229</f>
        <v>0</v>
      </c>
      <c r="AR59" s="133">
        <f>+Actuals!AO229</f>
        <v>0</v>
      </c>
      <c r="AS59" s="134">
        <f>+Actuals!AP229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  <c r="AJ60" s="133">
        <f>+Actuals!AG230</f>
        <v>0</v>
      </c>
      <c r="AK60" s="134">
        <f>+Actuals!AH230</f>
        <v>0</v>
      </c>
      <c r="AL60" s="133">
        <f>+Actuals!AI230</f>
        <v>0</v>
      </c>
      <c r="AM60" s="134">
        <f>+Actuals!AJ230</f>
        <v>0</v>
      </c>
      <c r="AN60" s="133">
        <f>+Actuals!AK230</f>
        <v>0</v>
      </c>
      <c r="AO60" s="134">
        <f>+Actuals!AL230</f>
        <v>0</v>
      </c>
      <c r="AP60" s="133">
        <f>+Actuals!AM230</f>
        <v>0</v>
      </c>
      <c r="AQ60" s="134">
        <f>+Actuals!AN230</f>
        <v>0</v>
      </c>
      <c r="AR60" s="133">
        <f>+Actuals!AO230</f>
        <v>0</v>
      </c>
      <c r="AS60" s="134">
        <f>+Actuals!AP230</f>
        <v>0</v>
      </c>
    </row>
    <row r="61" spans="1:45" x14ac:dyDescent="0.2">
      <c r="A61" s="9"/>
      <c r="B61" s="62" t="s">
        <v>65</v>
      </c>
      <c r="C61" s="6"/>
      <c r="D61" s="61">
        <f t="shared" ref="D61:AC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ref="AJ61:AO61" si="28">SUM(AJ59:AJ60)</f>
        <v>0</v>
      </c>
      <c r="AK61" s="39">
        <f t="shared" si="28"/>
        <v>0</v>
      </c>
      <c r="AL61" s="61">
        <f t="shared" si="28"/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SUM(F63,H63,J63,L63,N63,P63,R63,T63,V63,X63,Z63,AB63,AD63,AF63,AH63,AJ63,AL63,AN63,AP63,AR63)</f>
        <v>0</v>
      </c>
      <c r="E63" s="38">
        <f t="shared" si="29"/>
        <v>0</v>
      </c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29"/>
        <v>0</v>
      </c>
      <c r="E64" s="38">
        <f t="shared" si="29"/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  <c r="AJ64" s="133">
        <f>+Actuals!AG231</f>
        <v>0</v>
      </c>
      <c r="AK64" s="134">
        <f>+Actuals!AH231</f>
        <v>0</v>
      </c>
      <c r="AL64" s="133">
        <f>+Actuals!AI231</f>
        <v>0</v>
      </c>
      <c r="AM64" s="134">
        <f>+Actuals!AJ231</f>
        <v>0</v>
      </c>
      <c r="AN64" s="133">
        <f>+Actuals!AK231</f>
        <v>0</v>
      </c>
      <c r="AO64" s="134">
        <f>+Actuals!AL231</f>
        <v>0</v>
      </c>
      <c r="AP64" s="133">
        <f>+Actuals!AM231</f>
        <v>0</v>
      </c>
      <c r="AQ64" s="134">
        <f>+Actuals!AN231</f>
        <v>0</v>
      </c>
      <c r="AR64" s="133">
        <f>+Actuals!AO231</f>
        <v>0</v>
      </c>
      <c r="AS64" s="134">
        <f>+Actuals!AP231</f>
        <v>0</v>
      </c>
    </row>
    <row r="65" spans="1:45" x14ac:dyDescent="0.2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  <c r="AJ65" s="133">
        <f>+Actuals!AG232</f>
        <v>0</v>
      </c>
      <c r="AK65" s="134">
        <f>+Actuals!AH232</f>
        <v>0</v>
      </c>
      <c r="AL65" s="133">
        <f>+Actuals!AI232</f>
        <v>0</v>
      </c>
      <c r="AM65" s="134">
        <f>+Actuals!AJ232</f>
        <v>0</v>
      </c>
      <c r="AN65" s="133">
        <f>+Actuals!AK232</f>
        <v>0</v>
      </c>
      <c r="AO65" s="134">
        <f>+Actuals!AL232</f>
        <v>0</v>
      </c>
      <c r="AP65" s="133">
        <f>+Actuals!AM232</f>
        <v>0</v>
      </c>
      <c r="AQ65" s="134">
        <f>+Actuals!AN232</f>
        <v>0</v>
      </c>
      <c r="AR65" s="133">
        <f>+Actuals!AO232</f>
        <v>0</v>
      </c>
      <c r="AS65" s="134">
        <f>+Actuals!AP232</f>
        <v>0</v>
      </c>
    </row>
    <row r="66" spans="1:45" x14ac:dyDescent="0.2">
      <c r="A66" s="9"/>
      <c r="B66" s="7" t="s">
        <v>68</v>
      </c>
      <c r="C66" s="6"/>
      <c r="D66" s="61">
        <f t="shared" ref="D66:AC66" si="30">SUM(D64:D65)</f>
        <v>0</v>
      </c>
      <c r="E66" s="39">
        <f t="shared" si="30"/>
        <v>0</v>
      </c>
      <c r="F66" s="61">
        <f t="shared" si="30"/>
        <v>0</v>
      </c>
      <c r="G66" s="39">
        <f t="shared" si="30"/>
        <v>0</v>
      </c>
      <c r="H66" s="61">
        <f t="shared" si="30"/>
        <v>0</v>
      </c>
      <c r="I66" s="39">
        <f t="shared" si="30"/>
        <v>0</v>
      </c>
      <c r="J66" s="61">
        <f t="shared" si="30"/>
        <v>0</v>
      </c>
      <c r="K66" s="39">
        <f t="shared" si="30"/>
        <v>0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ref="AD66:AI66" si="31">SUM(AD64:AD65)</f>
        <v>0</v>
      </c>
      <c r="AE66" s="39">
        <f t="shared" si="31"/>
        <v>0</v>
      </c>
      <c r="AF66" s="61">
        <f t="shared" si="31"/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ref="AJ66:AO66" si="32">SUM(AJ64:AJ65)</f>
        <v>0</v>
      </c>
      <c r="AK66" s="39">
        <f t="shared" si="32"/>
        <v>0</v>
      </c>
      <c r="AL66" s="61">
        <f t="shared" si="32"/>
        <v>0</v>
      </c>
      <c r="AM66" s="39">
        <f t="shared" si="32"/>
        <v>0</v>
      </c>
      <c r="AN66" s="61">
        <f t="shared" si="32"/>
        <v>0</v>
      </c>
      <c r="AO66" s="39">
        <f t="shared" si="32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  <c r="AJ70" s="133">
        <f>+Actuals!AG233</f>
        <v>0</v>
      </c>
      <c r="AK70" s="134">
        <f>+Actuals!AH233</f>
        <v>0</v>
      </c>
      <c r="AL70" s="133">
        <f>+Actuals!AI233</f>
        <v>0</v>
      </c>
      <c r="AM70" s="134">
        <f>+Actuals!AJ233</f>
        <v>0</v>
      </c>
      <c r="AN70" s="133">
        <f>+Actuals!AK233</f>
        <v>0</v>
      </c>
      <c r="AO70" s="134">
        <f>+Actuals!AL233</f>
        <v>0</v>
      </c>
      <c r="AP70" s="133">
        <f>+Actuals!AM233</f>
        <v>0</v>
      </c>
      <c r="AQ70" s="134">
        <f>+Actuals!AN233</f>
        <v>0</v>
      </c>
      <c r="AR70" s="133">
        <f>+Actuals!AO233</f>
        <v>0</v>
      </c>
      <c r="AS70" s="134">
        <f>+Actuals!AP233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  <c r="AJ71" s="133">
        <f>+Actuals!AG234</f>
        <v>0</v>
      </c>
      <c r="AK71" s="134">
        <f>+Actuals!AH234</f>
        <v>0</v>
      </c>
      <c r="AL71" s="133">
        <f>+Actuals!AI234</f>
        <v>0</v>
      </c>
      <c r="AM71" s="134">
        <f>+Actuals!AJ234</f>
        <v>0</v>
      </c>
      <c r="AN71" s="133">
        <f>+Actuals!AK234</f>
        <v>0</v>
      </c>
      <c r="AO71" s="134">
        <f>+Actuals!AL234</f>
        <v>0</v>
      </c>
      <c r="AP71" s="133">
        <f>+Actuals!AM234</f>
        <v>0</v>
      </c>
      <c r="AQ71" s="134">
        <f>+Actuals!AN234</f>
        <v>0</v>
      </c>
      <c r="AR71" s="133">
        <f>+Actuals!AO234</f>
        <v>0</v>
      </c>
      <c r="AS71" s="134">
        <f>+Actuals!AP234</f>
        <v>0</v>
      </c>
    </row>
    <row r="72" spans="1:45" x14ac:dyDescent="0.2">
      <c r="A72" s="9"/>
      <c r="B72" s="3"/>
      <c r="C72" s="55" t="s">
        <v>73</v>
      </c>
      <c r="D72" s="61">
        <f t="shared" ref="D72:AC72" si="33">SUM(D70:D71)</f>
        <v>0</v>
      </c>
      <c r="E72" s="39">
        <f t="shared" si="33"/>
        <v>0</v>
      </c>
      <c r="F72" s="61">
        <f t="shared" si="33"/>
        <v>0</v>
      </c>
      <c r="G72" s="39">
        <f t="shared" si="33"/>
        <v>0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39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ref="AD72:AI72" si="34">SUM(AD70:AD71)</f>
        <v>0</v>
      </c>
      <c r="AE72" s="39">
        <f t="shared" si="34"/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ref="AJ72:AO72" si="35">SUM(AJ70:AJ71)</f>
        <v>0</v>
      </c>
      <c r="AK72" s="39">
        <f t="shared" si="35"/>
        <v>0</v>
      </c>
      <c r="AL72" s="61">
        <f t="shared" si="35"/>
        <v>0</v>
      </c>
      <c r="AM72" s="39">
        <f t="shared" si="35"/>
        <v>0</v>
      </c>
      <c r="AN72" s="61">
        <f t="shared" si="35"/>
        <v>0</v>
      </c>
      <c r="AO72" s="39">
        <f t="shared" si="3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SUM(F73,H73,J73,L73,N73,P73,R73,T73,V73,X73,Z73,AB73,AD73,AF73,AH73,AJ73,AL73,AN73,AP73,AR73)</f>
        <v>0</v>
      </c>
      <c r="E73" s="38">
        <f t="shared" ref="E73:E81" si="37">SUM(G73,I73,K73,M73,O73,Q73,S73,U73,W73,Y73,AA73,AC73,AE73,AG73,AI73,AK73,AM73,AO73,AQ73,AS73)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  <c r="AJ73" s="133">
        <f>+Actuals!AG235</f>
        <v>0</v>
      </c>
      <c r="AK73" s="134">
        <f>+Actuals!AH235</f>
        <v>0</v>
      </c>
      <c r="AL73" s="133">
        <f>+Actuals!AI235</f>
        <v>0</v>
      </c>
      <c r="AM73" s="134">
        <f>+Actuals!AJ235</f>
        <v>0</v>
      </c>
      <c r="AN73" s="133">
        <f>+Actuals!AK235</f>
        <v>0</v>
      </c>
      <c r="AO73" s="134">
        <f>+Actuals!AL235</f>
        <v>0</v>
      </c>
      <c r="AP73" s="133">
        <f>+Actuals!AM235</f>
        <v>0</v>
      </c>
      <c r="AQ73" s="134">
        <f>+Actuals!AN235</f>
        <v>0</v>
      </c>
      <c r="AR73" s="133">
        <f>+Actuals!AO235</f>
        <v>0</v>
      </c>
      <c r="AS73" s="134">
        <f>+Actuals!AP235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  <c r="AJ74" s="133">
        <f>+Actuals!AG236</f>
        <v>0</v>
      </c>
      <c r="AK74" s="134">
        <f>+Actuals!AH236</f>
        <v>0</v>
      </c>
      <c r="AL74" s="133">
        <f>+Actuals!AI236</f>
        <v>0</v>
      </c>
      <c r="AM74" s="134">
        <f>+Actuals!AJ236</f>
        <v>0</v>
      </c>
      <c r="AN74" s="133">
        <f>+Actuals!AK236</f>
        <v>0</v>
      </c>
      <c r="AO74" s="134">
        <f>+Actuals!AL236</f>
        <v>0</v>
      </c>
      <c r="AP74" s="133">
        <f>+Actuals!AM236</f>
        <v>0</v>
      </c>
      <c r="AQ74" s="134">
        <f>+Actuals!AN236</f>
        <v>0</v>
      </c>
      <c r="AR74" s="133">
        <f>+Actuals!AO236</f>
        <v>0</v>
      </c>
      <c r="AS74" s="134">
        <f>+Actuals!AP236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  <c r="AJ75" s="133">
        <f>+Actuals!AG237</f>
        <v>0</v>
      </c>
      <c r="AK75" s="134">
        <f>+Actuals!AH237</f>
        <v>0</v>
      </c>
      <c r="AL75" s="133">
        <f>+Actuals!AI237</f>
        <v>0</v>
      </c>
      <c r="AM75" s="134">
        <f>+Actuals!AJ237</f>
        <v>0</v>
      </c>
      <c r="AN75" s="133">
        <f>+Actuals!AK237</f>
        <v>0</v>
      </c>
      <c r="AO75" s="134">
        <f>+Actuals!AL237</f>
        <v>0</v>
      </c>
      <c r="AP75" s="133">
        <f>+Actuals!AM237</f>
        <v>0</v>
      </c>
      <c r="AQ75" s="134">
        <f>+Actuals!AN237</f>
        <v>0</v>
      </c>
      <c r="AR75" s="133">
        <f>+Actuals!AO237</f>
        <v>0</v>
      </c>
      <c r="AS75" s="134">
        <f>+Actuals!AP237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  <c r="AJ76" s="133">
        <f>+Actuals!AG238</f>
        <v>0</v>
      </c>
      <c r="AK76" s="134">
        <f>+Actuals!AH238</f>
        <v>0</v>
      </c>
      <c r="AL76" s="133">
        <f>+Actuals!AI238</f>
        <v>0</v>
      </c>
      <c r="AM76" s="134">
        <f>+Actuals!AJ238</f>
        <v>0</v>
      </c>
      <c r="AN76" s="133">
        <f>+Actuals!AK238</f>
        <v>0</v>
      </c>
      <c r="AO76" s="134">
        <f>+Actuals!AL238</f>
        <v>0</v>
      </c>
      <c r="AP76" s="133">
        <f>+Actuals!AM238</f>
        <v>0</v>
      </c>
      <c r="AQ76" s="134">
        <f>+Actuals!AN238</f>
        <v>0</v>
      </c>
      <c r="AR76" s="133">
        <f>+Actuals!AO238</f>
        <v>0</v>
      </c>
      <c r="AS76" s="134">
        <f>+Actuals!AP238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  <c r="AJ77" s="133">
        <f>+Actuals!AG239</f>
        <v>0</v>
      </c>
      <c r="AK77" s="134">
        <f>+Actuals!AH239</f>
        <v>0</v>
      </c>
      <c r="AL77" s="133">
        <f>+Actuals!AI239</f>
        <v>0</v>
      </c>
      <c r="AM77" s="134">
        <f>+Actuals!AJ239</f>
        <v>0</v>
      </c>
      <c r="AN77" s="133">
        <f>+Actuals!AK239</f>
        <v>0</v>
      </c>
      <c r="AO77" s="134">
        <f>+Actuals!AL239</f>
        <v>0</v>
      </c>
      <c r="AP77" s="133">
        <f>+Actuals!AM239</f>
        <v>0</v>
      </c>
      <c r="AQ77" s="134">
        <f>+Actuals!AN239</f>
        <v>0</v>
      </c>
      <c r="AR77" s="133">
        <f>+Actuals!AO239</f>
        <v>0</v>
      </c>
      <c r="AS77" s="134">
        <f>+Actuals!AP239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  <c r="AJ78" s="133">
        <f>+Actuals!AG240</f>
        <v>0</v>
      </c>
      <c r="AK78" s="134">
        <f>+Actuals!AH240</f>
        <v>0</v>
      </c>
      <c r="AL78" s="133">
        <f>+Actuals!AI240</f>
        <v>0</v>
      </c>
      <c r="AM78" s="134">
        <f>+Actuals!AJ240</f>
        <v>0</v>
      </c>
      <c r="AN78" s="133">
        <f>+Actuals!AK240</f>
        <v>0</v>
      </c>
      <c r="AO78" s="134">
        <f>+Actuals!AL240</f>
        <v>0</v>
      </c>
      <c r="AP78" s="133">
        <f>+Actuals!AM240</f>
        <v>0</v>
      </c>
      <c r="AQ78" s="134">
        <f>+Actuals!AN240</f>
        <v>0</v>
      </c>
      <c r="AR78" s="133">
        <f>+Actuals!AO240</f>
        <v>0</v>
      </c>
      <c r="AS78" s="134">
        <f>+Actuals!AP240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  <c r="AJ79" s="133">
        <f>+Actuals!AG241</f>
        <v>0</v>
      </c>
      <c r="AK79" s="134">
        <f>+Actuals!AH241</f>
        <v>0</v>
      </c>
      <c r="AL79" s="133">
        <f>+Actuals!AI241</f>
        <v>0</v>
      </c>
      <c r="AM79" s="134">
        <f>+Actuals!AJ241</f>
        <v>0</v>
      </c>
      <c r="AN79" s="133">
        <f>+Actuals!AK241</f>
        <v>0</v>
      </c>
      <c r="AO79" s="134">
        <f>+Actuals!AL241</f>
        <v>0</v>
      </c>
      <c r="AP79" s="133">
        <f>+Actuals!AM241</f>
        <v>0</v>
      </c>
      <c r="AQ79" s="134">
        <f>+Actuals!AN241</f>
        <v>0</v>
      </c>
      <c r="AR79" s="133">
        <f>+Actuals!AO241</f>
        <v>0</v>
      </c>
      <c r="AS79" s="134">
        <f>+Actuals!AP241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  <c r="AJ80" s="133">
        <f>+Actuals!AG242</f>
        <v>0</v>
      </c>
      <c r="AK80" s="134">
        <f>+Actuals!AH242</f>
        <v>0</v>
      </c>
      <c r="AL80" s="133">
        <f>+Actuals!AI242</f>
        <v>0</v>
      </c>
      <c r="AM80" s="134">
        <f>+Actuals!AJ242</f>
        <v>0</v>
      </c>
      <c r="AN80" s="133">
        <f>+Actuals!AK242</f>
        <v>0</v>
      </c>
      <c r="AO80" s="134">
        <f>+Actuals!AL242</f>
        <v>0</v>
      </c>
      <c r="AP80" s="133">
        <f>+Actuals!AM242</f>
        <v>0</v>
      </c>
      <c r="AQ80" s="134">
        <f>+Actuals!AN242</f>
        <v>0</v>
      </c>
      <c r="AR80" s="133">
        <f>+Actuals!AO242</f>
        <v>0</v>
      </c>
      <c r="AS80" s="134">
        <f>+Actuals!AP242</f>
        <v>0</v>
      </c>
    </row>
    <row r="81" spans="1:45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  <c r="AJ81" s="133">
        <f>+Actuals!AG243</f>
        <v>0</v>
      </c>
      <c r="AK81" s="134">
        <f>+Actuals!AH243</f>
        <v>0</v>
      </c>
      <c r="AL81" s="133">
        <f>+Actuals!AI243</f>
        <v>0</v>
      </c>
      <c r="AM81" s="134">
        <f>+Actuals!AJ243</f>
        <v>0</v>
      </c>
      <c r="AN81" s="133">
        <f>+Actuals!AK243</f>
        <v>0</v>
      </c>
      <c r="AO81" s="134">
        <f>+Actuals!AL243</f>
        <v>0</v>
      </c>
      <c r="AP81" s="133">
        <f>+Actuals!AM243</f>
        <v>0</v>
      </c>
      <c r="AQ81" s="134">
        <f>+Actuals!AN243</f>
        <v>0</v>
      </c>
      <c r="AR81" s="133">
        <f>+Actuals!AO243</f>
        <v>0</v>
      </c>
      <c r="AS81" s="134">
        <f>+Actuals!AP243</f>
        <v>0</v>
      </c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5" thickTop="1" x14ac:dyDescent="0.2">
      <c r="A83" s="4"/>
      <c r="B83" s="3"/>
    </row>
    <row r="84" spans="1:45" x14ac:dyDescent="0.2">
      <c r="A84" s="4"/>
      <c r="B84" s="3"/>
    </row>
    <row r="85" spans="1:45" x14ac:dyDescent="0.2">
      <c r="A85" s="4"/>
      <c r="B85" s="3"/>
    </row>
    <row r="86" spans="1:45" x14ac:dyDescent="0.2">
      <c r="A86" s="4"/>
      <c r="B86" s="3"/>
    </row>
    <row r="87" spans="1:45" x14ac:dyDescent="0.2">
      <c r="A87" s="4"/>
      <c r="B87" s="3"/>
    </row>
    <row r="88" spans="1:45" x14ac:dyDescent="0.2">
      <c r="A88" s="4"/>
      <c r="B88" s="3"/>
    </row>
    <row r="89" spans="1:45" x14ac:dyDescent="0.2">
      <c r="A89" s="4"/>
      <c r="B89" s="3"/>
    </row>
    <row r="90" spans="1:45" x14ac:dyDescent="0.2">
      <c r="A90" s="4"/>
      <c r="B90" s="3"/>
    </row>
    <row r="91" spans="1:45" x14ac:dyDescent="0.2">
      <c r="A91" s="4"/>
      <c r="B91" s="3"/>
    </row>
    <row r="92" spans="1:45" x14ac:dyDescent="0.2">
      <c r="A92" s="4"/>
      <c r="B92" s="3"/>
    </row>
    <row r="93" spans="1:45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S187"/>
  <sheetViews>
    <sheetView zoomScale="75" workbookViewId="0">
      <pane xSplit="3" ySplit="9" topLeftCell="D75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N647" sqref="AN64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9" customWidth="1"/>
    <col min="12" max="45" width="15.42578125" customWidth="1"/>
    <col min="89" max="102" width="0" hidden="1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9692831</v>
      </c>
      <c r="E11" s="38">
        <f t="shared" si="0"/>
        <v>17544591.620000001</v>
      </c>
      <c r="F11" s="58">
        <f>'TIE-OUT'!J11+RECLASS!J11</f>
        <v>0</v>
      </c>
      <c r="G11" s="15">
        <f>'TIE-OUT'!K11+RECLASS!K11</f>
        <v>0</v>
      </c>
      <c r="H11" s="133">
        <f>+Actuals!E44</f>
        <v>9850711</v>
      </c>
      <c r="I11" s="134">
        <f>+Actuals!F44</f>
        <v>18473366.340000004</v>
      </c>
      <c r="J11" s="133">
        <f>+Actuals!G44</f>
        <v>-13631</v>
      </c>
      <c r="K11" s="153">
        <f>+Actuals!H44</f>
        <v>-673722.38</v>
      </c>
      <c r="L11" s="133">
        <f>+Actuals!I44</f>
        <v>-144520</v>
      </c>
      <c r="M11" s="134">
        <f>+Actuals!J44</f>
        <v>-255781.32</v>
      </c>
      <c r="N11" s="133">
        <f>+Actuals!K44</f>
        <v>-72123</v>
      </c>
      <c r="O11" s="134">
        <f>+Actuals!L44</f>
        <v>-118282.1</v>
      </c>
      <c r="P11" s="133">
        <f>+Actuals!M44</f>
        <v>72123</v>
      </c>
      <c r="Q11" s="134">
        <f>+Actuals!N44</f>
        <v>118281.72</v>
      </c>
      <c r="R11" s="133">
        <f>+Actuals!O44</f>
        <v>0</v>
      </c>
      <c r="S11" s="134">
        <f>+Actuals!P44</f>
        <v>0</v>
      </c>
      <c r="T11" s="133">
        <f>+Actuals!Q44</f>
        <v>0</v>
      </c>
      <c r="U11" s="134">
        <f>+Actuals!R44</f>
        <v>-107.62</v>
      </c>
      <c r="V11" s="133">
        <f>+Actuals!S44</f>
        <v>0</v>
      </c>
      <c r="W11" s="134">
        <f>+Actuals!T44</f>
        <v>0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271</v>
      </c>
      <c r="AC11" s="134">
        <f>+Actuals!Z44</f>
        <v>471.54</v>
      </c>
      <c r="AD11" s="133">
        <f>+Actuals!AA44</f>
        <v>0</v>
      </c>
      <c r="AE11" s="134">
        <f>+Actuals!AB44</f>
        <v>0.46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  <c r="AJ11" s="133">
        <f>+Actuals!AG44</f>
        <v>0</v>
      </c>
      <c r="AK11" s="134">
        <f>+Actuals!AH44</f>
        <v>0</v>
      </c>
      <c r="AL11" s="133">
        <f>+Actuals!AI44</f>
        <v>0</v>
      </c>
      <c r="AM11" s="134">
        <f>+Actuals!AJ44</f>
        <v>364.98</v>
      </c>
      <c r="AN11" s="133">
        <f>+Actuals!AK44</f>
        <v>0</v>
      </c>
      <c r="AO11" s="134">
        <f>+Actuals!AL44</f>
        <v>0</v>
      </c>
      <c r="AP11" s="133">
        <f>+Actuals!AM44</f>
        <v>0</v>
      </c>
      <c r="AQ11" s="134">
        <f>+Actuals!AN44</f>
        <v>0</v>
      </c>
      <c r="AR11" s="133">
        <f>+Actuals!AO44</f>
        <v>0</v>
      </c>
      <c r="AS11" s="134">
        <f>+Actuals!AP44</f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  <c r="AJ12" s="133">
        <f>+Actuals!AG45</f>
        <v>0</v>
      </c>
      <c r="AK12" s="134">
        <f>+Actuals!AH45</f>
        <v>0</v>
      </c>
      <c r="AL12" s="133">
        <f>+Actuals!AI45</f>
        <v>0</v>
      </c>
      <c r="AM12" s="134">
        <f>+Actuals!AJ45</f>
        <v>0</v>
      </c>
      <c r="AN12" s="133">
        <f>+Actuals!AK45</f>
        <v>0</v>
      </c>
      <c r="AO12" s="134">
        <f>+Actuals!AL45</f>
        <v>0</v>
      </c>
      <c r="AP12" s="133">
        <f>+Actuals!AM45</f>
        <v>0</v>
      </c>
      <c r="AQ12" s="134">
        <f>+Actuals!AN45</f>
        <v>0</v>
      </c>
      <c r="AR12" s="133">
        <f>+Actuals!AO45</f>
        <v>0</v>
      </c>
      <c r="AS12" s="134">
        <f>+Actuals!AP45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  <c r="AJ13" s="133">
        <f>+Actuals!AG46</f>
        <v>0</v>
      </c>
      <c r="AK13" s="134">
        <f>+Actuals!AH46</f>
        <v>0</v>
      </c>
      <c r="AL13" s="133">
        <f>+Actuals!AI46</f>
        <v>0</v>
      </c>
      <c r="AM13" s="134">
        <f>+Actuals!AJ46</f>
        <v>0</v>
      </c>
      <c r="AN13" s="133">
        <f>+Actuals!AK46</f>
        <v>0</v>
      </c>
      <c r="AO13" s="134">
        <f>+Actuals!AL46</f>
        <v>0</v>
      </c>
      <c r="AP13" s="133">
        <f>+Actuals!AM46</f>
        <v>0</v>
      </c>
      <c r="AQ13" s="134">
        <f>+Actuals!AN46</f>
        <v>0</v>
      </c>
      <c r="AR13" s="133">
        <f>+Actuals!AO46</f>
        <v>0</v>
      </c>
      <c r="AS13" s="134">
        <f>+Actuals!AP46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  <c r="AJ14" s="133">
        <f>+Actuals!AG47</f>
        <v>0</v>
      </c>
      <c r="AK14" s="134">
        <f>+Actuals!AH47</f>
        <v>0</v>
      </c>
      <c r="AL14" s="133">
        <f>+Actuals!AI47</f>
        <v>0</v>
      </c>
      <c r="AM14" s="134">
        <f>+Actuals!AJ47</f>
        <v>0</v>
      </c>
      <c r="AN14" s="133">
        <f>+Actuals!AK47</f>
        <v>0</v>
      </c>
      <c r="AO14" s="134">
        <f>+Actuals!AL47</f>
        <v>0</v>
      </c>
      <c r="AP14" s="133">
        <f>+Actuals!AM47</f>
        <v>0</v>
      </c>
      <c r="AQ14" s="134">
        <f>+Actuals!AN47</f>
        <v>0</v>
      </c>
      <c r="AR14" s="133">
        <f>+Actuals!AO47</f>
        <v>0</v>
      </c>
      <c r="AS14" s="134">
        <f>+Actuals!AP47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  <c r="AJ15" s="133">
        <f>+Actuals!AG48</f>
        <v>0</v>
      </c>
      <c r="AK15" s="134">
        <f>+Actuals!AH48</f>
        <v>0</v>
      </c>
      <c r="AL15" s="133">
        <f>+Actuals!AI48</f>
        <v>0</v>
      </c>
      <c r="AM15" s="134">
        <f>+Actuals!AJ48</f>
        <v>0</v>
      </c>
      <c r="AN15" s="133">
        <f>+Actuals!AK48</f>
        <v>0</v>
      </c>
      <c r="AO15" s="134">
        <f>+Actuals!AL48</f>
        <v>0</v>
      </c>
      <c r="AP15" s="133">
        <f>+Actuals!AM48</f>
        <v>0</v>
      </c>
      <c r="AQ15" s="134">
        <f>+Actuals!AN48</f>
        <v>0</v>
      </c>
      <c r="AR15" s="133">
        <f>+Actuals!AO48</f>
        <v>0</v>
      </c>
      <c r="AS15" s="134">
        <f>+Actuals!AP48</f>
        <v>0</v>
      </c>
    </row>
    <row r="16" spans="1:45" x14ac:dyDescent="0.2">
      <c r="A16" s="9"/>
      <c r="B16" s="7" t="s">
        <v>34</v>
      </c>
      <c r="C16" s="6"/>
      <c r="D16" s="61">
        <f>SUM(D11:D15)</f>
        <v>9692831</v>
      </c>
      <c r="E16" s="39">
        <f>SUM(E11:E15)</f>
        <v>17544591.620000001</v>
      </c>
      <c r="F16" s="59">
        <f t="shared" ref="F16:AC16" si="1">SUM(F11:F15)</f>
        <v>0</v>
      </c>
      <c r="G16" s="23">
        <f t="shared" si="1"/>
        <v>0</v>
      </c>
      <c r="H16" s="61">
        <f t="shared" si="1"/>
        <v>9850711</v>
      </c>
      <c r="I16" s="39">
        <f t="shared" si="1"/>
        <v>18473366.340000004</v>
      </c>
      <c r="J16" s="61">
        <f t="shared" si="1"/>
        <v>-13631</v>
      </c>
      <c r="K16" s="154">
        <f t="shared" si="1"/>
        <v>-673722.38</v>
      </c>
      <c r="L16" s="61">
        <f t="shared" si="1"/>
        <v>-144520</v>
      </c>
      <c r="M16" s="39">
        <f t="shared" si="1"/>
        <v>-255781.32</v>
      </c>
      <c r="N16" s="61">
        <f t="shared" si="1"/>
        <v>-72123</v>
      </c>
      <c r="O16" s="39">
        <f t="shared" si="1"/>
        <v>-118282.1</v>
      </c>
      <c r="P16" s="61">
        <f t="shared" si="1"/>
        <v>72123</v>
      </c>
      <c r="Q16" s="39">
        <f t="shared" si="1"/>
        <v>118281.72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-107.62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271</v>
      </c>
      <c r="AC16" s="39">
        <f t="shared" si="1"/>
        <v>471.54</v>
      </c>
      <c r="AD16" s="61">
        <f t="shared" ref="AD16:AI16" si="2">SUM(AD11:AD15)</f>
        <v>0</v>
      </c>
      <c r="AE16" s="39">
        <f t="shared" si="2"/>
        <v>0.46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ref="AJ16:AO16" si="3">SUM(AJ11:AJ15)</f>
        <v>0</v>
      </c>
      <c r="AK16" s="39">
        <f t="shared" si="3"/>
        <v>0</v>
      </c>
      <c r="AL16" s="61">
        <f t="shared" si="3"/>
        <v>0</v>
      </c>
      <c r="AM16" s="39">
        <f t="shared" si="3"/>
        <v>364.98</v>
      </c>
      <c r="AN16" s="61">
        <f t="shared" si="3"/>
        <v>0</v>
      </c>
      <c r="AO16" s="39">
        <f t="shared" si="3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SUM(F19,H19,J19,L19,N19,P19,R19,T19,V19,X19,Z19,AB19,AD19,AF19,AH19,AJ19,AL19,AN19,AP19,AR19)</f>
        <v>-3450752</v>
      </c>
      <c r="E19" s="38">
        <f t="shared" si="4"/>
        <v>-5929079.1799999997</v>
      </c>
      <c r="F19" s="84">
        <f>'TIE-OUT'!J19+RECLASS!J19</f>
        <v>0</v>
      </c>
      <c r="G19" s="85">
        <f>'TIE-OUT'!K19+RECLASS!K19</f>
        <v>0</v>
      </c>
      <c r="H19" s="133">
        <f>+Actuals!E49</f>
        <v>-3630432</v>
      </c>
      <c r="I19" s="134">
        <f>+Actuals!F49</f>
        <v>-6234679.9699999997</v>
      </c>
      <c r="J19" s="133">
        <f>+Actuals!G49</f>
        <v>43592</v>
      </c>
      <c r="K19" s="153">
        <f>+Actuals!H49</f>
        <v>56001.82</v>
      </c>
      <c r="L19" s="133">
        <f>+Actuals!I49</f>
        <v>-4592</v>
      </c>
      <c r="M19" s="134">
        <f>+Actuals!J49</f>
        <v>3.1</v>
      </c>
      <c r="N19" s="133">
        <f>+Actuals!K49</f>
        <v>0</v>
      </c>
      <c r="O19" s="134">
        <f>+Actuals!L49</f>
        <v>0</v>
      </c>
      <c r="P19" s="133">
        <f>+Actuals!M49</f>
        <v>140680</v>
      </c>
      <c r="Q19" s="134">
        <f>+Actuals!N49</f>
        <v>248806.95</v>
      </c>
      <c r="R19" s="133">
        <f>+Actuals!O49</f>
        <v>0</v>
      </c>
      <c r="S19" s="134">
        <f>+Actuals!P49</f>
        <v>0</v>
      </c>
      <c r="T19" s="133">
        <f>+Actuals!Q49</f>
        <v>0</v>
      </c>
      <c r="U19" s="134">
        <f>+Actuals!R49</f>
        <v>0</v>
      </c>
      <c r="V19" s="133">
        <f>+Actuals!S49</f>
        <v>0</v>
      </c>
      <c r="W19" s="134">
        <f>+Actuals!T49</f>
        <v>0</v>
      </c>
      <c r="X19" s="133">
        <f>+Actuals!U49</f>
        <v>0</v>
      </c>
      <c r="Y19" s="134">
        <f>+Actuals!V49</f>
        <v>133.82</v>
      </c>
      <c r="Z19" s="133">
        <f>+Actuals!W49</f>
        <v>0</v>
      </c>
      <c r="AA19" s="134">
        <f>+Actuals!X49</f>
        <v>0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655.1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  <c r="AJ19" s="133">
        <f>+Actuals!AG49</f>
        <v>0</v>
      </c>
      <c r="AK19" s="134">
        <f>+Actuals!AH49</f>
        <v>0</v>
      </c>
      <c r="AL19" s="133">
        <f>+Actuals!AI49</f>
        <v>0</v>
      </c>
      <c r="AM19" s="134">
        <f>+Actuals!AJ49</f>
        <v>0</v>
      </c>
      <c r="AN19" s="133">
        <f>+Actuals!AK49</f>
        <v>0</v>
      </c>
      <c r="AO19" s="134">
        <f>+Actuals!AL49</f>
        <v>0</v>
      </c>
      <c r="AP19" s="133">
        <f>+Actuals!AM49</f>
        <v>0</v>
      </c>
      <c r="AQ19" s="134">
        <f>+Actuals!AN49</f>
        <v>0</v>
      </c>
      <c r="AR19" s="133">
        <f>+Actuals!AO49</f>
        <v>0</v>
      </c>
      <c r="AS19" s="134">
        <f>+Actuals!AP49</f>
        <v>0</v>
      </c>
    </row>
    <row r="20" spans="1:4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58">
        <f>'TIE-OUT'!J20+RECLASS!J20</f>
        <v>0</v>
      </c>
      <c r="G20" s="15">
        <f>'TIE-OUT'!K20+RECLASS!K20</f>
        <v>0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  <c r="AJ20" s="133">
        <f>+Actuals!AG50</f>
        <v>0</v>
      </c>
      <c r="AK20" s="134">
        <f>+Actuals!AH50</f>
        <v>0</v>
      </c>
      <c r="AL20" s="133">
        <f>+Actuals!AI50</f>
        <v>0</v>
      </c>
      <c r="AM20" s="134">
        <f>+Actuals!AJ50</f>
        <v>0</v>
      </c>
      <c r="AN20" s="133">
        <f>+Actuals!AK50</f>
        <v>0</v>
      </c>
      <c r="AO20" s="134">
        <f>+Actuals!AL50</f>
        <v>0</v>
      </c>
      <c r="AP20" s="133">
        <f>+Actuals!AM50</f>
        <v>0</v>
      </c>
      <c r="AQ20" s="134">
        <f>+Actuals!AN50</f>
        <v>0</v>
      </c>
      <c r="AR20" s="133">
        <f>+Actuals!AO50</f>
        <v>0</v>
      </c>
      <c r="AS20" s="134">
        <f>+Actuals!AP50</f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  <c r="AJ21" s="133">
        <f>+Actuals!AG51</f>
        <v>0</v>
      </c>
      <c r="AK21" s="134">
        <f>+Actuals!AH51</f>
        <v>0</v>
      </c>
      <c r="AL21" s="133">
        <f>+Actuals!AI51</f>
        <v>0</v>
      </c>
      <c r="AM21" s="134">
        <f>+Actuals!AJ51</f>
        <v>0</v>
      </c>
      <c r="AN21" s="133">
        <f>+Actuals!AK51</f>
        <v>0</v>
      </c>
      <c r="AO21" s="134">
        <f>+Actuals!AL51</f>
        <v>0</v>
      </c>
      <c r="AP21" s="133">
        <f>+Actuals!AM51</f>
        <v>0</v>
      </c>
      <c r="AQ21" s="134">
        <f>+Actuals!AN51</f>
        <v>0</v>
      </c>
      <c r="AR21" s="133">
        <f>+Actuals!AO51</f>
        <v>0</v>
      </c>
      <c r="AS21" s="134">
        <f>+Actuals!AP51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  <c r="AJ22" s="133">
        <f>+Actuals!AG52</f>
        <v>0</v>
      </c>
      <c r="AK22" s="134">
        <f>+Actuals!AH52</f>
        <v>0</v>
      </c>
      <c r="AL22" s="133">
        <f>+Actuals!AI52</f>
        <v>0</v>
      </c>
      <c r="AM22" s="134">
        <f>+Actuals!AJ52</f>
        <v>0</v>
      </c>
      <c r="AN22" s="133">
        <f>+Actuals!AK52</f>
        <v>0</v>
      </c>
      <c r="AO22" s="134">
        <f>+Actuals!AL52</f>
        <v>0</v>
      </c>
      <c r="AP22" s="133">
        <f>+Actuals!AM52</f>
        <v>0</v>
      </c>
      <c r="AQ22" s="134">
        <f>+Actuals!AN52</f>
        <v>0</v>
      </c>
      <c r="AR22" s="133">
        <f>+Actuals!AO52</f>
        <v>0</v>
      </c>
      <c r="AS22" s="134">
        <f>+Actuals!AP52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4"/>
        <v>-14044</v>
      </c>
      <c r="E23" s="38">
        <f t="shared" si="4"/>
        <v>-22213.910000000011</v>
      </c>
      <c r="F23" s="98">
        <f>'TIE-OUT'!J23+RECLASS!J23</f>
        <v>0</v>
      </c>
      <c r="G23" s="99">
        <f>'TIE-OUT'!K23+RECLASS!K23</f>
        <v>0</v>
      </c>
      <c r="H23" s="133">
        <f>+Actuals!E53</f>
        <v>0</v>
      </c>
      <c r="I23" s="134">
        <f>+Actuals!F53</f>
        <v>0</v>
      </c>
      <c r="J23" s="133">
        <f>+Actuals!G53</f>
        <v>29241</v>
      </c>
      <c r="K23" s="153">
        <f>+Actuals!H53</f>
        <v>51408.6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+Actuals!T53+1818</f>
        <v>394.83999999999992</v>
      </c>
      <c r="X23" s="133">
        <f>+Actuals!U53</f>
        <v>0</v>
      </c>
      <c r="Y23" s="134">
        <f>+Actuals!V53</f>
        <v>0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0</v>
      </c>
      <c r="AE23" s="134">
        <f>+Actuals!AB53</f>
        <v>0</v>
      </c>
      <c r="AF23" s="133">
        <f>+Actuals!AC53</f>
        <v>-43285</v>
      </c>
      <c r="AG23" s="134">
        <f>+Actuals!AD53</f>
        <v>-74017.350000000006</v>
      </c>
      <c r="AH23" s="133">
        <f>+Actuals!AE53</f>
        <v>0</v>
      </c>
      <c r="AI23" s="134">
        <f>+Actuals!AF53</f>
        <v>0</v>
      </c>
      <c r="AJ23" s="133">
        <f>+Actuals!AG53</f>
        <v>0</v>
      </c>
      <c r="AK23" s="134">
        <f>+Actuals!AH53</f>
        <v>0</v>
      </c>
      <c r="AL23" s="133">
        <f>+Actuals!AI53</f>
        <v>0</v>
      </c>
      <c r="AM23" s="134">
        <f>+Actuals!AJ53</f>
        <v>0</v>
      </c>
      <c r="AN23" s="133">
        <f>+Actuals!AK53</f>
        <v>0</v>
      </c>
      <c r="AO23" s="134">
        <f>+Actuals!AL53</f>
        <v>0</v>
      </c>
      <c r="AP23" s="133">
        <f>+Actuals!AM53</f>
        <v>0</v>
      </c>
      <c r="AQ23" s="134">
        <f>+Actuals!AN53</f>
        <v>0</v>
      </c>
      <c r="AR23" s="133">
        <f>+Actuals!AO53</f>
        <v>0</v>
      </c>
      <c r="AS23" s="134">
        <f>+Actuals!AP53</f>
        <v>0</v>
      </c>
    </row>
    <row r="24" spans="1:45" x14ac:dyDescent="0.2">
      <c r="A24" s="9"/>
      <c r="B24" s="7" t="s">
        <v>37</v>
      </c>
      <c r="C24" s="6"/>
      <c r="D24" s="61">
        <f>SUM(D19:D23)</f>
        <v>-3464796</v>
      </c>
      <c r="E24" s="39">
        <f>SUM(E19:E23)</f>
        <v>-5951293.0899999999</v>
      </c>
      <c r="F24" s="59">
        <f t="shared" ref="F24:AC24" si="5">SUM(F19:F23)</f>
        <v>0</v>
      </c>
      <c r="G24" s="23">
        <f t="shared" si="5"/>
        <v>0</v>
      </c>
      <c r="H24" s="61">
        <f t="shared" si="5"/>
        <v>-3630432</v>
      </c>
      <c r="I24" s="39">
        <f t="shared" si="5"/>
        <v>-6234679.9699999997</v>
      </c>
      <c r="J24" s="61">
        <f t="shared" si="5"/>
        <v>72833</v>
      </c>
      <c r="K24" s="154">
        <f t="shared" si="5"/>
        <v>107410.42</v>
      </c>
      <c r="L24" s="61">
        <f t="shared" si="5"/>
        <v>-4592</v>
      </c>
      <c r="M24" s="39">
        <f t="shared" si="5"/>
        <v>3.1</v>
      </c>
      <c r="N24" s="61">
        <f t="shared" si="5"/>
        <v>0</v>
      </c>
      <c r="O24" s="39">
        <f t="shared" si="5"/>
        <v>0</v>
      </c>
      <c r="P24" s="61">
        <f t="shared" si="5"/>
        <v>140680</v>
      </c>
      <c r="Q24" s="39">
        <f t="shared" si="5"/>
        <v>248806.95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394.83999999999992</v>
      </c>
      <c r="X24" s="61">
        <f t="shared" si="5"/>
        <v>0</v>
      </c>
      <c r="Y24" s="39">
        <f t="shared" si="5"/>
        <v>133.82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ref="AD24:AI24" si="6">SUM(AD19:AD23)</f>
        <v>0</v>
      </c>
      <c r="AE24" s="39">
        <f t="shared" si="6"/>
        <v>655.1</v>
      </c>
      <c r="AF24" s="61">
        <f t="shared" si="6"/>
        <v>-43285</v>
      </c>
      <c r="AG24" s="39">
        <f t="shared" si="6"/>
        <v>-74017.350000000006</v>
      </c>
      <c r="AH24" s="61">
        <f t="shared" si="6"/>
        <v>0</v>
      </c>
      <c r="AI24" s="39">
        <f t="shared" si="6"/>
        <v>0</v>
      </c>
      <c r="AJ24" s="61">
        <f t="shared" ref="AJ24:AO24" si="7">SUM(AJ19:AJ23)</f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2734538</v>
      </c>
      <c r="E27" s="38">
        <f>SUM(G27,I27,K27,M27,O27,Q27,S27,U27,W27,Y27,AA27,AC27,AE27,AG27,AI27,AK27,AM27,AO27,AQ27,AS27)</f>
        <v>4795089.3</v>
      </c>
      <c r="F27" s="84">
        <f>'TIE-OUT'!J27+RECLASS!J27</f>
        <v>0</v>
      </c>
      <c r="G27" s="85">
        <f>'TIE-OUT'!K27+RECLASS!K27</f>
        <v>0</v>
      </c>
      <c r="H27" s="133">
        <f>+Actuals!E54</f>
        <v>3155243</v>
      </c>
      <c r="I27" s="134">
        <f>+Actuals!F54</f>
        <v>5577830</v>
      </c>
      <c r="J27" s="133">
        <f>+Actuals!G54</f>
        <v>-168256</v>
      </c>
      <c r="K27" s="153">
        <f>+Actuals!H54</f>
        <v>-302186.62</v>
      </c>
      <c r="L27" s="133">
        <f>+Actuals!I54</f>
        <v>-152953</v>
      </c>
      <c r="M27" s="134">
        <f>+Actuals!J54</f>
        <v>-280264.33</v>
      </c>
      <c r="N27" s="133">
        <f>+Actuals!K54</f>
        <v>0</v>
      </c>
      <c r="O27" s="134">
        <f>+Actuals!L54</f>
        <v>-0.02</v>
      </c>
      <c r="P27" s="133">
        <f>+Actuals!M54</f>
        <v>0</v>
      </c>
      <c r="Q27" s="134">
        <f>+Actuals!N54</f>
        <v>0</v>
      </c>
      <c r="R27" s="133">
        <f>+Actuals!O54</f>
        <v>0</v>
      </c>
      <c r="S27" s="134">
        <f>+Actuals!P54</f>
        <v>0</v>
      </c>
      <c r="T27" s="133">
        <f>+Actuals!Q54</f>
        <v>-245072</v>
      </c>
      <c r="U27" s="134">
        <f>+Actuals!R54</f>
        <v>-461174.69</v>
      </c>
      <c r="V27" s="133">
        <f>+Actuals!S54</f>
        <v>397824</v>
      </c>
      <c r="W27" s="134">
        <f>+Actuals!T54</f>
        <v>708541.51</v>
      </c>
      <c r="X27" s="133">
        <f>+Actuals!U54</f>
        <v>0</v>
      </c>
      <c r="Y27" s="134">
        <f>+Actuals!V54</f>
        <v>0</v>
      </c>
      <c r="Z27" s="133">
        <f>+Actuals!W54</f>
        <v>-252248</v>
      </c>
      <c r="AA27" s="134">
        <f>+Actuals!X54</f>
        <v>-447659.05</v>
      </c>
      <c r="AB27" s="133">
        <f>+Actuals!Y54</f>
        <v>0</v>
      </c>
      <c r="AC27" s="134">
        <f>+Actuals!Z54</f>
        <v>2.5</v>
      </c>
      <c r="AD27" s="133">
        <f>+Actuals!AA54</f>
        <v>0</v>
      </c>
      <c r="AE27" s="134">
        <f>+Actuals!AB54</f>
        <v>0</v>
      </c>
      <c r="AF27" s="133">
        <f>+Actuals!AC54</f>
        <v>0</v>
      </c>
      <c r="AG27" s="134">
        <f>+Actuals!AD54</f>
        <v>0</v>
      </c>
      <c r="AH27" s="133">
        <f>+Actuals!AE54</f>
        <v>0</v>
      </c>
      <c r="AI27" s="134">
        <f>+Actuals!AF54</f>
        <v>0</v>
      </c>
      <c r="AJ27" s="133">
        <f>+Actuals!AG54</f>
        <v>0</v>
      </c>
      <c r="AK27" s="134">
        <f>+Actuals!AH54</f>
        <v>0</v>
      </c>
      <c r="AL27" s="133">
        <f>+Actuals!AI54</f>
        <v>0</v>
      </c>
      <c r="AM27" s="134">
        <f>+Actuals!AJ54</f>
        <v>0</v>
      </c>
      <c r="AN27" s="133">
        <f>+Actuals!AK54</f>
        <v>0</v>
      </c>
      <c r="AO27" s="134">
        <f>+Actuals!AL54</f>
        <v>0</v>
      </c>
      <c r="AP27" s="133">
        <f>+Actuals!AM54</f>
        <v>0</v>
      </c>
      <c r="AQ27" s="134">
        <f>+Actuals!AN54</f>
        <v>0</v>
      </c>
      <c r="AR27" s="133">
        <f>+Actuals!AO54</f>
        <v>0</v>
      </c>
      <c r="AS27" s="134">
        <f>+Actuals!AP54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-9186051</v>
      </c>
      <c r="E28" s="38">
        <f>SUM(G28,I28,K28,M28,O28,Q28,S28,U28,W28,Y28,AA28,AC28,AE28,AG28,AI28,AK28,AM28,AO28,AQ28,AS28)</f>
        <v>-16277112.170000004</v>
      </c>
      <c r="F28" s="98">
        <f>'TIE-OUT'!J28+RECLASS!J28</f>
        <v>0</v>
      </c>
      <c r="G28" s="99">
        <f>'TIE-OUT'!K28+RECLASS!K28</f>
        <v>0</v>
      </c>
      <c r="H28" s="133">
        <f>+Actuals!E55</f>
        <v>-9633963</v>
      </c>
      <c r="I28" s="134">
        <f>+Actuals!F55</f>
        <v>-17050766</v>
      </c>
      <c r="J28" s="133">
        <f>+Actuals!G55</f>
        <v>234257</v>
      </c>
      <c r="K28" s="153">
        <f>+Actuals!H55</f>
        <v>404889.45</v>
      </c>
      <c r="L28" s="133">
        <f>+Actuals!I55</f>
        <v>118032</v>
      </c>
      <c r="M28" s="134">
        <f>+Actuals!J55</f>
        <v>201763.9</v>
      </c>
      <c r="N28" s="133">
        <f>+Actuals!K55</f>
        <v>0</v>
      </c>
      <c r="O28" s="134">
        <f>+Actuals!L55</f>
        <v>0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250911</v>
      </c>
      <c r="U28" s="134">
        <f>+Actuals!R55</f>
        <v>446670.7</v>
      </c>
      <c r="V28" s="133">
        <f>+Actuals!S55</f>
        <v>-407536</v>
      </c>
      <c r="W28" s="134">
        <f>+Actuals!T55-1818</f>
        <v>-727328.05</v>
      </c>
      <c r="X28" s="133">
        <f>+Actuals!U55</f>
        <v>0</v>
      </c>
      <c r="Y28" s="134">
        <f>+Actuals!V55</f>
        <v>0</v>
      </c>
      <c r="Z28" s="133">
        <f>+Actuals!W55</f>
        <v>252248</v>
      </c>
      <c r="AA28" s="134">
        <f>+Actuals!X55</f>
        <v>447659.07</v>
      </c>
      <c r="AB28" s="133">
        <f>+Actuals!Y55</f>
        <v>0</v>
      </c>
      <c r="AC28" s="134">
        <f>+Actuals!Z55</f>
        <v>0</v>
      </c>
      <c r="AD28" s="133">
        <f>+Actuals!AA55</f>
        <v>0</v>
      </c>
      <c r="AE28" s="134">
        <f>+Actuals!AB55</f>
        <v>-1.38</v>
      </c>
      <c r="AF28" s="133">
        <f>+Actuals!AC55</f>
        <v>0</v>
      </c>
      <c r="AG28" s="134">
        <f>+Actuals!AD55</f>
        <v>1.1200000000000001</v>
      </c>
      <c r="AH28" s="133">
        <f>+Actuals!AE55</f>
        <v>0</v>
      </c>
      <c r="AI28" s="134">
        <f>+Actuals!AF55</f>
        <v>-0.98</v>
      </c>
      <c r="AJ28" s="133">
        <f>+Actuals!AG55</f>
        <v>0</v>
      </c>
      <c r="AK28" s="134">
        <f>+Actuals!AH55</f>
        <v>0</v>
      </c>
      <c r="AL28" s="133">
        <f>+Actuals!AI55</f>
        <v>0</v>
      </c>
      <c r="AM28" s="134">
        <f>+Actuals!AJ55</f>
        <v>0</v>
      </c>
      <c r="AN28" s="133">
        <f>+Actuals!AK55</f>
        <v>0</v>
      </c>
      <c r="AO28" s="134">
        <f>+Actuals!AL55</f>
        <v>0</v>
      </c>
      <c r="AP28" s="133">
        <f>+Actuals!AM55</f>
        <v>0</v>
      </c>
      <c r="AQ28" s="134">
        <f>+Actuals!AN55</f>
        <v>0</v>
      </c>
      <c r="AR28" s="133">
        <f>+Actuals!AO55</f>
        <v>0</v>
      </c>
      <c r="AS28" s="134">
        <f>+Actuals!AP55</f>
        <v>0</v>
      </c>
    </row>
    <row r="29" spans="1:45" x14ac:dyDescent="0.2">
      <c r="A29" s="9"/>
      <c r="B29" s="7" t="s">
        <v>41</v>
      </c>
      <c r="C29" s="18"/>
      <c r="D29" s="61">
        <f>SUM(D27:D28)</f>
        <v>-6451513</v>
      </c>
      <c r="E29" s="39">
        <f>SUM(E27:E28)</f>
        <v>-11482022.870000005</v>
      </c>
      <c r="F29" s="59">
        <f t="shared" ref="F29:AC29" si="8">SUM(F27:F28)</f>
        <v>0</v>
      </c>
      <c r="G29" s="23">
        <f t="shared" si="8"/>
        <v>0</v>
      </c>
      <c r="H29" s="61">
        <f t="shared" si="8"/>
        <v>-6478720</v>
      </c>
      <c r="I29" s="39">
        <f t="shared" si="8"/>
        <v>-11472936</v>
      </c>
      <c r="J29" s="61">
        <f t="shared" si="8"/>
        <v>66001</v>
      </c>
      <c r="K29" s="154">
        <f t="shared" si="8"/>
        <v>102702.83000000002</v>
      </c>
      <c r="L29" s="61">
        <f t="shared" si="8"/>
        <v>-34921</v>
      </c>
      <c r="M29" s="39">
        <f t="shared" si="8"/>
        <v>-78500.430000000022</v>
      </c>
      <c r="N29" s="61">
        <f t="shared" si="8"/>
        <v>0</v>
      </c>
      <c r="O29" s="39">
        <f t="shared" si="8"/>
        <v>-0.02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5839</v>
      </c>
      <c r="U29" s="39">
        <f t="shared" si="8"/>
        <v>-14503.989999999991</v>
      </c>
      <c r="V29" s="61">
        <f t="shared" si="8"/>
        <v>-9712</v>
      </c>
      <c r="W29" s="39">
        <f t="shared" si="8"/>
        <v>-18786.540000000037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2.0000000018626451E-2</v>
      </c>
      <c r="AB29" s="61">
        <f t="shared" si="8"/>
        <v>0</v>
      </c>
      <c r="AC29" s="39">
        <f t="shared" si="8"/>
        <v>2.5</v>
      </c>
      <c r="AD29" s="61">
        <f t="shared" ref="AD29:AI29" si="9">SUM(AD27:AD28)</f>
        <v>0</v>
      </c>
      <c r="AE29" s="39">
        <f t="shared" si="9"/>
        <v>-1.38</v>
      </c>
      <c r="AF29" s="61">
        <f t="shared" si="9"/>
        <v>0</v>
      </c>
      <c r="AG29" s="39">
        <f t="shared" si="9"/>
        <v>1.1200000000000001</v>
      </c>
      <c r="AH29" s="61">
        <f t="shared" si="9"/>
        <v>0</v>
      </c>
      <c r="AI29" s="39">
        <f t="shared" si="9"/>
        <v>-0.98</v>
      </c>
      <c r="AJ29" s="61">
        <f t="shared" ref="AJ29:AO29" si="10">SUM(AJ27:AJ28)</f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SUM(F32,H32,J32,L32,N32,P32,R32,T32,V32,X32,Z32,AB32,AD32,AF32,AH32,AJ32,AL32,AN32,AP32,AR32)</f>
        <v>-75733</v>
      </c>
      <c r="E32" s="38">
        <f t="shared" si="11"/>
        <v>-122384.52899999998</v>
      </c>
      <c r="F32" s="84">
        <f>'TIE-OUT'!J32+RECLASS!J32</f>
        <v>0</v>
      </c>
      <c r="G32" s="85">
        <f>'TIE-OUT'!K32+RECLASS!K32</f>
        <v>0</v>
      </c>
      <c r="H32" s="133">
        <f>+Actuals!E56</f>
        <v>0</v>
      </c>
      <c r="I32" s="134">
        <f>+Actuals!F56</f>
        <v>0</v>
      </c>
      <c r="J32" s="133">
        <f>+Actuals!G56</f>
        <v>-78281</v>
      </c>
      <c r="K32" s="153">
        <f>+Actuals!H56</f>
        <v>-126502.09600000001</v>
      </c>
      <c r="L32" s="133">
        <f>+Actuals!I56</f>
        <v>-26026</v>
      </c>
      <c r="M32" s="134">
        <f>+Actuals!J56</f>
        <v>-71472.59</v>
      </c>
      <c r="N32" s="133">
        <f>+Actuals!K56</f>
        <v>-9550</v>
      </c>
      <c r="O32" s="134">
        <f>+Actuals!L56</f>
        <v>-70158.55</v>
      </c>
      <c r="P32" s="133">
        <f>+Actuals!M56</f>
        <v>140680</v>
      </c>
      <c r="Q32" s="134">
        <f>+Actuals!N56</f>
        <v>327921.70199999999</v>
      </c>
      <c r="R32" s="133">
        <f>+Actuals!O56</f>
        <v>-109567</v>
      </c>
      <c r="S32" s="134">
        <f>+Actuals!P56</f>
        <v>-247203.62700000001</v>
      </c>
      <c r="T32" s="133">
        <f>+Actuals!Q56</f>
        <v>0</v>
      </c>
      <c r="U32" s="134">
        <f>+Actuals!R56</f>
        <v>-28877.655999999999</v>
      </c>
      <c r="V32" s="133">
        <f>+Actuals!S56</f>
        <v>0</v>
      </c>
      <c r="W32" s="134">
        <f>+Actuals!T56</f>
        <v>-23499.295999999998</v>
      </c>
      <c r="X32" s="133">
        <f>+Actuals!U56</f>
        <v>0</v>
      </c>
      <c r="Y32" s="134">
        <f>+Actuals!V56</f>
        <v>106077.808</v>
      </c>
      <c r="Z32" s="133">
        <f>+Actuals!W56</f>
        <v>0</v>
      </c>
      <c r="AA32" s="134">
        <f>+Actuals!X56</f>
        <v>0</v>
      </c>
      <c r="AB32" s="133">
        <f>+Actuals!Y56</f>
        <v>-271</v>
      </c>
      <c r="AC32" s="134">
        <f>+Actuals!Z56</f>
        <v>-437.93599999999998</v>
      </c>
      <c r="AD32" s="133">
        <f>+Actuals!AA56</f>
        <v>-36003</v>
      </c>
      <c r="AE32" s="134">
        <f>+Actuals!AB56</f>
        <v>-58180.847999999998</v>
      </c>
      <c r="AF32" s="133">
        <f>+Actuals!AC56</f>
        <v>0</v>
      </c>
      <c r="AG32" s="134">
        <f>+Actuals!AD56</f>
        <v>0</v>
      </c>
      <c r="AH32" s="133">
        <f>+Actuals!AE56</f>
        <v>43285</v>
      </c>
      <c r="AI32" s="134">
        <f>+Actuals!AF56</f>
        <v>69948.56</v>
      </c>
      <c r="AJ32" s="133">
        <f>+Actuals!AG56</f>
        <v>0</v>
      </c>
      <c r="AK32" s="134">
        <f>+Actuals!AH56</f>
        <v>0</v>
      </c>
      <c r="AL32" s="133">
        <f>+Actuals!AI56</f>
        <v>0</v>
      </c>
      <c r="AM32" s="134">
        <f>+Actuals!AJ56</f>
        <v>0</v>
      </c>
      <c r="AN32" s="133">
        <f>+Actuals!AK56</f>
        <v>0</v>
      </c>
      <c r="AO32" s="134">
        <f>+Actuals!AL56</f>
        <v>0</v>
      </c>
      <c r="AP32" s="133">
        <f>+Actuals!AM56</f>
        <v>0</v>
      </c>
      <c r="AQ32" s="134">
        <f>+Actuals!AN56</f>
        <v>0</v>
      </c>
      <c r="AR32" s="133">
        <f>+Actuals!AO56</f>
        <v>0</v>
      </c>
      <c r="AS32" s="134">
        <f>+Actuals!AP56</f>
        <v>0</v>
      </c>
    </row>
    <row r="33" spans="1:4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  <c r="AJ33" s="133">
        <f>+Actuals!AG57</f>
        <v>0</v>
      </c>
      <c r="AK33" s="134">
        <f>+Actuals!AH57</f>
        <v>0</v>
      </c>
      <c r="AL33" s="133">
        <f>+Actuals!AI57</f>
        <v>0</v>
      </c>
      <c r="AM33" s="134">
        <f>+Actuals!AJ57</f>
        <v>0</v>
      </c>
      <c r="AN33" s="133">
        <f>+Actuals!AK57</f>
        <v>0</v>
      </c>
      <c r="AO33" s="134">
        <f>+Actuals!AL57</f>
        <v>0</v>
      </c>
      <c r="AP33" s="133">
        <f>+Actuals!AM57</f>
        <v>0</v>
      </c>
      <c r="AQ33" s="134">
        <f>+Actuals!AN57</f>
        <v>0</v>
      </c>
      <c r="AR33" s="133">
        <f>+Actuals!AO57</f>
        <v>0</v>
      </c>
      <c r="AS33" s="134">
        <f>+Actuals!AP57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  <c r="AJ34" s="133">
        <f>+Actuals!AG58</f>
        <v>0</v>
      </c>
      <c r="AK34" s="134">
        <f>+Actuals!AH58</f>
        <v>0</v>
      </c>
      <c r="AL34" s="133">
        <f>+Actuals!AI58</f>
        <v>0</v>
      </c>
      <c r="AM34" s="134">
        <f>+Actuals!AJ58</f>
        <v>0</v>
      </c>
      <c r="AN34" s="133">
        <f>+Actuals!AK58</f>
        <v>0</v>
      </c>
      <c r="AO34" s="134">
        <f>+Actuals!AL58</f>
        <v>0</v>
      </c>
      <c r="AP34" s="133">
        <f>+Actuals!AM58</f>
        <v>0</v>
      </c>
      <c r="AQ34" s="134">
        <f>+Actuals!AN58</f>
        <v>0</v>
      </c>
      <c r="AR34" s="133">
        <f>+Actuals!AO58</f>
        <v>0</v>
      </c>
      <c r="AS34" s="134">
        <f>+Actuals!AP58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  <c r="AJ35" s="133">
        <f>+Actuals!AG59</f>
        <v>0</v>
      </c>
      <c r="AK35" s="134">
        <f>+Actuals!AH59</f>
        <v>0</v>
      </c>
      <c r="AL35" s="133">
        <f>+Actuals!AI59</f>
        <v>0</v>
      </c>
      <c r="AM35" s="134">
        <f>+Actuals!AJ59</f>
        <v>0</v>
      </c>
      <c r="AN35" s="133">
        <f>+Actuals!AK59</f>
        <v>0</v>
      </c>
      <c r="AO35" s="134">
        <f>+Actuals!AL59</f>
        <v>0</v>
      </c>
      <c r="AP35" s="133">
        <f>+Actuals!AM59</f>
        <v>0</v>
      </c>
      <c r="AQ35" s="134">
        <f>+Actuals!AN59</f>
        <v>0</v>
      </c>
      <c r="AR35" s="133">
        <f>+Actuals!AO59</f>
        <v>0</v>
      </c>
      <c r="AS35" s="134">
        <f>+Actuals!AP59</f>
        <v>0</v>
      </c>
    </row>
    <row r="36" spans="1:45" x14ac:dyDescent="0.2">
      <c r="A36" s="9"/>
      <c r="B36" s="7" t="s">
        <v>47</v>
      </c>
      <c r="C36" s="6"/>
      <c r="D36" s="61">
        <f>SUM(D32:D35)</f>
        <v>-75733</v>
      </c>
      <c r="E36" s="39">
        <f>SUM(E32:E35)</f>
        <v>-122384.52899999998</v>
      </c>
      <c r="F36" s="59">
        <f t="shared" ref="F36:AC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-78281</v>
      </c>
      <c r="K36" s="154">
        <f t="shared" si="12"/>
        <v>-126502.09600000001</v>
      </c>
      <c r="L36" s="61">
        <f t="shared" si="12"/>
        <v>-26026</v>
      </c>
      <c r="M36" s="39">
        <f t="shared" si="12"/>
        <v>-71472.59</v>
      </c>
      <c r="N36" s="61">
        <f t="shared" si="12"/>
        <v>-9550</v>
      </c>
      <c r="O36" s="39">
        <f t="shared" si="12"/>
        <v>-70158.55</v>
      </c>
      <c r="P36" s="61">
        <f t="shared" si="12"/>
        <v>140680</v>
      </c>
      <c r="Q36" s="39">
        <f t="shared" si="12"/>
        <v>327921.70199999999</v>
      </c>
      <c r="R36" s="61">
        <f t="shared" si="12"/>
        <v>-109567</v>
      </c>
      <c r="S36" s="39">
        <f t="shared" si="12"/>
        <v>-247203.62700000001</v>
      </c>
      <c r="T36" s="61">
        <f t="shared" si="12"/>
        <v>0</v>
      </c>
      <c r="U36" s="39">
        <f t="shared" si="12"/>
        <v>-28877.655999999999</v>
      </c>
      <c r="V36" s="61">
        <f t="shared" si="12"/>
        <v>0</v>
      </c>
      <c r="W36" s="39">
        <f t="shared" si="12"/>
        <v>-23499.295999999998</v>
      </c>
      <c r="X36" s="61">
        <f t="shared" si="12"/>
        <v>0</v>
      </c>
      <c r="Y36" s="39">
        <f t="shared" si="12"/>
        <v>106077.808</v>
      </c>
      <c r="Z36" s="61">
        <f t="shared" si="12"/>
        <v>0</v>
      </c>
      <c r="AA36" s="39">
        <f t="shared" si="12"/>
        <v>0</v>
      </c>
      <c r="AB36" s="61">
        <f t="shared" si="12"/>
        <v>-271</v>
      </c>
      <c r="AC36" s="39">
        <f t="shared" si="12"/>
        <v>-437.93599999999998</v>
      </c>
      <c r="AD36" s="61">
        <f t="shared" ref="AD36:AI36" si="13">SUM(AD32:AD35)</f>
        <v>-36003</v>
      </c>
      <c r="AE36" s="39">
        <f t="shared" si="13"/>
        <v>-58180.847999999998</v>
      </c>
      <c r="AF36" s="61">
        <f t="shared" si="13"/>
        <v>0</v>
      </c>
      <c r="AG36" s="39">
        <f t="shared" si="13"/>
        <v>0</v>
      </c>
      <c r="AH36" s="61">
        <f t="shared" si="13"/>
        <v>43285</v>
      </c>
      <c r="AI36" s="39">
        <f t="shared" si="13"/>
        <v>69948.56</v>
      </c>
      <c r="AJ36" s="61">
        <f t="shared" ref="AJ36:AO36" si="14">SUM(AJ32:AJ35)</f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SUM(F39,H39,J39,L39,N39,P39,R39,T39,V39,X39,Z39,AB39,AD39,AF39,AH39,AJ39,AL39,AN39,AP39,AR39)</f>
        <v>977438</v>
      </c>
      <c r="E39" s="38">
        <f t="shared" si="15"/>
        <v>1607885.51</v>
      </c>
      <c r="F39" s="84">
        <f>'TIE-OUT'!J39+RECLASS!J39</f>
        <v>0</v>
      </c>
      <c r="G39" s="85">
        <f>'TIE-OUT'!K39+RECLASS!K39</f>
        <v>0</v>
      </c>
      <c r="H39" s="133">
        <f>+Actuals!E60</f>
        <v>0</v>
      </c>
      <c r="I39" s="134">
        <f>+Actuals!F60</f>
        <v>0</v>
      </c>
      <c r="J39" s="133">
        <f>+Actuals!G60</f>
        <v>1004820</v>
      </c>
      <c r="K39" s="153">
        <f>+Actuals!H60</f>
        <v>84513.36</v>
      </c>
      <c r="L39" s="133">
        <f>+Actuals!I60</f>
        <v>-27382</v>
      </c>
      <c r="M39" s="134">
        <f>+Actuals!J60</f>
        <v>1523372.15</v>
      </c>
      <c r="N39" s="133">
        <f>+Actuals!K60</f>
        <v>0</v>
      </c>
      <c r="O39" s="134">
        <f>+Actuals!L60</f>
        <v>0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  <c r="AJ39" s="133">
        <f>+Actuals!AG60</f>
        <v>0</v>
      </c>
      <c r="AK39" s="134">
        <f>+Actuals!AH60</f>
        <v>0</v>
      </c>
      <c r="AL39" s="133">
        <f>+Actuals!AI60</f>
        <v>0</v>
      </c>
      <c r="AM39" s="134">
        <f>+Actuals!AJ60</f>
        <v>0</v>
      </c>
      <c r="AN39" s="133">
        <f>+Actuals!AK60</f>
        <v>0</v>
      </c>
      <c r="AO39" s="134">
        <f>+Actuals!AL60</f>
        <v>0</v>
      </c>
      <c r="AP39" s="133">
        <f>+Actuals!AM60</f>
        <v>0</v>
      </c>
      <c r="AQ39" s="134">
        <f>+Actuals!AN60</f>
        <v>0</v>
      </c>
      <c r="AR39" s="133">
        <f>+Actuals!AO60</f>
        <v>0</v>
      </c>
      <c r="AS39" s="134">
        <f>+Actuals!AP60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5"/>
        <v>-720794</v>
      </c>
      <c r="E40" s="38">
        <f t="shared" si="15"/>
        <v>-1185706.1300000001</v>
      </c>
      <c r="F40" s="58">
        <f>'TIE-OUT'!J40+RECLASS!J40</f>
        <v>0</v>
      </c>
      <c r="G40" s="15">
        <f>'TIE-OUT'!K40+RECLASS!K40</f>
        <v>0</v>
      </c>
      <c r="H40" s="133">
        <f>+Actuals!E61</f>
        <v>0</v>
      </c>
      <c r="I40" s="134">
        <f>+Actuals!F61</f>
        <v>0</v>
      </c>
      <c r="J40" s="133">
        <f>+Actuals!G61</f>
        <v>-740661</v>
      </c>
      <c r="K40" s="153">
        <f>+Actuals!H61</f>
        <v>-193210.96</v>
      </c>
      <c r="L40" s="133">
        <f>+Actuals!I61</f>
        <v>19867</v>
      </c>
      <c r="M40" s="134">
        <f>+Actuals!J61</f>
        <v>-992495.17</v>
      </c>
      <c r="N40" s="133">
        <f>+Actuals!K61</f>
        <v>0</v>
      </c>
      <c r="O40" s="134">
        <f>+Actuals!L61</f>
        <v>0</v>
      </c>
      <c r="P40" s="133">
        <f>+Actuals!M61</f>
        <v>0</v>
      </c>
      <c r="Q40" s="134">
        <f>+Actuals!N61</f>
        <v>0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  <c r="AJ40" s="133">
        <f>+Actuals!AG61</f>
        <v>0</v>
      </c>
      <c r="AK40" s="134">
        <f>+Actuals!AH61</f>
        <v>0</v>
      </c>
      <c r="AL40" s="133">
        <f>+Actuals!AI61</f>
        <v>0</v>
      </c>
      <c r="AM40" s="134">
        <f>+Actuals!AJ61</f>
        <v>0</v>
      </c>
      <c r="AN40" s="133">
        <f>+Actuals!AK61</f>
        <v>0</v>
      </c>
      <c r="AO40" s="134">
        <f>+Actuals!AL61</f>
        <v>0</v>
      </c>
      <c r="AP40" s="133">
        <f>+Actuals!AM61</f>
        <v>0</v>
      </c>
      <c r="AQ40" s="134">
        <f>+Actuals!AN61</f>
        <v>0</v>
      </c>
      <c r="AR40" s="133">
        <f>+Actuals!AO61</f>
        <v>0</v>
      </c>
      <c r="AS40" s="134">
        <f>+Actuals!AP61</f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  <c r="AJ41" s="133">
        <f>+Actuals!AG62</f>
        <v>0</v>
      </c>
      <c r="AK41" s="134">
        <f>+Actuals!AH62</f>
        <v>0</v>
      </c>
      <c r="AL41" s="133">
        <f>+Actuals!AI62</f>
        <v>0</v>
      </c>
      <c r="AM41" s="134">
        <f>+Actuals!AJ62</f>
        <v>0</v>
      </c>
      <c r="AN41" s="133">
        <f>+Actuals!AK62</f>
        <v>0</v>
      </c>
      <c r="AO41" s="134">
        <f>+Actuals!AL62</f>
        <v>0</v>
      </c>
      <c r="AP41" s="133">
        <f>+Actuals!AM62</f>
        <v>0</v>
      </c>
      <c r="AQ41" s="134">
        <f>+Actuals!AN62</f>
        <v>0</v>
      </c>
      <c r="AR41" s="133">
        <f>+Actuals!AO62</f>
        <v>0</v>
      </c>
      <c r="AS41" s="134">
        <f>+Actuals!AP62</f>
        <v>0</v>
      </c>
    </row>
    <row r="42" spans="1:45" x14ac:dyDescent="0.2">
      <c r="A42" s="9"/>
      <c r="B42" s="7"/>
      <c r="C42" s="53" t="s">
        <v>52</v>
      </c>
      <c r="D42" s="61">
        <f>SUM(D40:D41)</f>
        <v>-720794</v>
      </c>
      <c r="E42" s="39">
        <f>SUM(E40:E41)</f>
        <v>-1185706.1300000001</v>
      </c>
      <c r="F42" s="59">
        <f t="shared" ref="F42:AC42" si="16">SUM(F40:F41)</f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-740661</v>
      </c>
      <c r="K42" s="154">
        <f t="shared" si="16"/>
        <v>-193210.96</v>
      </c>
      <c r="L42" s="61">
        <f t="shared" si="16"/>
        <v>19867</v>
      </c>
      <c r="M42" s="39">
        <f t="shared" si="16"/>
        <v>-992495.17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ref="AD42:AI42" si="17">SUM(AD40:AD41)</f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ref="AJ42:AO42" si="18">SUM(AJ40:AJ41)</f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>D42+D39</f>
        <v>256644</v>
      </c>
      <c r="E43" s="39">
        <f>E42+E39</f>
        <v>422179.37999999989</v>
      </c>
      <c r="F43" s="59">
        <f t="shared" ref="F43:AC43" si="19">F42+F39</f>
        <v>0</v>
      </c>
      <c r="G43" s="23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264159</v>
      </c>
      <c r="K43" s="154">
        <f t="shared" si="19"/>
        <v>-108697.59999999999</v>
      </c>
      <c r="L43" s="61">
        <f t="shared" si="19"/>
        <v>-7515</v>
      </c>
      <c r="M43" s="39">
        <f t="shared" si="19"/>
        <v>530876.97999999986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ref="AD43:AI43" si="20">AD42+AD39</f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ref="AJ43:AO43" si="21">AJ42+AJ39</f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2">SUM(F45,H45,J45,L45,N45,P45,R45,T45,V45,X45,Z45,AB45,AD45,AF45,AH45,AJ45,AL45,AN45,AP45,AR45)</f>
        <v>-27044</v>
      </c>
      <c r="E45" s="38">
        <f t="shared" si="22"/>
        <v>-46231.18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-27044</v>
      </c>
      <c r="K45" s="153">
        <f>+Actuals!H63</f>
        <v>-52194.92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5965.9</v>
      </c>
      <c r="X45" s="133">
        <f>+Actuals!U63</f>
        <v>0</v>
      </c>
      <c r="Y45" s="134">
        <f>+Actuals!V63</f>
        <v>0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-1.08</v>
      </c>
      <c r="AF45" s="133">
        <f>+Actuals!AC63</f>
        <v>0</v>
      </c>
      <c r="AG45" s="134">
        <f>+Actuals!AD63</f>
        <v>-1.08</v>
      </c>
      <c r="AH45" s="133">
        <f>+Actuals!AE63</f>
        <v>0</v>
      </c>
      <c r="AI45" s="134">
        <f>+Actuals!AF63</f>
        <v>0</v>
      </c>
      <c r="AJ45" s="133">
        <f>+Actuals!AG63</f>
        <v>0</v>
      </c>
      <c r="AK45" s="134">
        <f>+Actuals!AH63</f>
        <v>0</v>
      </c>
      <c r="AL45" s="133">
        <f>+Actuals!AI63</f>
        <v>0</v>
      </c>
      <c r="AM45" s="134">
        <f>+Actuals!AJ63</f>
        <v>0</v>
      </c>
      <c r="AN45" s="133">
        <f>+Actuals!AK63</f>
        <v>0</v>
      </c>
      <c r="AO45" s="134">
        <f>+Actuals!AL63</f>
        <v>0</v>
      </c>
      <c r="AP45" s="133">
        <f>+Actuals!AM63</f>
        <v>0</v>
      </c>
      <c r="AQ45" s="134">
        <f>+Actuals!AN63</f>
        <v>0</v>
      </c>
      <c r="AR45" s="133">
        <f>+Actuals!AO63</f>
        <v>0</v>
      </c>
      <c r="AS45" s="134">
        <f>+Actuals!AP63</f>
        <v>0</v>
      </c>
    </row>
    <row r="46" spans="1:45" x14ac:dyDescent="0.2">
      <c r="A46" s="9"/>
      <c r="B46" s="11"/>
      <c r="C46" s="6"/>
      <c r="D46" s="60">
        <f t="shared" si="22"/>
        <v>0</v>
      </c>
      <c r="E46" s="38">
        <f t="shared" si="22"/>
        <v>0</v>
      </c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2"/>
        <v>0</v>
      </c>
      <c r="E47" s="38">
        <f t="shared" si="22"/>
        <v>0</v>
      </c>
      <c r="F47" s="58">
        <f>'TIE-OUT'!J47+RECLASS!J47</f>
        <v>0</v>
      </c>
      <c r="G47" s="15">
        <f>'TIE-OUT'!K47+RECLASS!K47</f>
        <v>0</v>
      </c>
      <c r="H47" s="133">
        <f>+Actuals!E64</f>
        <v>0</v>
      </c>
      <c r="I47" s="134">
        <f>+Actuals!F64</f>
        <v>0</v>
      </c>
      <c r="J47" s="133">
        <f>+Actuals!G64</f>
        <v>72123</v>
      </c>
      <c r="K47" s="153">
        <f>+Actuals!H64</f>
        <v>118281.72</v>
      </c>
      <c r="L47" s="133">
        <f>+Actuals!I64</f>
        <v>0</v>
      </c>
      <c r="M47" s="134">
        <f>+Actuals!J64</f>
        <v>0</v>
      </c>
      <c r="N47" s="133">
        <f>+Actuals!K64</f>
        <v>0</v>
      </c>
      <c r="O47" s="134">
        <f>+Actuals!L64</f>
        <v>0</v>
      </c>
      <c r="P47" s="133">
        <f>+Actuals!M64</f>
        <v>-72123</v>
      </c>
      <c r="Q47" s="134">
        <f>+Actuals!N64</f>
        <v>-118281.72</v>
      </c>
      <c r="R47" s="133">
        <f>+Actuals!O64</f>
        <v>0</v>
      </c>
      <c r="S47" s="134">
        <f>+Actuals!P64</f>
        <v>0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  <c r="AJ47" s="133">
        <f>+Actuals!AG64</f>
        <v>0</v>
      </c>
      <c r="AK47" s="134">
        <f>+Actuals!AH64</f>
        <v>0</v>
      </c>
      <c r="AL47" s="133">
        <f>+Actuals!AI64</f>
        <v>0</v>
      </c>
      <c r="AM47" s="134">
        <f>+Actuals!AJ64</f>
        <v>0</v>
      </c>
      <c r="AN47" s="133">
        <f>+Actuals!AK64</f>
        <v>0</v>
      </c>
      <c r="AO47" s="134">
        <f>+Actuals!AL64</f>
        <v>0</v>
      </c>
      <c r="AP47" s="133">
        <f>+Actuals!AM64</f>
        <v>0</v>
      </c>
      <c r="AQ47" s="134">
        <f>+Actuals!AN64</f>
        <v>0</v>
      </c>
      <c r="AR47" s="133">
        <f>+Actuals!AO64</f>
        <v>0</v>
      </c>
      <c r="AS47" s="134">
        <f>+Actuals!AP64</f>
        <v>0</v>
      </c>
    </row>
    <row r="48" spans="1:45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69611</v>
      </c>
      <c r="E49" s="38">
        <f>SUM(G49,I49,K49,M49,O49,Q49,S49,U49,W49,Y49,AA49,AC49,AE49,AG49,AI49,AK49,AM49,AO49,AQ49,AS49)</f>
        <v>112491.37199999992</v>
      </c>
      <c r="F49" s="58">
        <f>'TIE-OUT'!J49+RECLASS!J49</f>
        <v>0</v>
      </c>
      <c r="G49" s="15">
        <f>'TIE-OUT'!K49+RECLASS!K49</f>
        <v>0</v>
      </c>
      <c r="H49" s="133">
        <f>+Actuals!E65</f>
        <v>258441</v>
      </c>
      <c r="I49" s="134">
        <f>+Actuals!F65</f>
        <v>417640.65600000002</v>
      </c>
      <c r="J49" s="133">
        <f>+Actuals!G65</f>
        <v>-356160</v>
      </c>
      <c r="K49" s="153">
        <f>+Actuals!H65</f>
        <v>-575554.56400000001</v>
      </c>
      <c r="L49" s="133">
        <f>+Actuals!I65</f>
        <v>217574</v>
      </c>
      <c r="M49" s="134">
        <f>+Actuals!J65</f>
        <v>351599.58399999997</v>
      </c>
      <c r="N49" s="133">
        <f>+Actuals!K65</f>
        <v>81673</v>
      </c>
      <c r="O49" s="134">
        <f>+Actuals!L65</f>
        <v>131983.568</v>
      </c>
      <c r="P49" s="133">
        <f>+Actuals!M65</f>
        <v>-281360</v>
      </c>
      <c r="Q49" s="134">
        <f>+Actuals!N65</f>
        <v>-454677.76000000001</v>
      </c>
      <c r="R49" s="133">
        <f>+Actuals!O65</f>
        <v>109567</v>
      </c>
      <c r="S49" s="134">
        <f>+Actuals!P65</f>
        <v>177060.272</v>
      </c>
      <c r="T49" s="133">
        <f>+Actuals!Q65</f>
        <v>-5839</v>
      </c>
      <c r="U49" s="134">
        <f>+Actuals!R65</f>
        <v>-9435.8240000000005</v>
      </c>
      <c r="V49" s="133">
        <f>+Actuals!S65</f>
        <v>9712</v>
      </c>
      <c r="W49" s="134">
        <f>+Actuals!T65</f>
        <v>15694.592000000001</v>
      </c>
      <c r="X49" s="133">
        <f>+Actuals!U65</f>
        <v>0</v>
      </c>
      <c r="Y49" s="134">
        <f>+Actuals!V65</f>
        <v>0</v>
      </c>
      <c r="Z49" s="133">
        <f>+Actuals!W65</f>
        <v>0</v>
      </c>
      <c r="AA49" s="134">
        <f>+Actuals!X65</f>
        <v>0</v>
      </c>
      <c r="AB49" s="133">
        <f>+Actuals!Y65</f>
        <v>0</v>
      </c>
      <c r="AC49" s="134">
        <f>+Actuals!Z65</f>
        <v>0</v>
      </c>
      <c r="AD49" s="133">
        <f>+Actuals!AA65</f>
        <v>36003</v>
      </c>
      <c r="AE49" s="134">
        <f>+Actuals!AB65</f>
        <v>58180.847999999998</v>
      </c>
      <c r="AF49" s="133">
        <f>+Actuals!AC65</f>
        <v>43285</v>
      </c>
      <c r="AG49" s="134">
        <f>+Actuals!AD65</f>
        <v>69948.56</v>
      </c>
      <c r="AH49" s="133">
        <f>+Actuals!AE65</f>
        <v>-43285</v>
      </c>
      <c r="AI49" s="134">
        <f>+Actuals!AF65</f>
        <v>-69948.56</v>
      </c>
      <c r="AJ49" s="133">
        <f>+Actuals!AG65</f>
        <v>0</v>
      </c>
      <c r="AK49" s="134">
        <f>+Actuals!AH65</f>
        <v>0</v>
      </c>
      <c r="AL49" s="133">
        <f>+Actuals!AI65</f>
        <v>0</v>
      </c>
      <c r="AM49" s="134">
        <f>+Actuals!AJ65</f>
        <v>0</v>
      </c>
      <c r="AN49" s="133">
        <f>+Actuals!AK65</f>
        <v>0</v>
      </c>
      <c r="AO49" s="134">
        <f>+Actuals!AL65</f>
        <v>0</v>
      </c>
      <c r="AP49" s="133">
        <f>+Actuals!AM65</f>
        <v>0</v>
      </c>
      <c r="AQ49" s="134">
        <f>+Actuals!AN65</f>
        <v>0</v>
      </c>
      <c r="AR49" s="133">
        <f>+Actuals!AO65</f>
        <v>0</v>
      </c>
      <c r="AS49" s="134">
        <f>+Actuals!AP65</f>
        <v>0</v>
      </c>
    </row>
    <row r="50" spans="1:45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-29238</v>
      </c>
      <c r="E51" s="38">
        <f>SUM(G51,I51,K51,M51,O51,Q51,S51,U51,W51,Y51,AA51,AC51,AE51,AG51,AI51,AK51,AM51,AO51,AQ51,AS51)</f>
        <v>-51797.440000000002</v>
      </c>
      <c r="F51" s="58">
        <f>'TIE-OUT'!J51+RECLASS!J51</f>
        <v>0</v>
      </c>
      <c r="G51" s="15">
        <f>'TIE-OUT'!K51+RECLASS!K51</f>
        <v>0</v>
      </c>
      <c r="H51" s="133">
        <f>+Actuals!E66</f>
        <v>0</v>
      </c>
      <c r="I51" s="134">
        <f>+Actuals!F66</f>
        <v>0</v>
      </c>
      <c r="J51" s="133">
        <f>+Actuals!G66</f>
        <v>-27038</v>
      </c>
      <c r="K51" s="153">
        <f>+Actuals!H66</f>
        <v>-47535.51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-2200</v>
      </c>
      <c r="W51" s="134">
        <f>+Actuals!T66-1818</f>
        <v>-4261.93</v>
      </c>
      <c r="X51" s="133">
        <f>+Actuals!U66</f>
        <v>0</v>
      </c>
      <c r="Y51" s="134">
        <f>+Actuals!V66</f>
        <v>0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  <c r="AJ51" s="133">
        <f>+Actuals!AG66</f>
        <v>0</v>
      </c>
      <c r="AK51" s="134">
        <f>+Actuals!AH66</f>
        <v>0</v>
      </c>
      <c r="AL51" s="133">
        <f>+Actuals!AI66</f>
        <v>0</v>
      </c>
      <c r="AM51" s="134">
        <f>+Actuals!AJ66</f>
        <v>0</v>
      </c>
      <c r="AN51" s="133">
        <f>+Actuals!AK66</f>
        <v>0</v>
      </c>
      <c r="AO51" s="134">
        <f>+Actuals!AL66</f>
        <v>0</v>
      </c>
      <c r="AP51" s="133">
        <f>+Actuals!AM66</f>
        <v>0</v>
      </c>
      <c r="AQ51" s="134">
        <f>+Actuals!AN66</f>
        <v>0</v>
      </c>
      <c r="AR51" s="133">
        <f>+Actuals!AO66</f>
        <v>0</v>
      </c>
      <c r="AS51" s="134">
        <f>+Actuals!AP66</f>
        <v>0</v>
      </c>
    </row>
    <row r="52" spans="1:45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0</v>
      </c>
      <c r="E54" s="38">
        <f>SUM(G54,I54,K54,M54,O54,Q54,S54,U54,W54,Y54,AA54,AC54,AE54,AG54,AI54,AK54,AM54,AO54,AQ54,AS54)</f>
        <v>52201.599999999999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47040.88</v>
      </c>
      <c r="J54" s="133">
        <f>+Actuals!G67</f>
        <v>0</v>
      </c>
      <c r="K54" s="153">
        <f>+Actuals!H67</f>
        <v>0</v>
      </c>
      <c r="L54" s="133">
        <f>+Actuals!I67</f>
        <v>0</v>
      </c>
      <c r="M54" s="134">
        <f>+Actuals!J67</f>
        <v>5160.72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  <c r="AJ54" s="133">
        <f>+Actuals!AG67</f>
        <v>0</v>
      </c>
      <c r="AK54" s="134">
        <f>+Actuals!AH67</f>
        <v>0</v>
      </c>
      <c r="AL54" s="133">
        <f>+Actuals!AI67</f>
        <v>0</v>
      </c>
      <c r="AM54" s="134">
        <f>+Actuals!AJ67</f>
        <v>0</v>
      </c>
      <c r="AN54" s="133">
        <f>+Actuals!AK67</f>
        <v>0</v>
      </c>
      <c r="AO54" s="134">
        <f>+Actuals!AL67</f>
        <v>0</v>
      </c>
      <c r="AP54" s="133">
        <f>+Actuals!AM67</f>
        <v>0</v>
      </c>
      <c r="AQ54" s="134">
        <f>+Actuals!AN67</f>
        <v>0</v>
      </c>
      <c r="AR54" s="133">
        <f>+Actuals!AO67</f>
        <v>0</v>
      </c>
      <c r="AS54" s="134">
        <f>+Actuals!AP67</f>
        <v>0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170000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+Actuals!F68+170000</f>
        <v>170000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  <c r="AJ55" s="133">
        <f>+Actuals!AG68</f>
        <v>0</v>
      </c>
      <c r="AK55" s="134">
        <f>+Actuals!AH68</f>
        <v>0</v>
      </c>
      <c r="AL55" s="133">
        <f>+Actuals!AI68</f>
        <v>0</v>
      </c>
      <c r="AM55" s="134">
        <f>+Actuals!AJ68</f>
        <v>0</v>
      </c>
      <c r="AN55" s="133">
        <f>+Actuals!AK68</f>
        <v>0</v>
      </c>
      <c r="AO55" s="134">
        <f>+Actuals!AL68</f>
        <v>0</v>
      </c>
      <c r="AP55" s="133">
        <f>+Actuals!AM68</f>
        <v>0</v>
      </c>
      <c r="AQ55" s="134">
        <f>+Actuals!AN68</f>
        <v>0</v>
      </c>
      <c r="AR55" s="133">
        <f>+Actuals!AO68</f>
        <v>0</v>
      </c>
      <c r="AS55" s="134">
        <f>+Actuals!AP68</f>
        <v>0</v>
      </c>
    </row>
    <row r="56" spans="1:4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222201.60000000001</v>
      </c>
      <c r="F56" s="59">
        <f t="shared" ref="F56:AC56" si="23">SUM(F54:F55)</f>
        <v>0</v>
      </c>
      <c r="G56" s="23">
        <f t="shared" si="23"/>
        <v>0</v>
      </c>
      <c r="H56" s="61">
        <f t="shared" si="23"/>
        <v>0</v>
      </c>
      <c r="I56" s="39">
        <f t="shared" si="23"/>
        <v>217040.88</v>
      </c>
      <c r="J56" s="61">
        <f t="shared" si="23"/>
        <v>0</v>
      </c>
      <c r="K56" s="154">
        <f t="shared" si="23"/>
        <v>0</v>
      </c>
      <c r="L56" s="61">
        <f t="shared" si="23"/>
        <v>0</v>
      </c>
      <c r="M56" s="39">
        <f t="shared" si="23"/>
        <v>5160.72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ref="AJ56:AO56" si="25">SUM(AJ54:AJ55)</f>
        <v>0</v>
      </c>
      <c r="AK56" s="39">
        <f t="shared" si="25"/>
        <v>0</v>
      </c>
      <c r="AL56" s="61">
        <f t="shared" si="25"/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3063827</v>
      </c>
      <c r="E59" s="38">
        <f>SUM(G59,I59,K59,M59,O59,Q59,S59,U59,W59,Y59,AA59,AC59,AE59,AG59,AI59,AK59,AM59,AO59,AQ59,AS59)</f>
        <v>61405.760000000002</v>
      </c>
      <c r="F59" s="84">
        <f>'TIE-OUT'!J59+RECLASS!J59</f>
        <v>0</v>
      </c>
      <c r="G59" s="85">
        <f>'TIE-OUT'!K59+RECLASS!K59</f>
        <v>0</v>
      </c>
      <c r="H59" s="133">
        <f>+Actuals!E69</f>
        <v>3301788</v>
      </c>
      <c r="I59" s="134">
        <f>+Actuals!F69</f>
        <v>51770.98</v>
      </c>
      <c r="J59" s="133">
        <f>+Actuals!G69</f>
        <v>-106007</v>
      </c>
      <c r="K59" s="153">
        <f>+Actuals!H69</f>
        <v>9725.02</v>
      </c>
      <c r="L59" s="133">
        <f>+Actuals!I69</f>
        <v>-136741</v>
      </c>
      <c r="M59" s="134">
        <f>+Actuals!J69</f>
        <v>0</v>
      </c>
      <c r="N59" s="133">
        <f>+Actuals!K69</f>
        <v>-20201</v>
      </c>
      <c r="O59" s="134">
        <f>+Actuals!L69</f>
        <v>-90.24</v>
      </c>
      <c r="P59" s="133">
        <f>+Actuals!M69</f>
        <v>24717</v>
      </c>
      <c r="Q59" s="134">
        <f>+Actuals!N69</f>
        <v>0</v>
      </c>
      <c r="R59" s="133">
        <f>+Actuals!O69</f>
        <v>0</v>
      </c>
      <c r="S59" s="134">
        <f>+Actuals!P69</f>
        <v>0</v>
      </c>
      <c r="T59" s="133">
        <f>+Actuals!Q69</f>
        <v>0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271</v>
      </c>
      <c r="AC59" s="134">
        <f>+Actuals!Z69</f>
        <v>0</v>
      </c>
      <c r="AD59" s="133">
        <f>+Actuals!AA69</f>
        <v>0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  <c r="AJ59" s="133">
        <f>+Actuals!AG69</f>
        <v>0</v>
      </c>
      <c r="AK59" s="134">
        <f>+Actuals!AH69</f>
        <v>0</v>
      </c>
      <c r="AL59" s="133">
        <f>+Actuals!AI69</f>
        <v>0</v>
      </c>
      <c r="AM59" s="134">
        <f>+Actuals!AJ69</f>
        <v>0</v>
      </c>
      <c r="AN59" s="133">
        <f>+Actuals!AK69</f>
        <v>0</v>
      </c>
      <c r="AO59" s="134">
        <f>+Actuals!AL69</f>
        <v>0</v>
      </c>
      <c r="AP59" s="133">
        <f>+Actuals!AM69</f>
        <v>0</v>
      </c>
      <c r="AQ59" s="134">
        <f>+Actuals!AN69</f>
        <v>0</v>
      </c>
      <c r="AR59" s="133">
        <f>+Actuals!AO69</f>
        <v>0</v>
      </c>
      <c r="AS59" s="134">
        <f>+Actuals!AP69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</f>
        <v>0</v>
      </c>
      <c r="J60" s="133">
        <f>+Actuals!G70</f>
        <v>0</v>
      </c>
      <c r="K60" s="153">
        <f>+Actuals!H70</f>
        <v>0</v>
      </c>
      <c r="L60" s="133">
        <f>+Actuals!I70</f>
        <v>0</v>
      </c>
      <c r="M60" s="134">
        <f>+Actuals!J70</f>
        <v>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</f>
        <v>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  <c r="AJ60" s="133">
        <f>+Actuals!AG70</f>
        <v>0</v>
      </c>
      <c r="AK60" s="134">
        <f>+Actuals!AH70</f>
        <v>0</v>
      </c>
      <c r="AL60" s="133">
        <f>+Actuals!AI70</f>
        <v>0</v>
      </c>
      <c r="AM60" s="134">
        <f>+Actuals!AJ70</f>
        <v>0</v>
      </c>
      <c r="AN60" s="133">
        <f>+Actuals!AK70</f>
        <v>0</v>
      </c>
      <c r="AO60" s="134">
        <f>+Actuals!AL70</f>
        <v>0</v>
      </c>
      <c r="AP60" s="133">
        <f>+Actuals!AM70</f>
        <v>0</v>
      </c>
      <c r="AQ60" s="134">
        <f>+Actuals!AN70</f>
        <v>0</v>
      </c>
      <c r="AR60" s="133">
        <f>+Actuals!AO70</f>
        <v>0</v>
      </c>
      <c r="AS60" s="134">
        <f>+Actuals!AP70</f>
        <v>0</v>
      </c>
    </row>
    <row r="61" spans="1:45" x14ac:dyDescent="0.2">
      <c r="A61" s="9"/>
      <c r="B61" s="62" t="s">
        <v>65</v>
      </c>
      <c r="C61" s="6"/>
      <c r="D61" s="61">
        <f>SUM(D59:D60)</f>
        <v>3063827</v>
      </c>
      <c r="E61" s="39">
        <f>SUM(E59:E60)</f>
        <v>61405.760000000002</v>
      </c>
      <c r="F61" s="59">
        <f t="shared" ref="F61:AC61" si="26">SUM(F59:F60)</f>
        <v>0</v>
      </c>
      <c r="G61" s="23">
        <f t="shared" si="26"/>
        <v>0</v>
      </c>
      <c r="H61" s="61">
        <f t="shared" si="26"/>
        <v>3301788</v>
      </c>
      <c r="I61" s="39">
        <f t="shared" si="26"/>
        <v>51770.98</v>
      </c>
      <c r="J61" s="61">
        <f t="shared" si="26"/>
        <v>-106007</v>
      </c>
      <c r="K61" s="154">
        <f t="shared" si="26"/>
        <v>9725.02</v>
      </c>
      <c r="L61" s="61">
        <f t="shared" si="26"/>
        <v>-136741</v>
      </c>
      <c r="M61" s="39">
        <f t="shared" si="26"/>
        <v>0</v>
      </c>
      <c r="N61" s="61">
        <f t="shared" si="26"/>
        <v>-20201</v>
      </c>
      <c r="O61" s="39">
        <f t="shared" si="26"/>
        <v>-90.24</v>
      </c>
      <c r="P61" s="61">
        <f t="shared" si="26"/>
        <v>24717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271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ref="AJ61:AO61" si="28">SUM(AJ59:AJ60)</f>
        <v>0</v>
      </c>
      <c r="AK61" s="39">
        <f t="shared" si="28"/>
        <v>0</v>
      </c>
      <c r="AL61" s="61">
        <f t="shared" si="28"/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SUM(F63,H63,J63,L63,N63,P63,R63,T63,V63,X63,Z63,AB63,AD63,AF63,AH63,AJ63,AL63,AN63,AP63,AR63)</f>
        <v>0</v>
      </c>
      <c r="E63" s="38">
        <f t="shared" si="29"/>
        <v>0</v>
      </c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29"/>
        <v>-20232882</v>
      </c>
      <c r="E64" s="38">
        <f t="shared" si="29"/>
        <v>-2478760.2799999993</v>
      </c>
      <c r="F64" s="84">
        <f>'TIE-OUT'!J64+RECLASS!J64</f>
        <v>0</v>
      </c>
      <c r="G64" s="85">
        <f>'TIE-OUT'!K64+RECLASS!K64</f>
        <v>0</v>
      </c>
      <c r="H64" s="133">
        <f>+Actuals!E71</f>
        <v>-13844588</v>
      </c>
      <c r="I64" s="134">
        <f>+Actuals!F71</f>
        <v>-2074179.05</v>
      </c>
      <c r="J64" s="133">
        <f>+Actuals!G71</f>
        <v>-6642245</v>
      </c>
      <c r="K64" s="153">
        <f>+Actuals!H71</f>
        <v>-648699.80000000005</v>
      </c>
      <c r="L64" s="133">
        <f>+Actuals!I71</f>
        <v>16975</v>
      </c>
      <c r="M64" s="134">
        <f>+Actuals!J71</f>
        <v>15728.39</v>
      </c>
      <c r="N64" s="133">
        <f>+Actuals!K71</f>
        <v>0</v>
      </c>
      <c r="O64" s="134">
        <f>+Actuals!L71</f>
        <v>205468.06</v>
      </c>
      <c r="P64" s="133">
        <f>+Actuals!M71</f>
        <v>146842</v>
      </c>
      <c r="Q64" s="134">
        <f>+Actuals!N71</f>
        <v>15962.55</v>
      </c>
      <c r="R64" s="133">
        <f>+Actuals!O71</f>
        <v>0</v>
      </c>
      <c r="S64" s="134">
        <f>+Actuals!P71</f>
        <v>-0.01</v>
      </c>
      <c r="T64" s="133">
        <f>+Actuals!Q71</f>
        <v>-7294</v>
      </c>
      <c r="U64" s="134">
        <f>+Actuals!R71</f>
        <v>-729.4</v>
      </c>
      <c r="V64" s="133">
        <f>+Actuals!S71</f>
        <v>0</v>
      </c>
      <c r="W64" s="134">
        <f>+Actuals!T71</f>
        <v>915265.97</v>
      </c>
      <c r="X64" s="133">
        <f>+Actuals!U71</f>
        <v>-26251</v>
      </c>
      <c r="Y64" s="134">
        <f>+Actuals!V71</f>
        <v>-917891.08</v>
      </c>
      <c r="Z64" s="133">
        <f>+Actuals!W71</f>
        <v>123679</v>
      </c>
      <c r="AA64" s="134">
        <f>+Actuals!X71</f>
        <v>12367.91</v>
      </c>
      <c r="AB64" s="133">
        <f>+Actuals!Y71</f>
        <v>0</v>
      </c>
      <c r="AC64" s="134">
        <f>+Actuals!Z71</f>
        <v>-0.01</v>
      </c>
      <c r="AD64" s="133">
        <f>+Actuals!AA71</f>
        <v>0</v>
      </c>
      <c r="AE64" s="134">
        <f>+Actuals!AB71</f>
        <v>0</v>
      </c>
      <c r="AF64" s="133">
        <f>+Actuals!AC71</f>
        <v>0</v>
      </c>
      <c r="AG64" s="134">
        <f>+Actuals!AD71</f>
        <v>0.01</v>
      </c>
      <c r="AH64" s="133">
        <f>+Actuals!AE71</f>
        <v>0</v>
      </c>
      <c r="AI64" s="134">
        <f>+Actuals!AF71</f>
        <v>0</v>
      </c>
      <c r="AJ64" s="133">
        <f>+Actuals!AG71</f>
        <v>0</v>
      </c>
      <c r="AK64" s="134">
        <f>+Actuals!AH71</f>
        <v>-2053.8200000000002</v>
      </c>
      <c r="AL64" s="133">
        <f>+Actuals!AI71</f>
        <v>0</v>
      </c>
      <c r="AM64" s="134">
        <f>+Actuals!AJ71</f>
        <v>0</v>
      </c>
      <c r="AN64" s="133">
        <f>+Actuals!AK71</f>
        <v>0</v>
      </c>
      <c r="AO64" s="134">
        <f>+Actuals!AL71</f>
        <v>0</v>
      </c>
      <c r="AP64" s="133">
        <f>+Actuals!AM71</f>
        <v>0</v>
      </c>
      <c r="AQ64" s="134">
        <f>+Actuals!AN71</f>
        <v>0</v>
      </c>
      <c r="AR64" s="133">
        <f>+Actuals!AO71</f>
        <v>0</v>
      </c>
      <c r="AS64" s="134">
        <f>+Actuals!AP71</f>
        <v>0</v>
      </c>
    </row>
    <row r="65" spans="1:45" x14ac:dyDescent="0.2">
      <c r="A65" s="9">
        <v>29</v>
      </c>
      <c r="B65" s="11"/>
      <c r="C65" s="18" t="s">
        <v>67</v>
      </c>
      <c r="D65" s="60">
        <f t="shared" si="29"/>
        <v>20411330</v>
      </c>
      <c r="E65" s="38">
        <f t="shared" si="29"/>
        <v>2465548.2799999998</v>
      </c>
      <c r="F65" s="98">
        <f>'TIE-OUT'!J65+RECLASS!J65</f>
        <v>0</v>
      </c>
      <c r="G65" s="99">
        <f>'TIE-OUT'!K65+RECLASS!K65</f>
        <v>0</v>
      </c>
      <c r="H65" s="133">
        <f>+Actuals!E72</f>
        <v>13684688</v>
      </c>
      <c r="I65" s="134">
        <f>+Actuals!F72</f>
        <v>1852221</v>
      </c>
      <c r="J65" s="133">
        <f>+Actuals!G72</f>
        <v>7066304</v>
      </c>
      <c r="K65" s="153">
        <f>+Actuals!H72-13212+450000</f>
        <v>647844.17000000004</v>
      </c>
      <c r="L65" s="133">
        <f>+Actuals!I72</f>
        <v>-108848</v>
      </c>
      <c r="M65" s="134">
        <f>+Actuals!J72</f>
        <v>-15779.32</v>
      </c>
      <c r="N65" s="133">
        <f>+Actuals!K72</f>
        <v>0</v>
      </c>
      <c r="O65" s="134">
        <f>+Actuals!L72</f>
        <v>0.01</v>
      </c>
      <c r="P65" s="133">
        <f>+Actuals!M72</f>
        <v>-140680</v>
      </c>
      <c r="Q65" s="134">
        <f>+Actuals!N72</f>
        <v>-11778</v>
      </c>
      <c r="R65" s="133">
        <f>+Actuals!O72</f>
        <v>0</v>
      </c>
      <c r="S65" s="134">
        <f>+Actuals!P72</f>
        <v>0</v>
      </c>
      <c r="T65" s="133">
        <f>+Actuals!Q72</f>
        <v>7294</v>
      </c>
      <c r="U65" s="134">
        <f>+Actuals!R72</f>
        <v>729.4</v>
      </c>
      <c r="V65" s="133">
        <f>+Actuals!S72</f>
        <v>0</v>
      </c>
      <c r="W65" s="134">
        <f>+Actuals!T72</f>
        <v>-915265.97</v>
      </c>
      <c r="X65" s="133">
        <f>+Actuals!U72</f>
        <v>26251</v>
      </c>
      <c r="Y65" s="134">
        <f>+Actuals!V72</f>
        <v>917891.07</v>
      </c>
      <c r="Z65" s="133">
        <f>+Actuals!W72</f>
        <v>-123679</v>
      </c>
      <c r="AA65" s="134">
        <f>+Actuals!X72</f>
        <v>-12367.9</v>
      </c>
      <c r="AB65" s="133">
        <f>+Actuals!Y72</f>
        <v>0</v>
      </c>
      <c r="AC65" s="134">
        <f>+Actuals!Z72</f>
        <v>0.01</v>
      </c>
      <c r="AD65" s="133">
        <f>+Actuals!AA72</f>
        <v>0</v>
      </c>
      <c r="AE65" s="134">
        <f>+Actuals!AB72</f>
        <v>-0.01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  <c r="AJ65" s="133">
        <f>+Actuals!AG72</f>
        <v>0</v>
      </c>
      <c r="AK65" s="134">
        <f>+Actuals!AH72</f>
        <v>0</v>
      </c>
      <c r="AL65" s="133">
        <f>+Actuals!AI72</f>
        <v>0</v>
      </c>
      <c r="AM65" s="134">
        <f>+Actuals!AJ72</f>
        <v>2053.8200000000002</v>
      </c>
      <c r="AN65" s="133">
        <f>+Actuals!AK72</f>
        <v>0</v>
      </c>
      <c r="AO65" s="134">
        <f>+Actuals!AL72</f>
        <v>0</v>
      </c>
      <c r="AP65" s="133">
        <f>+Actuals!AM72</f>
        <v>0</v>
      </c>
      <c r="AQ65" s="134">
        <f>+Actuals!AN72</f>
        <v>0</v>
      </c>
      <c r="AR65" s="133">
        <f>+Actuals!AO72</f>
        <v>0</v>
      </c>
      <c r="AS65" s="134">
        <f>+Actuals!AP72</f>
        <v>0</v>
      </c>
    </row>
    <row r="66" spans="1:45" x14ac:dyDescent="0.2">
      <c r="A66" s="9"/>
      <c r="B66" s="7" t="s">
        <v>68</v>
      </c>
      <c r="C66" s="6"/>
      <c r="D66" s="61">
        <f>SUM(D64:D65)</f>
        <v>178448</v>
      </c>
      <c r="E66" s="39">
        <f>SUM(E64:E65)</f>
        <v>-13211.999999999534</v>
      </c>
      <c r="F66" s="59">
        <f t="shared" ref="F66:AC66" si="30">SUM(F64:F65)</f>
        <v>0</v>
      </c>
      <c r="G66" s="23">
        <f t="shared" si="30"/>
        <v>0</v>
      </c>
      <c r="H66" s="61">
        <f t="shared" si="30"/>
        <v>-159900</v>
      </c>
      <c r="I66" s="39">
        <f t="shared" si="30"/>
        <v>-221958.05000000005</v>
      </c>
      <c r="J66" s="61">
        <f t="shared" si="30"/>
        <v>424059</v>
      </c>
      <c r="K66" s="154">
        <f t="shared" si="30"/>
        <v>-855.63000000000466</v>
      </c>
      <c r="L66" s="61">
        <f t="shared" si="30"/>
        <v>-91873</v>
      </c>
      <c r="M66" s="39">
        <f t="shared" si="30"/>
        <v>-50.930000000000291</v>
      </c>
      <c r="N66" s="61">
        <f t="shared" si="30"/>
        <v>0</v>
      </c>
      <c r="O66" s="39">
        <f t="shared" si="30"/>
        <v>205468.07</v>
      </c>
      <c r="P66" s="61">
        <f t="shared" si="30"/>
        <v>6162</v>
      </c>
      <c r="Q66" s="39">
        <f t="shared" si="30"/>
        <v>4184.5499999999993</v>
      </c>
      <c r="R66" s="61">
        <f t="shared" si="30"/>
        <v>0</v>
      </c>
      <c r="S66" s="39">
        <f t="shared" si="30"/>
        <v>-0.01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-1.0000000009313226E-2</v>
      </c>
      <c r="Z66" s="61">
        <f t="shared" si="30"/>
        <v>0</v>
      </c>
      <c r="AA66" s="39">
        <f t="shared" si="30"/>
        <v>1.0000000000218279E-2</v>
      </c>
      <c r="AB66" s="61">
        <f t="shared" si="30"/>
        <v>0</v>
      </c>
      <c r="AC66" s="39">
        <f t="shared" si="30"/>
        <v>0</v>
      </c>
      <c r="AD66" s="61">
        <f t="shared" ref="AD66:AI66" si="31">SUM(AD64:AD65)</f>
        <v>0</v>
      </c>
      <c r="AE66" s="39">
        <f t="shared" si="31"/>
        <v>-0.01</v>
      </c>
      <c r="AF66" s="61">
        <f t="shared" si="31"/>
        <v>0</v>
      </c>
      <c r="AG66" s="39">
        <f t="shared" si="31"/>
        <v>0.01</v>
      </c>
      <c r="AH66" s="61">
        <f t="shared" si="31"/>
        <v>0</v>
      </c>
      <c r="AI66" s="39">
        <f t="shared" si="31"/>
        <v>0</v>
      </c>
      <c r="AJ66" s="61">
        <f t="shared" ref="AJ66:AO66" si="32">SUM(AJ64:AJ65)</f>
        <v>0</v>
      </c>
      <c r="AK66" s="39">
        <f t="shared" si="32"/>
        <v>-2053.8200000000002</v>
      </c>
      <c r="AL66" s="61">
        <f t="shared" si="32"/>
        <v>0</v>
      </c>
      <c r="AM66" s="39">
        <f t="shared" si="32"/>
        <v>2053.8200000000002</v>
      </c>
      <c r="AN66" s="61">
        <f t="shared" si="32"/>
        <v>0</v>
      </c>
      <c r="AO66" s="39">
        <f t="shared" si="32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  <c r="AJ70" s="133">
        <f>+Actuals!AG73</f>
        <v>0</v>
      </c>
      <c r="AK70" s="134">
        <f>+Actuals!AH73</f>
        <v>0</v>
      </c>
      <c r="AL70" s="133">
        <f>+Actuals!AI73</f>
        <v>0</v>
      </c>
      <c r="AM70" s="134">
        <f>+Actuals!AJ73</f>
        <v>0</v>
      </c>
      <c r="AN70" s="133">
        <f>+Actuals!AK73</f>
        <v>0</v>
      </c>
      <c r="AO70" s="134">
        <f>+Actuals!AL73</f>
        <v>0</v>
      </c>
      <c r="AP70" s="133">
        <f>+Actuals!AM73</f>
        <v>0</v>
      </c>
      <c r="AQ70" s="134">
        <f>+Actuals!AN73</f>
        <v>0</v>
      </c>
      <c r="AR70" s="133">
        <f>+Actuals!AO73</f>
        <v>0</v>
      </c>
      <c r="AS70" s="134">
        <f>+Actuals!AP73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  <c r="AJ71" s="133">
        <f>+Actuals!AG74</f>
        <v>0</v>
      </c>
      <c r="AK71" s="134">
        <f>+Actuals!AH74</f>
        <v>0</v>
      </c>
      <c r="AL71" s="133">
        <f>+Actuals!AI74</f>
        <v>0</v>
      </c>
      <c r="AM71" s="134">
        <f>+Actuals!AJ74</f>
        <v>0</v>
      </c>
      <c r="AN71" s="133">
        <f>+Actuals!AK74</f>
        <v>0</v>
      </c>
      <c r="AO71" s="134">
        <f>+Actuals!AL74</f>
        <v>0</v>
      </c>
      <c r="AP71" s="133">
        <f>+Actuals!AM74</f>
        <v>0</v>
      </c>
      <c r="AQ71" s="134">
        <f>+Actuals!AN74</f>
        <v>0</v>
      </c>
      <c r="AR71" s="133">
        <f>+Actuals!AO74</f>
        <v>0</v>
      </c>
      <c r="AS71" s="134">
        <f>+Actuals!AP74</f>
        <v>0</v>
      </c>
    </row>
    <row r="72" spans="1:4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C72" si="33">SUM(F70:F71)</f>
        <v>0</v>
      </c>
      <c r="G72" s="23">
        <f t="shared" si="33"/>
        <v>0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154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ref="AD72:AI72" si="34">SUM(AD70:AD71)</f>
        <v>0</v>
      </c>
      <c r="AE72" s="39">
        <f t="shared" si="34"/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ref="AJ72:AO72" si="35">SUM(AJ70:AJ71)</f>
        <v>0</v>
      </c>
      <c r="AK72" s="39">
        <f t="shared" si="35"/>
        <v>0</v>
      </c>
      <c r="AL72" s="61">
        <f t="shared" si="35"/>
        <v>0</v>
      </c>
      <c r="AM72" s="39">
        <f t="shared" si="35"/>
        <v>0</v>
      </c>
      <c r="AN72" s="61">
        <f t="shared" si="35"/>
        <v>0</v>
      </c>
      <c r="AO72" s="39">
        <f t="shared" si="3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SUM(F73,H73,J73,L73,N73,P73,R73,T73,V73,X73,Z73,AB73,AD73,AF73,AH73,AJ73,AL73,AN73,AP73,AR73)</f>
        <v>0</v>
      </c>
      <c r="E73" s="38">
        <f t="shared" ref="E73:E81" si="37">SUM(G73,I73,K73,M73,O73,Q73,S73,U73,W73,Y73,AA73,AC73,AE73,AG73,AI73,AK73,AM73,AO73,AQ73,AS73)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  <c r="AJ73" s="133">
        <f>+Actuals!AG75</f>
        <v>0</v>
      </c>
      <c r="AK73" s="134">
        <f>+Actuals!AH75</f>
        <v>0</v>
      </c>
      <c r="AL73" s="133">
        <f>+Actuals!AI75</f>
        <v>0</v>
      </c>
      <c r="AM73" s="134">
        <f>+Actuals!AJ75</f>
        <v>0</v>
      </c>
      <c r="AN73" s="133">
        <f>+Actuals!AK75</f>
        <v>0</v>
      </c>
      <c r="AO73" s="134">
        <f>+Actuals!AL75</f>
        <v>0</v>
      </c>
      <c r="AP73" s="133">
        <f>+Actuals!AM75</f>
        <v>0</v>
      </c>
      <c r="AQ73" s="134">
        <f>+Actuals!AN75</f>
        <v>0</v>
      </c>
      <c r="AR73" s="133">
        <f>+Actuals!AO75</f>
        <v>0</v>
      </c>
      <c r="AS73" s="134">
        <f>+Actuals!AP75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  <c r="AJ74" s="133">
        <f>+Actuals!AG76</f>
        <v>0</v>
      </c>
      <c r="AK74" s="134">
        <f>+Actuals!AH76</f>
        <v>0</v>
      </c>
      <c r="AL74" s="133">
        <f>+Actuals!AI76</f>
        <v>0</v>
      </c>
      <c r="AM74" s="134">
        <f>+Actuals!AJ76</f>
        <v>0</v>
      </c>
      <c r="AN74" s="133">
        <f>+Actuals!AK76</f>
        <v>0</v>
      </c>
      <c r="AO74" s="134">
        <f>+Actuals!AL76</f>
        <v>0</v>
      </c>
      <c r="AP74" s="133">
        <f>+Actuals!AM76</f>
        <v>0</v>
      </c>
      <c r="AQ74" s="134">
        <f>+Actuals!AN76</f>
        <v>0</v>
      </c>
      <c r="AR74" s="133">
        <f>+Actuals!AO76</f>
        <v>0</v>
      </c>
      <c r="AS74" s="134">
        <f>+Actuals!AP76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  <c r="AJ75" s="133">
        <f>+Actuals!AG77</f>
        <v>0</v>
      </c>
      <c r="AK75" s="134">
        <f>+Actuals!AH77</f>
        <v>0</v>
      </c>
      <c r="AL75" s="133">
        <f>+Actuals!AI77</f>
        <v>0</v>
      </c>
      <c r="AM75" s="134">
        <f>+Actuals!AJ77</f>
        <v>0</v>
      </c>
      <c r="AN75" s="133">
        <f>+Actuals!AK77</f>
        <v>0</v>
      </c>
      <c r="AO75" s="134">
        <f>+Actuals!AL77</f>
        <v>0</v>
      </c>
      <c r="AP75" s="133">
        <f>+Actuals!AM77</f>
        <v>0</v>
      </c>
      <c r="AQ75" s="134">
        <f>+Actuals!AN77</f>
        <v>0</v>
      </c>
      <c r="AR75" s="133">
        <f>+Actuals!AO77</f>
        <v>0</v>
      </c>
      <c r="AS75" s="134">
        <f>+Actuals!AP77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  <c r="AJ76" s="133">
        <f>+Actuals!AG78</f>
        <v>0</v>
      </c>
      <c r="AK76" s="134">
        <f>+Actuals!AH78</f>
        <v>0</v>
      </c>
      <c r="AL76" s="133">
        <f>+Actuals!AI78</f>
        <v>0</v>
      </c>
      <c r="AM76" s="134">
        <f>+Actuals!AJ78</f>
        <v>0</v>
      </c>
      <c r="AN76" s="133">
        <f>+Actuals!AK78</f>
        <v>0</v>
      </c>
      <c r="AO76" s="134">
        <f>+Actuals!AL78</f>
        <v>0</v>
      </c>
      <c r="AP76" s="133">
        <f>+Actuals!AM78</f>
        <v>0</v>
      </c>
      <c r="AQ76" s="134">
        <f>+Actuals!AN78</f>
        <v>0</v>
      </c>
      <c r="AR76" s="133">
        <f>+Actuals!AO78</f>
        <v>0</v>
      </c>
      <c r="AS76" s="134">
        <f>+Actuals!AP78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  <c r="AJ77" s="133">
        <f>+Actuals!AG79</f>
        <v>0</v>
      </c>
      <c r="AK77" s="134">
        <f>+Actuals!AH79</f>
        <v>0</v>
      </c>
      <c r="AL77" s="133">
        <f>+Actuals!AI79</f>
        <v>0</v>
      </c>
      <c r="AM77" s="134">
        <f>+Actuals!AJ79</f>
        <v>0</v>
      </c>
      <c r="AN77" s="133">
        <f>+Actuals!AK79</f>
        <v>0</v>
      </c>
      <c r="AO77" s="134">
        <f>+Actuals!AL79</f>
        <v>0</v>
      </c>
      <c r="AP77" s="133">
        <f>+Actuals!AM79</f>
        <v>0</v>
      </c>
      <c r="AQ77" s="134">
        <f>+Actuals!AN79</f>
        <v>0</v>
      </c>
      <c r="AR77" s="133">
        <f>+Actuals!AO79</f>
        <v>0</v>
      </c>
      <c r="AS77" s="134">
        <f>+Actuals!AP79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  <c r="AJ78" s="133">
        <f>+Actuals!AG80</f>
        <v>0</v>
      </c>
      <c r="AK78" s="134">
        <f>+Actuals!AH80</f>
        <v>0</v>
      </c>
      <c r="AL78" s="133">
        <f>+Actuals!AI80</f>
        <v>0</v>
      </c>
      <c r="AM78" s="134">
        <f>+Actuals!AJ80</f>
        <v>0</v>
      </c>
      <c r="AN78" s="133">
        <f>+Actuals!AK80</f>
        <v>0</v>
      </c>
      <c r="AO78" s="134">
        <f>+Actuals!AL80</f>
        <v>0</v>
      </c>
      <c r="AP78" s="133">
        <f>+Actuals!AM80</f>
        <v>0</v>
      </c>
      <c r="AQ78" s="134">
        <f>+Actuals!AN80</f>
        <v>0</v>
      </c>
      <c r="AR78" s="133">
        <f>+Actuals!AO80</f>
        <v>0</v>
      </c>
      <c r="AS78" s="134">
        <f>+Actuals!AP80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  <c r="AJ79" s="133">
        <f>+Actuals!AG81</f>
        <v>0</v>
      </c>
      <c r="AK79" s="134">
        <f>+Actuals!AH81</f>
        <v>0</v>
      </c>
      <c r="AL79" s="133">
        <f>+Actuals!AI81</f>
        <v>0</v>
      </c>
      <c r="AM79" s="134">
        <f>+Actuals!AJ81</f>
        <v>0</v>
      </c>
      <c r="AN79" s="133">
        <f>+Actuals!AK81</f>
        <v>0</v>
      </c>
      <c r="AO79" s="134">
        <f>+Actuals!AL81</f>
        <v>0</v>
      </c>
      <c r="AP79" s="133">
        <f>+Actuals!AM81</f>
        <v>0</v>
      </c>
      <c r="AQ79" s="134">
        <f>+Actuals!AN81</f>
        <v>0</v>
      </c>
      <c r="AR79" s="133">
        <f>+Actuals!AO81</f>
        <v>0</v>
      </c>
      <c r="AS79" s="134">
        <f>+Actuals!AP81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  <c r="AJ80" s="133">
        <f>+Actuals!AG82</f>
        <v>0</v>
      </c>
      <c r="AK80" s="134">
        <f>+Actuals!AH82</f>
        <v>0</v>
      </c>
      <c r="AL80" s="133">
        <f>+Actuals!AI82</f>
        <v>0</v>
      </c>
      <c r="AM80" s="134">
        <f>+Actuals!AJ82</f>
        <v>0</v>
      </c>
      <c r="AN80" s="133">
        <f>+Actuals!AK82</f>
        <v>0</v>
      </c>
      <c r="AO80" s="134">
        <f>+Actuals!AL82</f>
        <v>0</v>
      </c>
      <c r="AP80" s="133">
        <f>+Actuals!AM82</f>
        <v>0</v>
      </c>
      <c r="AQ80" s="134">
        <f>+Actuals!AN82</f>
        <v>0</v>
      </c>
      <c r="AR80" s="133">
        <f>+Actuals!AO82</f>
        <v>0</v>
      </c>
      <c r="AS80" s="134">
        <f>+Actuals!AP82</f>
        <v>0</v>
      </c>
    </row>
    <row r="81" spans="1:45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  <c r="AJ81" s="133">
        <f>+Actuals!AG83</f>
        <v>0</v>
      </c>
      <c r="AK81" s="134">
        <f>+Actuals!AH83</f>
        <v>0</v>
      </c>
      <c r="AL81" s="133">
        <f>+Actuals!AI83</f>
        <v>0</v>
      </c>
      <c r="AM81" s="134">
        <f>+Actuals!AJ83</f>
        <v>0</v>
      </c>
      <c r="AN81" s="133">
        <f>+Actuals!AK83</f>
        <v>0</v>
      </c>
      <c r="AO81" s="134">
        <f>+Actuals!AL83</f>
        <v>0</v>
      </c>
      <c r="AP81" s="133">
        <f>+Actuals!AM83</f>
        <v>0</v>
      </c>
      <c r="AQ81" s="134">
        <f>+Actuals!AN83</f>
        <v>0</v>
      </c>
      <c r="AR81" s="133">
        <f>+Actuals!AO83</f>
        <v>0</v>
      </c>
      <c r="AS81" s="134">
        <f>+Actuals!AP83</f>
        <v>0</v>
      </c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695928.62299999676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1230244.8360000046</v>
      </c>
      <c r="J82" s="92">
        <f>J16+J24+J29+J36+J43+J45+J47+J49</f>
        <v>0</v>
      </c>
      <c r="K82" s="118">
        <f>SUM(K72:K81)+K16+K24+K29+K36+K43+K45+K47+K49+K51+K56+K61+K66</f>
        <v>-1246942.71</v>
      </c>
      <c r="L82" s="92">
        <f>L16+L24+L29+L36+L43+L45+L47+L49</f>
        <v>0</v>
      </c>
      <c r="M82" s="93">
        <f>SUM(M72:M81)+M16+M24+M29+M36+M43+M45+M47+M49+M51+M56+M61+M66</f>
        <v>481835.11399999983</v>
      </c>
      <c r="N82" s="92">
        <f>N16+N24+N29+N36+N43+N45+N47+N49</f>
        <v>0</v>
      </c>
      <c r="O82" s="93">
        <f>SUM(O72:O81)+O16+O24+O29+O36+O43+O45+O47+O49+O51+O56+O61+O66</f>
        <v>148920.728</v>
      </c>
      <c r="P82" s="92">
        <f>P16+P24+P29+P36+P43+P45+P47+P49</f>
        <v>0</v>
      </c>
      <c r="Q82" s="93">
        <f>SUM(Q72:Q81)+Q16+Q24+Q29+Q36+Q43+Q45+Q47+Q49+Q51+Q56+Q61+Q66</f>
        <v>126235.442</v>
      </c>
      <c r="R82" s="92">
        <f>R16+R24+R29+R36+R43+R45+R47+R49</f>
        <v>0</v>
      </c>
      <c r="S82" s="93">
        <f>SUM(S72:S81)+S16+S24+S29+S36+S43+S45+S47+S49+S51+S56+S61+S66</f>
        <v>-70143.365000000005</v>
      </c>
      <c r="T82" s="92">
        <f>T16+T24+T29+T36+T43+T45+T47+T49</f>
        <v>0</v>
      </c>
      <c r="U82" s="93">
        <f>SUM(U72:U81)+U16+U24+U29+U36+U43+U45+U47+U49+U51+U56+U61+U66</f>
        <v>-52925.089999999989</v>
      </c>
      <c r="V82" s="92">
        <f>V16+V24+V29+V36+V43+V45+V47+V49</f>
        <v>0</v>
      </c>
      <c r="W82" s="93">
        <f>SUM(W72:W81)+W16+W24+W29+W36+W43+W45+W47+W49+W51+W56+W61+W66</f>
        <v>-24492.434000000034</v>
      </c>
      <c r="X82" s="92">
        <f>X16+X24+X29+X36+X43+X45+X47+X49</f>
        <v>0</v>
      </c>
      <c r="Y82" s="93">
        <f>SUM(Y72:Y81)+Y16+Y24+Y29+Y36+Y43+Y45+Y47+Y49+Y51+Y56+Y61+Y66</f>
        <v>106211.618</v>
      </c>
      <c r="Z82" s="92">
        <f>Z16+Z24+Z29+Z36+Z43+Z45+Z47+Z49</f>
        <v>0</v>
      </c>
      <c r="AA82" s="93">
        <f>SUM(AA72:AA81)+AA16+AA24+AA29+AA36+AA43+AA45+AA47+AA49+AA51+AA56+AA61+AA66</f>
        <v>3.000000001884473E-2</v>
      </c>
      <c r="AB82" s="92">
        <f>AB16+AB24+AB29+AB36+AB43+AB45+AB47+AB49</f>
        <v>0</v>
      </c>
      <c r="AC82" s="93">
        <f>SUM(AC72:AC81)+AC16+AC24+AC29+AC36+AC43+AC45+AC47+AC49+AC51+AC56+AC61+AC66</f>
        <v>36.104000000000042</v>
      </c>
      <c r="AD82" s="92">
        <f>AD16+AD24+AD29+AD36+AD43+AD45+AD47+AD49</f>
        <v>0</v>
      </c>
      <c r="AE82" s="93">
        <f>SUM(AE72:AE81)+AE16+AE24+AE29+AE36+AE43+AE45+AE47+AE49+AE51+AE56+AE61+AE66</f>
        <v>653.08999999999855</v>
      </c>
      <c r="AF82" s="92">
        <f>AF16+AF24+AF29+AF36+AF43+AF45+AF47+AF49</f>
        <v>0</v>
      </c>
      <c r="AG82" s="93">
        <f>SUM(AG72:AG81)+AG16+AG24+AG29+AG36+AG43+AG45+AG47+AG49+AG51+AG56+AG61+AG66</f>
        <v>-4068.7400000000143</v>
      </c>
      <c r="AH82" s="92">
        <f>AH16+AH24+AH29+AH36+AH43+AH45+AH47+AH49</f>
        <v>0</v>
      </c>
      <c r="AI82" s="93">
        <f>SUM(AI72:AI81)+AI16+AI24+AI29+AI36+AI43+AI45+AI47+AI49+AI51+AI56+AI61+AI66</f>
        <v>-0.97999999999592546</v>
      </c>
      <c r="AJ82" s="92">
        <f>AJ16+AJ24+AJ29+AJ36+AJ43+AJ45+AJ47+AJ49</f>
        <v>0</v>
      </c>
      <c r="AK82" s="93">
        <f>SUM(AK72:AK81)+AK16+AK24+AK29+AK36+AK43+AK45+AK47+AK49+AK51+AK56+AK61+AK66</f>
        <v>-2053.8200000000002</v>
      </c>
      <c r="AL82" s="92">
        <f>AL16+AL24+AL29+AL36+AL43+AL45+AL47+AL49</f>
        <v>0</v>
      </c>
      <c r="AM82" s="93">
        <f>SUM(AM72:AM81)+AM16+AM24+AM29+AM36+AM43+AM45+AM47+AM49+AM51+AM56+AM61+AM66</f>
        <v>2418.8000000000002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5" thickTop="1" x14ac:dyDescent="0.2">
      <c r="A83" s="4"/>
      <c r="B83" s="3"/>
    </row>
    <row r="84" spans="1:45" x14ac:dyDescent="0.2">
      <c r="A84" s="4"/>
      <c r="B84" s="3"/>
      <c r="I84" s="45"/>
      <c r="K84" s="155"/>
    </row>
    <row r="85" spans="1:45" x14ac:dyDescent="0.2">
      <c r="A85" s="4"/>
      <c r="B85" s="3"/>
    </row>
    <row r="86" spans="1:45" x14ac:dyDescent="0.2">
      <c r="A86" s="4"/>
      <c r="B86" s="3"/>
    </row>
    <row r="87" spans="1:45" x14ac:dyDescent="0.2">
      <c r="A87" s="4"/>
      <c r="B87" s="3"/>
    </row>
    <row r="88" spans="1:45" x14ac:dyDescent="0.2">
      <c r="A88" s="4"/>
      <c r="B88" s="3"/>
    </row>
    <row r="89" spans="1:45" x14ac:dyDescent="0.2">
      <c r="A89" s="4"/>
      <c r="B89" s="3"/>
    </row>
    <row r="90" spans="1:45" x14ac:dyDescent="0.2">
      <c r="A90" s="4"/>
      <c r="B90" s="3"/>
    </row>
    <row r="91" spans="1:45" x14ac:dyDescent="0.2">
      <c r="A91" s="4"/>
      <c r="B91" s="3"/>
    </row>
    <row r="92" spans="1:45" x14ac:dyDescent="0.2">
      <c r="A92" s="4"/>
      <c r="B92" s="3"/>
    </row>
    <row r="93" spans="1:45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S180"/>
  <sheetViews>
    <sheetView zoomScale="75" workbookViewId="0">
      <pane xSplit="3" ySplit="9" topLeftCell="N61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N647" sqref="AN64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9692831</v>
      </c>
      <c r="E11" s="38">
        <f t="shared" si="0"/>
        <v>17544591.620000001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9850711</v>
      </c>
      <c r="I11" s="38">
        <f>'SE-EGM-GL'!I11+'SE-LRC-GL'!I11</f>
        <v>18473366.340000004</v>
      </c>
      <c r="J11" s="60">
        <f>'SE-EGM-GL'!J11+'SE-LRC-GL'!J11</f>
        <v>-13631</v>
      </c>
      <c r="K11" s="38">
        <f>'SE-EGM-GL'!K11+'SE-LRC-GL'!K11</f>
        <v>-673722.38</v>
      </c>
      <c r="L11" s="60">
        <f>'SE-EGM-GL'!L11+'SE-LRC-GL'!L11</f>
        <v>-144520</v>
      </c>
      <c r="M11" s="38">
        <f>'SE-EGM-GL'!M11+'SE-LRC-GL'!M11</f>
        <v>-255781.32</v>
      </c>
      <c r="N11" s="60">
        <f>'SE-EGM-GL'!N11+'SE-LRC-GL'!N11</f>
        <v>-72123</v>
      </c>
      <c r="O11" s="38">
        <f>'SE-EGM-GL'!O11+'SE-LRC-GL'!O11</f>
        <v>-118282.1</v>
      </c>
      <c r="P11" s="60">
        <f>'SE-EGM-GL'!P11+'SE-LRC-GL'!P11</f>
        <v>72123</v>
      </c>
      <c r="Q11" s="38">
        <f>'SE-EGM-GL'!Q11+'SE-LRC-GL'!Q11</f>
        <v>118281.72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-107.62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271</v>
      </c>
      <c r="AC11" s="38">
        <f>'SE-EGM-GL'!AC11+'SE-LRC-GL'!AC11</f>
        <v>471.54</v>
      </c>
      <c r="AD11" s="60">
        <f>'SE-EGM-GL'!AD11+'SE-LRC-GL'!AD11</f>
        <v>0</v>
      </c>
      <c r="AE11" s="38">
        <f>'SE-EGM-GL'!AE11+'SE-LRC-GL'!AE11</f>
        <v>0.46</v>
      </c>
      <c r="AF11" s="60">
        <f>'SE-EGM-GL'!AL11+'SE-LRC-GL'!AL11</f>
        <v>0</v>
      </c>
      <c r="AG11" s="38">
        <f>'SE-EGM-GL'!AM11+'SE-LRC-GL'!AM11</f>
        <v>364.98</v>
      </c>
      <c r="AH11" s="60">
        <f>'SE-EGM-GL'!AP11+'SE-LRC-GL'!AP11</f>
        <v>0</v>
      </c>
      <c r="AI11" s="38">
        <f>'SE-EGM-GL'!AQ11+'SE-LRC-GL'!AQ11</f>
        <v>0</v>
      </c>
      <c r="AJ11" s="60">
        <f>'SE-EGM-GL'!AT11+'SE-LRC-GL'!AT11</f>
        <v>0</v>
      </c>
      <c r="AK11" s="38">
        <f>'SE-EGM-GL'!AU11+'SE-LRC-GL'!AU11</f>
        <v>0</v>
      </c>
      <c r="AL11" s="60">
        <f>'SE-EGM-GL'!AV11+'SE-LRC-GL'!AV11</f>
        <v>0</v>
      </c>
      <c r="AM11" s="38">
        <f>'SE-EGM-GL'!AW11+'SE-LRC-GL'!AW11</f>
        <v>0</v>
      </c>
      <c r="AN11" s="60">
        <f>'SE-EGM-GL'!AX11+'SE-LRC-GL'!AX11</f>
        <v>0</v>
      </c>
      <c r="AO11" s="38">
        <f>'SE-EGM-GL'!AY11+'SE-LRC-GL'!AY11</f>
        <v>0</v>
      </c>
      <c r="AP11" s="60">
        <f>'SE-EGM-GL'!AZ11+'SE-LRC-GL'!AZ11</f>
        <v>0</v>
      </c>
      <c r="AQ11" s="38">
        <f>'SE-EGM-GL'!BA11+'SE-LRC-GL'!BA11</f>
        <v>0</v>
      </c>
      <c r="AR11" s="60">
        <f>'SE-EGM-GL'!BB11+'SE-LRC-GL'!BB11</f>
        <v>0</v>
      </c>
      <c r="AS11" s="38">
        <f>'SE-EGM-GL'!BC11+'SE-LRC-GL'!BC11</f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'SE-EGM-GL'!AL12+'SE-LRC-GL'!AL12</f>
        <v>0</v>
      </c>
      <c r="AG12" s="38">
        <f>'SE-EGM-GL'!AM12+'SE-LRC-GL'!AM12</f>
        <v>0</v>
      </c>
      <c r="AH12" s="60">
        <f>'SE-EGM-GL'!AP12+'SE-LRC-GL'!AP12</f>
        <v>0</v>
      </c>
      <c r="AI12" s="38">
        <f>'SE-EGM-GL'!AQ12+'SE-LRC-GL'!AQ12</f>
        <v>0</v>
      </c>
      <c r="AJ12" s="60">
        <f>'SE-EGM-GL'!AT12+'SE-LRC-GL'!AT12</f>
        <v>0</v>
      </c>
      <c r="AK12" s="38">
        <f>'SE-EGM-GL'!AU12+'SE-LRC-GL'!AU12</f>
        <v>0</v>
      </c>
      <c r="AL12" s="60">
        <f>'SE-EGM-GL'!AV12+'SE-LRC-GL'!AV12</f>
        <v>0</v>
      </c>
      <c r="AM12" s="38">
        <f>'SE-EGM-GL'!AW12+'SE-LRC-GL'!AW12</f>
        <v>0</v>
      </c>
      <c r="AN12" s="60">
        <f>'SE-EGM-GL'!AX12+'SE-LRC-GL'!AX12</f>
        <v>0</v>
      </c>
      <c r="AO12" s="38">
        <f>'SE-EGM-GL'!AY12+'SE-LRC-GL'!AY12</f>
        <v>0</v>
      </c>
      <c r="AP12" s="60">
        <f>'SE-EGM-GL'!AZ12+'SE-LRC-GL'!AZ12</f>
        <v>0</v>
      </c>
      <c r="AQ12" s="38">
        <f>'SE-EGM-GL'!BA12+'SE-LRC-GL'!BA12</f>
        <v>0</v>
      </c>
      <c r="AR12" s="60">
        <f>'SE-EGM-GL'!BB12+'SE-LRC-GL'!BB12</f>
        <v>0</v>
      </c>
      <c r="AS12" s="38">
        <f>'SE-EGM-GL'!BC12+'SE-LRC-GL'!BC12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'SE-EGM-GL'!AL13+'SE-LRC-GL'!AL13</f>
        <v>0</v>
      </c>
      <c r="AG13" s="38">
        <f>'SE-EGM-GL'!AM13+'SE-LRC-GL'!AM13</f>
        <v>0</v>
      </c>
      <c r="AH13" s="60">
        <f>'SE-EGM-GL'!AP13+'SE-LRC-GL'!AP13</f>
        <v>0</v>
      </c>
      <c r="AI13" s="38">
        <f>'SE-EGM-GL'!AQ13+'SE-LRC-GL'!AQ13</f>
        <v>0</v>
      </c>
      <c r="AJ13" s="60">
        <f>'SE-EGM-GL'!AT13+'SE-LRC-GL'!AT13</f>
        <v>0</v>
      </c>
      <c r="AK13" s="38">
        <f>'SE-EGM-GL'!AU13+'SE-LRC-GL'!AU13</f>
        <v>0</v>
      </c>
      <c r="AL13" s="60">
        <f>'SE-EGM-GL'!AV13+'SE-LRC-GL'!AV13</f>
        <v>0</v>
      </c>
      <c r="AM13" s="38">
        <f>'SE-EGM-GL'!AW13+'SE-LRC-GL'!AW13</f>
        <v>0</v>
      </c>
      <c r="AN13" s="60">
        <f>'SE-EGM-GL'!AX13+'SE-LRC-GL'!AX13</f>
        <v>0</v>
      </c>
      <c r="AO13" s="38">
        <f>'SE-EGM-GL'!AY13+'SE-LRC-GL'!AY13</f>
        <v>0</v>
      </c>
      <c r="AP13" s="60">
        <f>'SE-EGM-GL'!AZ13+'SE-LRC-GL'!AZ13</f>
        <v>0</v>
      </c>
      <c r="AQ13" s="38">
        <f>'SE-EGM-GL'!BA13+'SE-LRC-GL'!BA13</f>
        <v>0</v>
      </c>
      <c r="AR13" s="60">
        <f>'SE-EGM-GL'!BB13+'SE-LRC-GL'!BB13</f>
        <v>0</v>
      </c>
      <c r="AS13" s="38">
        <f>'SE-EGM-GL'!BC13+'SE-LRC-GL'!BC13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'SE-EGM-GL'!AL14+'SE-LRC-GL'!AL14</f>
        <v>0</v>
      </c>
      <c r="AG14" s="38">
        <f>'SE-EGM-GL'!AM14+'SE-LRC-GL'!AM14</f>
        <v>0</v>
      </c>
      <c r="AH14" s="60">
        <f>'SE-EGM-GL'!AP14+'SE-LRC-GL'!AP14</f>
        <v>0</v>
      </c>
      <c r="AI14" s="38">
        <f>'SE-EGM-GL'!AQ14+'SE-LRC-GL'!AQ14</f>
        <v>0</v>
      </c>
      <c r="AJ14" s="60">
        <f>'SE-EGM-GL'!AT14+'SE-LRC-GL'!AT14</f>
        <v>0</v>
      </c>
      <c r="AK14" s="38">
        <f>'SE-EGM-GL'!AU14+'SE-LRC-GL'!AU14</f>
        <v>0</v>
      </c>
      <c r="AL14" s="60">
        <f>'SE-EGM-GL'!AV14+'SE-LRC-GL'!AV14</f>
        <v>0</v>
      </c>
      <c r="AM14" s="38">
        <f>'SE-EGM-GL'!AW14+'SE-LRC-GL'!AW14</f>
        <v>0</v>
      </c>
      <c r="AN14" s="60">
        <f>'SE-EGM-GL'!AX14+'SE-LRC-GL'!AX14</f>
        <v>0</v>
      </c>
      <c r="AO14" s="38">
        <f>'SE-EGM-GL'!AY14+'SE-LRC-GL'!AY14</f>
        <v>0</v>
      </c>
      <c r="AP14" s="60">
        <f>'SE-EGM-GL'!AZ14+'SE-LRC-GL'!AZ14</f>
        <v>0</v>
      </c>
      <c r="AQ14" s="38">
        <f>'SE-EGM-GL'!BA14+'SE-LRC-GL'!BA14</f>
        <v>0</v>
      </c>
      <c r="AR14" s="60">
        <f>'SE-EGM-GL'!BB14+'SE-LRC-GL'!BB14</f>
        <v>0</v>
      </c>
      <c r="AS14" s="38">
        <f>'SE-EGM-GL'!BC14+'SE-LRC-GL'!BC14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'SE-EGM-GL'!AL15+'SE-LRC-GL'!AL15</f>
        <v>0</v>
      </c>
      <c r="AG15" s="38">
        <f>'SE-EGM-GL'!AM15+'SE-LRC-GL'!AM15</f>
        <v>0</v>
      </c>
      <c r="AH15" s="60">
        <f>'SE-EGM-GL'!AP15+'SE-LRC-GL'!AP15</f>
        <v>0</v>
      </c>
      <c r="AI15" s="38">
        <f>'SE-EGM-GL'!AQ15+'SE-LRC-GL'!AQ15</f>
        <v>0</v>
      </c>
      <c r="AJ15" s="60">
        <f>'SE-EGM-GL'!AT15+'SE-LRC-GL'!AT15</f>
        <v>0</v>
      </c>
      <c r="AK15" s="38">
        <f>'SE-EGM-GL'!AU15+'SE-LRC-GL'!AU15</f>
        <v>0</v>
      </c>
      <c r="AL15" s="60">
        <f>'SE-EGM-GL'!AV15+'SE-LRC-GL'!AV15</f>
        <v>0</v>
      </c>
      <c r="AM15" s="38">
        <f>'SE-EGM-GL'!AW15+'SE-LRC-GL'!AW15</f>
        <v>0</v>
      </c>
      <c r="AN15" s="60">
        <f>'SE-EGM-GL'!AX15+'SE-LRC-GL'!AX15</f>
        <v>0</v>
      </c>
      <c r="AO15" s="38">
        <f>'SE-EGM-GL'!AY15+'SE-LRC-GL'!AY15</f>
        <v>0</v>
      </c>
      <c r="AP15" s="60">
        <f>'SE-EGM-GL'!AZ15+'SE-LRC-GL'!AZ15</f>
        <v>0</v>
      </c>
      <c r="AQ15" s="38">
        <f>'SE-EGM-GL'!BA15+'SE-LRC-GL'!BA15</f>
        <v>0</v>
      </c>
      <c r="AR15" s="60">
        <f>'SE-EGM-GL'!BB15+'SE-LRC-GL'!BB15</f>
        <v>0</v>
      </c>
      <c r="AS15" s="38">
        <f>'SE-EGM-GL'!BC15+'SE-LRC-GL'!BC15</f>
        <v>0</v>
      </c>
    </row>
    <row r="16" spans="1:45" x14ac:dyDescent="0.2">
      <c r="A16" s="9"/>
      <c r="B16" s="7" t="s">
        <v>34</v>
      </c>
      <c r="C16" s="6"/>
      <c r="D16" s="61">
        <f>SUM(D11:D15)</f>
        <v>9692831</v>
      </c>
      <c r="E16" s="39">
        <f>SUM(E11:E15)</f>
        <v>17544591.620000001</v>
      </c>
      <c r="F16" s="61">
        <f t="shared" ref="F16:AC16" si="1">SUM(F11:F15)</f>
        <v>0</v>
      </c>
      <c r="G16" s="39">
        <f t="shared" si="1"/>
        <v>0</v>
      </c>
      <c r="H16" s="61">
        <f t="shared" si="1"/>
        <v>9850711</v>
      </c>
      <c r="I16" s="39">
        <f t="shared" si="1"/>
        <v>18473366.340000004</v>
      </c>
      <c r="J16" s="61">
        <f t="shared" si="1"/>
        <v>-13631</v>
      </c>
      <c r="K16" s="39">
        <f t="shared" si="1"/>
        <v>-673722.38</v>
      </c>
      <c r="L16" s="61">
        <f t="shared" si="1"/>
        <v>-144520</v>
      </c>
      <c r="M16" s="39">
        <f t="shared" si="1"/>
        <v>-255781.32</v>
      </c>
      <c r="N16" s="61">
        <f t="shared" si="1"/>
        <v>-72123</v>
      </c>
      <c r="O16" s="39">
        <f t="shared" si="1"/>
        <v>-118282.1</v>
      </c>
      <c r="P16" s="61">
        <f t="shared" si="1"/>
        <v>72123</v>
      </c>
      <c r="Q16" s="39">
        <f t="shared" si="1"/>
        <v>118281.72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-107.62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271</v>
      </c>
      <c r="AC16" s="39">
        <f t="shared" si="1"/>
        <v>471.54</v>
      </c>
      <c r="AD16" s="61">
        <f t="shared" ref="AD16:AI16" si="2">SUM(AD11:AD15)</f>
        <v>0</v>
      </c>
      <c r="AE16" s="39">
        <f t="shared" si="2"/>
        <v>0.46</v>
      </c>
      <c r="AF16" s="61">
        <f t="shared" si="2"/>
        <v>0</v>
      </c>
      <c r="AG16" s="39">
        <f t="shared" si="2"/>
        <v>364.98</v>
      </c>
      <c r="AH16" s="61">
        <f t="shared" si="2"/>
        <v>0</v>
      </c>
      <c r="AI16" s="39">
        <f t="shared" si="2"/>
        <v>0</v>
      </c>
      <c r="AJ16" s="61">
        <f t="shared" ref="AJ16:AO16" si="3">SUM(AJ11:AJ15)</f>
        <v>0</v>
      </c>
      <c r="AK16" s="39">
        <f t="shared" si="3"/>
        <v>0</v>
      </c>
      <c r="AL16" s="61">
        <f t="shared" si="3"/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SUM(F19,H19,J19,L19,N19,P19,R19,T19,V19,X19,Z19,AB19,AD19,AF19,AH19,AJ19,AL19,AN19,AP19,AR19)</f>
        <v>-3450752</v>
      </c>
      <c r="E19" s="38">
        <f t="shared" si="4"/>
        <v>-5929079.1799999997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-3630432</v>
      </c>
      <c r="I19" s="38">
        <f>'SE-EGM-GL'!I19+'SE-LRC-GL'!I19</f>
        <v>-6234679.9699999997</v>
      </c>
      <c r="J19" s="60">
        <f>'SE-EGM-GL'!J19+'SE-LRC-GL'!J19</f>
        <v>43592</v>
      </c>
      <c r="K19" s="38">
        <f>'SE-EGM-GL'!K19+'SE-LRC-GL'!K19</f>
        <v>56001.82</v>
      </c>
      <c r="L19" s="60">
        <f>'SE-EGM-GL'!L19+'SE-LRC-GL'!L19</f>
        <v>-4592</v>
      </c>
      <c r="M19" s="38">
        <f>'SE-EGM-GL'!M19+'SE-LRC-GL'!M19</f>
        <v>3.1</v>
      </c>
      <c r="N19" s="60">
        <f>'SE-EGM-GL'!N19+'SE-LRC-GL'!N19</f>
        <v>0</v>
      </c>
      <c r="O19" s="38">
        <f>'SE-EGM-GL'!O19+'SE-LRC-GL'!O19</f>
        <v>0</v>
      </c>
      <c r="P19" s="60">
        <f>'SE-EGM-GL'!P19+'SE-LRC-GL'!P19</f>
        <v>140680</v>
      </c>
      <c r="Q19" s="38">
        <f>'SE-EGM-GL'!Q19+'SE-LRC-GL'!Q19</f>
        <v>248806.95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133.82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655.1</v>
      </c>
      <c r="AF19" s="60">
        <f>'SE-EGM-GL'!AL19+'SE-LRC-GL'!AL19</f>
        <v>0</v>
      </c>
      <c r="AG19" s="38">
        <f>'SE-EGM-GL'!AM19+'SE-LRC-GL'!AM19</f>
        <v>0</v>
      </c>
      <c r="AH19" s="60">
        <f>'SE-EGM-GL'!AP19+'SE-LRC-GL'!AP19</f>
        <v>0</v>
      </c>
      <c r="AI19" s="38">
        <f>'SE-EGM-GL'!AQ19+'SE-LRC-GL'!AQ19</f>
        <v>0</v>
      </c>
      <c r="AJ19" s="60">
        <f>'SE-EGM-GL'!AT19+'SE-LRC-GL'!AT19</f>
        <v>0</v>
      </c>
      <c r="AK19" s="38">
        <f>'SE-EGM-GL'!AU19+'SE-LRC-GL'!AU19</f>
        <v>0</v>
      </c>
      <c r="AL19" s="60">
        <f>'SE-EGM-GL'!AV19+'SE-LRC-GL'!AV19</f>
        <v>0</v>
      </c>
      <c r="AM19" s="38">
        <f>'SE-EGM-GL'!AW19+'SE-LRC-GL'!AW19</f>
        <v>0</v>
      </c>
      <c r="AN19" s="60">
        <f>'SE-EGM-GL'!AX19+'SE-LRC-GL'!AX19</f>
        <v>0</v>
      </c>
      <c r="AO19" s="38">
        <f>'SE-EGM-GL'!AY19+'SE-LRC-GL'!AY19</f>
        <v>0</v>
      </c>
      <c r="AP19" s="60">
        <f>'SE-EGM-GL'!AZ19+'SE-LRC-GL'!AZ19</f>
        <v>0</v>
      </c>
      <c r="AQ19" s="38">
        <f>'SE-EGM-GL'!BA19+'SE-LRC-GL'!BA19</f>
        <v>0</v>
      </c>
      <c r="AR19" s="60">
        <f>'SE-EGM-GL'!BB19+'SE-LRC-GL'!BB19</f>
        <v>0</v>
      </c>
      <c r="AS19" s="38">
        <f>'SE-EGM-GL'!BC19+'SE-LRC-GL'!BC19</f>
        <v>0</v>
      </c>
    </row>
    <row r="20" spans="1:4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('TIE-OUT'!J20+'TIE-OUT'!L20)+(RECLASS!J20+RECLASS!L20)</f>
        <v>0</v>
      </c>
      <c r="G20" s="38">
        <f>('TIE-OUT'!K20+'TIE-OUT'!M20)+(RECLASS!K20+RECLASS!M20)</f>
        <v>0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'SE-EGM-GL'!AL20+'SE-LRC-GL'!AL20</f>
        <v>0</v>
      </c>
      <c r="AG20" s="38">
        <f>'SE-EGM-GL'!AM20+'SE-LRC-GL'!AM20</f>
        <v>0</v>
      </c>
      <c r="AH20" s="60">
        <f>'SE-EGM-GL'!AP20+'SE-LRC-GL'!AP20</f>
        <v>0</v>
      </c>
      <c r="AI20" s="38">
        <f>'SE-EGM-GL'!AQ20+'SE-LRC-GL'!AQ20</f>
        <v>0</v>
      </c>
      <c r="AJ20" s="60">
        <f>'SE-EGM-GL'!AT20+'SE-LRC-GL'!AT20</f>
        <v>0</v>
      </c>
      <c r="AK20" s="38">
        <f>'SE-EGM-GL'!AU20+'SE-LRC-GL'!AU20</f>
        <v>0</v>
      </c>
      <c r="AL20" s="60">
        <f>'SE-EGM-GL'!AV20+'SE-LRC-GL'!AV20</f>
        <v>0</v>
      </c>
      <c r="AM20" s="38">
        <f>'SE-EGM-GL'!AW20+'SE-LRC-GL'!AW20</f>
        <v>0</v>
      </c>
      <c r="AN20" s="60">
        <f>'SE-EGM-GL'!AX20+'SE-LRC-GL'!AX20</f>
        <v>0</v>
      </c>
      <c r="AO20" s="38">
        <f>'SE-EGM-GL'!AY20+'SE-LRC-GL'!AY20</f>
        <v>0</v>
      </c>
      <c r="AP20" s="60">
        <f>'SE-EGM-GL'!AZ20+'SE-LRC-GL'!AZ20</f>
        <v>0</v>
      </c>
      <c r="AQ20" s="38">
        <f>'SE-EGM-GL'!BA20+'SE-LRC-GL'!BA20</f>
        <v>0</v>
      </c>
      <c r="AR20" s="60">
        <f>'SE-EGM-GL'!BB20+'SE-LRC-GL'!BB20</f>
        <v>0</v>
      </c>
      <c r="AS20" s="38">
        <f>'SE-EGM-GL'!BC20+'SE-LRC-GL'!BC20</f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'SE-EGM-GL'!AL21+'SE-LRC-GL'!AL21</f>
        <v>0</v>
      </c>
      <c r="AG21" s="38">
        <f>'SE-EGM-GL'!AM21+'SE-LRC-GL'!AM21</f>
        <v>0</v>
      </c>
      <c r="AH21" s="60">
        <f>'SE-EGM-GL'!AP21+'SE-LRC-GL'!AP21</f>
        <v>0</v>
      </c>
      <c r="AI21" s="38">
        <f>'SE-EGM-GL'!AQ21+'SE-LRC-GL'!AQ21</f>
        <v>0</v>
      </c>
      <c r="AJ21" s="60">
        <f>'SE-EGM-GL'!AT21+'SE-LRC-GL'!AT21</f>
        <v>0</v>
      </c>
      <c r="AK21" s="38">
        <f>'SE-EGM-GL'!AU21+'SE-LRC-GL'!AU21</f>
        <v>0</v>
      </c>
      <c r="AL21" s="60">
        <f>'SE-EGM-GL'!AV21+'SE-LRC-GL'!AV21</f>
        <v>0</v>
      </c>
      <c r="AM21" s="38">
        <f>'SE-EGM-GL'!AW21+'SE-LRC-GL'!AW21</f>
        <v>0</v>
      </c>
      <c r="AN21" s="60">
        <f>'SE-EGM-GL'!AX21+'SE-LRC-GL'!AX21</f>
        <v>0</v>
      </c>
      <c r="AO21" s="38">
        <f>'SE-EGM-GL'!AY21+'SE-LRC-GL'!AY21</f>
        <v>0</v>
      </c>
      <c r="AP21" s="60">
        <f>'SE-EGM-GL'!AZ21+'SE-LRC-GL'!AZ21</f>
        <v>0</v>
      </c>
      <c r="AQ21" s="38">
        <f>'SE-EGM-GL'!BA21+'SE-LRC-GL'!BA21</f>
        <v>0</v>
      </c>
      <c r="AR21" s="60">
        <f>'SE-EGM-GL'!BB21+'SE-LRC-GL'!BB21</f>
        <v>0</v>
      </c>
      <c r="AS21" s="38">
        <f>'SE-EGM-GL'!BC21+'SE-LRC-GL'!BC21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'SE-EGM-GL'!AL22+'SE-LRC-GL'!AL22</f>
        <v>0</v>
      </c>
      <c r="AG22" s="38">
        <f>'SE-EGM-GL'!AM22+'SE-LRC-GL'!AM22</f>
        <v>0</v>
      </c>
      <c r="AH22" s="60">
        <f>'SE-EGM-GL'!AP22+'SE-LRC-GL'!AP22</f>
        <v>0</v>
      </c>
      <c r="AI22" s="38">
        <f>'SE-EGM-GL'!AQ22+'SE-LRC-GL'!AQ22</f>
        <v>0</v>
      </c>
      <c r="AJ22" s="60">
        <f>'SE-EGM-GL'!AT22+'SE-LRC-GL'!AT22</f>
        <v>0</v>
      </c>
      <c r="AK22" s="38">
        <f>'SE-EGM-GL'!AU22+'SE-LRC-GL'!AU22</f>
        <v>0</v>
      </c>
      <c r="AL22" s="60">
        <f>'SE-EGM-GL'!AV22+'SE-LRC-GL'!AV22</f>
        <v>0</v>
      </c>
      <c r="AM22" s="38">
        <f>'SE-EGM-GL'!AW22+'SE-LRC-GL'!AW22</f>
        <v>0</v>
      </c>
      <c r="AN22" s="60">
        <f>'SE-EGM-GL'!AX22+'SE-LRC-GL'!AX22</f>
        <v>0</v>
      </c>
      <c r="AO22" s="38">
        <f>'SE-EGM-GL'!AY22+'SE-LRC-GL'!AY22</f>
        <v>0</v>
      </c>
      <c r="AP22" s="60">
        <f>'SE-EGM-GL'!AZ22+'SE-LRC-GL'!AZ22</f>
        <v>0</v>
      </c>
      <c r="AQ22" s="38">
        <f>'SE-EGM-GL'!BA22+'SE-LRC-GL'!BA22</f>
        <v>0</v>
      </c>
      <c r="AR22" s="60">
        <f>'SE-EGM-GL'!BB22+'SE-LRC-GL'!BB22</f>
        <v>0</v>
      </c>
      <c r="AS22" s="38">
        <f>'SE-EGM-GL'!BC22+'SE-LRC-GL'!BC22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4"/>
        <v>29241</v>
      </c>
      <c r="E23" s="38">
        <f t="shared" si="4"/>
        <v>51803.439999999995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0</v>
      </c>
      <c r="I23" s="38">
        <f>'SE-EGM-GL'!I23+'SE-LRC-GL'!I23</f>
        <v>0</v>
      </c>
      <c r="J23" s="60">
        <f>'SE-EGM-GL'!J23+'SE-LRC-GL'!J23</f>
        <v>29241</v>
      </c>
      <c r="K23" s="38">
        <f>'SE-EGM-GL'!K23+'SE-LRC-GL'!K23</f>
        <v>51408.6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394.83999999999992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'SE-EGM-GL'!AL23+'SE-LRC-GL'!AL23</f>
        <v>0</v>
      </c>
      <c r="AG23" s="38">
        <f>'SE-EGM-GL'!AM23+'SE-LRC-GL'!AM23</f>
        <v>0</v>
      </c>
      <c r="AH23" s="60">
        <f>'SE-EGM-GL'!AP23+'SE-LRC-GL'!AP23</f>
        <v>0</v>
      </c>
      <c r="AI23" s="38">
        <f>'SE-EGM-GL'!AQ23+'SE-LRC-GL'!AQ23</f>
        <v>0</v>
      </c>
      <c r="AJ23" s="60">
        <f>'SE-EGM-GL'!AT23+'SE-LRC-GL'!AT23</f>
        <v>0</v>
      </c>
      <c r="AK23" s="38">
        <f>'SE-EGM-GL'!AU23+'SE-LRC-GL'!AU23</f>
        <v>0</v>
      </c>
      <c r="AL23" s="60">
        <f>'SE-EGM-GL'!AV23+'SE-LRC-GL'!AV23</f>
        <v>0</v>
      </c>
      <c r="AM23" s="38">
        <f>'SE-EGM-GL'!AW23+'SE-LRC-GL'!AW23</f>
        <v>0</v>
      </c>
      <c r="AN23" s="60">
        <f>'SE-EGM-GL'!AX23+'SE-LRC-GL'!AX23</f>
        <v>0</v>
      </c>
      <c r="AO23" s="38">
        <f>'SE-EGM-GL'!AY23+'SE-LRC-GL'!AY23</f>
        <v>0</v>
      </c>
      <c r="AP23" s="60">
        <f>'SE-EGM-GL'!AZ23+'SE-LRC-GL'!AZ23</f>
        <v>0</v>
      </c>
      <c r="AQ23" s="38">
        <f>'SE-EGM-GL'!BA23+'SE-LRC-GL'!BA23</f>
        <v>0</v>
      </c>
      <c r="AR23" s="60">
        <f>'SE-EGM-GL'!BB23+'SE-LRC-GL'!BB23</f>
        <v>0</v>
      </c>
      <c r="AS23" s="38">
        <f>'SE-EGM-GL'!BC23+'SE-LRC-GL'!BC23</f>
        <v>0</v>
      </c>
    </row>
    <row r="24" spans="1:45" x14ac:dyDescent="0.2">
      <c r="A24" s="9"/>
      <c r="B24" s="7" t="s">
        <v>37</v>
      </c>
      <c r="C24" s="6"/>
      <c r="D24" s="61">
        <f>SUM(D19:D23)</f>
        <v>-3421511</v>
      </c>
      <c r="E24" s="39">
        <f>SUM(E19:E23)</f>
        <v>-5877275.7399999993</v>
      </c>
      <c r="F24" s="61">
        <f t="shared" ref="F24:AC24" si="5">SUM(F19:F23)</f>
        <v>0</v>
      </c>
      <c r="G24" s="39">
        <f t="shared" si="5"/>
        <v>0</v>
      </c>
      <c r="H24" s="61">
        <f t="shared" si="5"/>
        <v>-3630432</v>
      </c>
      <c r="I24" s="39">
        <f t="shared" si="5"/>
        <v>-6234679.9699999997</v>
      </c>
      <c r="J24" s="61">
        <f t="shared" si="5"/>
        <v>72833</v>
      </c>
      <c r="K24" s="39">
        <f t="shared" si="5"/>
        <v>107410.42</v>
      </c>
      <c r="L24" s="61">
        <f t="shared" si="5"/>
        <v>-4592</v>
      </c>
      <c r="M24" s="39">
        <f t="shared" si="5"/>
        <v>3.1</v>
      </c>
      <c r="N24" s="61">
        <f t="shared" si="5"/>
        <v>0</v>
      </c>
      <c r="O24" s="39">
        <f t="shared" si="5"/>
        <v>0</v>
      </c>
      <c r="P24" s="61">
        <f t="shared" si="5"/>
        <v>140680</v>
      </c>
      <c r="Q24" s="39">
        <f t="shared" si="5"/>
        <v>248806.95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394.83999999999992</v>
      </c>
      <c r="X24" s="61">
        <f t="shared" si="5"/>
        <v>0</v>
      </c>
      <c r="Y24" s="39">
        <f t="shared" si="5"/>
        <v>133.82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ref="AD24:AI24" si="6">SUM(AD19:AD23)</f>
        <v>0</v>
      </c>
      <c r="AE24" s="39">
        <f t="shared" si="6"/>
        <v>655.1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ref="AJ24:AO24" si="7">SUM(AJ19:AJ23)</f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2734538</v>
      </c>
      <c r="E27" s="38">
        <f>SUM(G27,I27,K27,M27,O27,Q27,S27,U27,W27,Y27,AA27,AC27,AE27,AG27,AI27,AK27,AM27,AO27,AQ27,AS27)</f>
        <v>4795089.3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3155243</v>
      </c>
      <c r="I27" s="38">
        <f>'SE-EGM-GL'!I27+'SE-LRC-GL'!I27</f>
        <v>5577830</v>
      </c>
      <c r="J27" s="60">
        <f>'SE-EGM-GL'!J27+'SE-LRC-GL'!J27</f>
        <v>-168256</v>
      </c>
      <c r="K27" s="38">
        <f>'SE-EGM-GL'!K27+'SE-LRC-GL'!K27</f>
        <v>-302186.62</v>
      </c>
      <c r="L27" s="60">
        <f>'SE-EGM-GL'!L27+'SE-LRC-GL'!L27</f>
        <v>-152953</v>
      </c>
      <c r="M27" s="38">
        <f>'SE-EGM-GL'!M27+'SE-LRC-GL'!M27</f>
        <v>-280264.33</v>
      </c>
      <c r="N27" s="60">
        <f>'SE-EGM-GL'!N27+'SE-LRC-GL'!N27</f>
        <v>0</v>
      </c>
      <c r="O27" s="38">
        <f>'SE-EGM-GL'!O27+'SE-LRC-GL'!O27</f>
        <v>-0.02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-245072</v>
      </c>
      <c r="U27" s="38">
        <f>'SE-EGM-GL'!U27+'SE-LRC-GL'!U27</f>
        <v>-461174.69</v>
      </c>
      <c r="V27" s="60">
        <f>'SE-EGM-GL'!V27+'SE-LRC-GL'!V27</f>
        <v>397824</v>
      </c>
      <c r="W27" s="38">
        <f>'SE-EGM-GL'!W27+'SE-LRC-GL'!W27</f>
        <v>708541.51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-252248</v>
      </c>
      <c r="AA27" s="38">
        <f>'SE-EGM-GL'!AA27+'SE-LRC-GL'!AA27</f>
        <v>-447659.05</v>
      </c>
      <c r="AB27" s="60">
        <f>'SE-EGM-GL'!AB27+'SE-LRC-GL'!AB27</f>
        <v>0</v>
      </c>
      <c r="AC27" s="38">
        <f>'SE-EGM-GL'!AC27+'SE-LRC-GL'!AC27</f>
        <v>2.5</v>
      </c>
      <c r="AD27" s="60">
        <f>'SE-EGM-GL'!AD27+'SE-LRC-GL'!AD27</f>
        <v>0</v>
      </c>
      <c r="AE27" s="38">
        <f>'SE-EGM-GL'!AE27+'SE-LRC-GL'!AE27</f>
        <v>0</v>
      </c>
      <c r="AF27" s="60">
        <f>'SE-EGM-GL'!AL27+'SE-LRC-GL'!AL27</f>
        <v>0</v>
      </c>
      <c r="AG27" s="38">
        <f>'SE-EGM-GL'!AM27+'SE-LRC-GL'!AM27</f>
        <v>0</v>
      </c>
      <c r="AH27" s="60">
        <f>'SE-EGM-GL'!AP27+'SE-LRC-GL'!AP27</f>
        <v>0</v>
      </c>
      <c r="AI27" s="38">
        <f>'SE-EGM-GL'!AQ27+'SE-LRC-GL'!AQ27</f>
        <v>0</v>
      </c>
      <c r="AJ27" s="60">
        <f>'SE-EGM-GL'!AT27+'SE-LRC-GL'!AT27</f>
        <v>0</v>
      </c>
      <c r="AK27" s="38">
        <f>'SE-EGM-GL'!AU27+'SE-LRC-GL'!AU27</f>
        <v>0</v>
      </c>
      <c r="AL27" s="60">
        <f>'SE-EGM-GL'!AV27+'SE-LRC-GL'!AV27</f>
        <v>0</v>
      </c>
      <c r="AM27" s="38">
        <f>'SE-EGM-GL'!AW27+'SE-LRC-GL'!AW27</f>
        <v>0</v>
      </c>
      <c r="AN27" s="60">
        <f>'SE-EGM-GL'!AX27+'SE-LRC-GL'!AX27</f>
        <v>0</v>
      </c>
      <c r="AO27" s="38">
        <f>'SE-EGM-GL'!AY27+'SE-LRC-GL'!AY27</f>
        <v>0</v>
      </c>
      <c r="AP27" s="60">
        <f>'SE-EGM-GL'!AZ27+'SE-LRC-GL'!AZ27</f>
        <v>0</v>
      </c>
      <c r="AQ27" s="38">
        <f>'SE-EGM-GL'!BA27+'SE-LRC-GL'!BA27</f>
        <v>0</v>
      </c>
      <c r="AR27" s="60">
        <f>'SE-EGM-GL'!BB27+'SE-LRC-GL'!BB27</f>
        <v>0</v>
      </c>
      <c r="AS27" s="38">
        <f>'SE-EGM-GL'!BC27+'SE-LRC-GL'!BC27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-9186051</v>
      </c>
      <c r="E28" s="38">
        <f>SUM(G28,I28,K28,M28,O28,Q28,S28,U28,W28,Y28,AA28,AC28,AE28,AG28,AI28,AK28,AM28,AO28,AQ28,AS28)</f>
        <v>-16277112.310000002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-9633963</v>
      </c>
      <c r="I28" s="38">
        <f>'SE-EGM-GL'!I28+'SE-LRC-GL'!I28</f>
        <v>-17050766</v>
      </c>
      <c r="J28" s="60">
        <f>'SE-EGM-GL'!J28+'SE-LRC-GL'!J28</f>
        <v>234257</v>
      </c>
      <c r="K28" s="38">
        <f>'SE-EGM-GL'!K28+'SE-LRC-GL'!K28</f>
        <v>404889.45</v>
      </c>
      <c r="L28" s="60">
        <f>'SE-EGM-GL'!L28+'SE-LRC-GL'!L28</f>
        <v>118032</v>
      </c>
      <c r="M28" s="38">
        <f>'SE-EGM-GL'!M28+'SE-LRC-GL'!M28</f>
        <v>201763.9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250911</v>
      </c>
      <c r="U28" s="38">
        <f>'SE-EGM-GL'!U28+'SE-LRC-GL'!U28</f>
        <v>446670.7</v>
      </c>
      <c r="V28" s="60">
        <f>'SE-EGM-GL'!V28+'SE-LRC-GL'!V28</f>
        <v>-407536</v>
      </c>
      <c r="W28" s="38">
        <f>'SE-EGM-GL'!W28+'SE-LRC-GL'!W28</f>
        <v>-727328.05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252248</v>
      </c>
      <c r="AA28" s="38">
        <f>'SE-EGM-GL'!AA28+'SE-LRC-GL'!AA28</f>
        <v>447659.07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-1.38</v>
      </c>
      <c r="AF28" s="60">
        <f>'SE-EGM-GL'!AL28+'SE-LRC-GL'!AL28</f>
        <v>0</v>
      </c>
      <c r="AG28" s="38">
        <f>'SE-EGM-GL'!AM28+'SE-LRC-GL'!AM28</f>
        <v>0</v>
      </c>
      <c r="AH28" s="60">
        <f>'SE-EGM-GL'!AP28+'SE-LRC-GL'!AP28</f>
        <v>0</v>
      </c>
      <c r="AI28" s="38">
        <f>'SE-EGM-GL'!AQ28+'SE-LRC-GL'!AQ28</f>
        <v>0</v>
      </c>
      <c r="AJ28" s="60">
        <f>'SE-EGM-GL'!AT28+'SE-LRC-GL'!AT28</f>
        <v>0</v>
      </c>
      <c r="AK28" s="38">
        <f>'SE-EGM-GL'!AU28+'SE-LRC-GL'!AU28</f>
        <v>0</v>
      </c>
      <c r="AL28" s="60">
        <f>'SE-EGM-GL'!AV28+'SE-LRC-GL'!AV28</f>
        <v>0</v>
      </c>
      <c r="AM28" s="38">
        <f>'SE-EGM-GL'!AW28+'SE-LRC-GL'!AW28</f>
        <v>0</v>
      </c>
      <c r="AN28" s="60">
        <f>'SE-EGM-GL'!AX28+'SE-LRC-GL'!AX28</f>
        <v>0</v>
      </c>
      <c r="AO28" s="38">
        <f>'SE-EGM-GL'!AY28+'SE-LRC-GL'!AY28</f>
        <v>0</v>
      </c>
      <c r="AP28" s="60">
        <f>'SE-EGM-GL'!AZ28+'SE-LRC-GL'!AZ28</f>
        <v>0</v>
      </c>
      <c r="AQ28" s="38">
        <f>'SE-EGM-GL'!BA28+'SE-LRC-GL'!BA28</f>
        <v>0</v>
      </c>
      <c r="AR28" s="60">
        <f>'SE-EGM-GL'!BB28+'SE-LRC-GL'!BB28</f>
        <v>0</v>
      </c>
      <c r="AS28" s="38">
        <f>'SE-EGM-GL'!BC28+'SE-LRC-GL'!BC28</f>
        <v>0</v>
      </c>
    </row>
    <row r="29" spans="1:45" x14ac:dyDescent="0.2">
      <c r="A29" s="9"/>
      <c r="B29" s="7" t="s">
        <v>41</v>
      </c>
      <c r="C29" s="18"/>
      <c r="D29" s="61">
        <f>SUM(D27:D28)</f>
        <v>-6451513</v>
      </c>
      <c r="E29" s="39">
        <f>SUM(E27:E28)</f>
        <v>-11482023.010000002</v>
      </c>
      <c r="F29" s="61">
        <f t="shared" ref="F29:AC29" si="8">SUM(F27:F28)</f>
        <v>0</v>
      </c>
      <c r="G29" s="39">
        <f t="shared" si="8"/>
        <v>0</v>
      </c>
      <c r="H29" s="61">
        <f t="shared" si="8"/>
        <v>-6478720</v>
      </c>
      <c r="I29" s="39">
        <f t="shared" si="8"/>
        <v>-11472936</v>
      </c>
      <c r="J29" s="61">
        <f t="shared" si="8"/>
        <v>66001</v>
      </c>
      <c r="K29" s="39">
        <f t="shared" si="8"/>
        <v>102702.83000000002</v>
      </c>
      <c r="L29" s="61">
        <f t="shared" si="8"/>
        <v>-34921</v>
      </c>
      <c r="M29" s="39">
        <f t="shared" si="8"/>
        <v>-78500.430000000022</v>
      </c>
      <c r="N29" s="61">
        <f t="shared" si="8"/>
        <v>0</v>
      </c>
      <c r="O29" s="39">
        <f t="shared" si="8"/>
        <v>-0.02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5839</v>
      </c>
      <c r="U29" s="39">
        <f t="shared" si="8"/>
        <v>-14503.989999999991</v>
      </c>
      <c r="V29" s="61">
        <f t="shared" si="8"/>
        <v>-9712</v>
      </c>
      <c r="W29" s="39">
        <f t="shared" si="8"/>
        <v>-18786.540000000037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2.0000000018626451E-2</v>
      </c>
      <c r="AB29" s="61">
        <f t="shared" si="8"/>
        <v>0</v>
      </c>
      <c r="AC29" s="39">
        <f t="shared" si="8"/>
        <v>2.5</v>
      </c>
      <c r="AD29" s="61">
        <f t="shared" ref="AD29:AI29" si="9">SUM(AD27:AD28)</f>
        <v>0</v>
      </c>
      <c r="AE29" s="39">
        <f t="shared" si="9"/>
        <v>-1.38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ref="AJ29:AO29" si="10">SUM(AJ27:AJ28)</f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SUM(F32,H32,J32,L32,N32,P32,R32,T32,V32,X32,Z32,AB32,AD32,AF32,AH32,AJ32,AL32,AN32,AP32,AR32)</f>
        <v>-119018</v>
      </c>
      <c r="E32" s="38">
        <f t="shared" si="11"/>
        <v>-192333.08899999998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0</v>
      </c>
      <c r="I32" s="38">
        <f>'SE-EGM-GL'!I32+'SE-LRC-GL'!I32</f>
        <v>0</v>
      </c>
      <c r="J32" s="60">
        <f>'SE-EGM-GL'!J32+'SE-LRC-GL'!J32</f>
        <v>-78281</v>
      </c>
      <c r="K32" s="38">
        <f>'SE-EGM-GL'!K32+'SE-LRC-GL'!K32</f>
        <v>-126502.09600000001</v>
      </c>
      <c r="L32" s="60">
        <f>'SE-EGM-GL'!L32+'SE-LRC-GL'!L32</f>
        <v>-26026</v>
      </c>
      <c r="M32" s="38">
        <f>'SE-EGM-GL'!M32+'SE-LRC-GL'!M32</f>
        <v>-71472.59</v>
      </c>
      <c r="N32" s="60">
        <f>'SE-EGM-GL'!N32+'SE-LRC-GL'!N32</f>
        <v>-9550</v>
      </c>
      <c r="O32" s="38">
        <f>'SE-EGM-GL'!O32+'SE-LRC-GL'!O32</f>
        <v>-70158.55</v>
      </c>
      <c r="P32" s="60">
        <f>'SE-EGM-GL'!P32+'SE-LRC-GL'!P32</f>
        <v>140680</v>
      </c>
      <c r="Q32" s="38">
        <f>'SE-EGM-GL'!Q32+'SE-LRC-GL'!Q32</f>
        <v>327921.70199999999</v>
      </c>
      <c r="R32" s="60">
        <f>'SE-EGM-GL'!R32+'SE-LRC-GL'!R32</f>
        <v>-109567</v>
      </c>
      <c r="S32" s="38">
        <f>'SE-EGM-GL'!S32+'SE-LRC-GL'!S32</f>
        <v>-247203.62700000001</v>
      </c>
      <c r="T32" s="60">
        <f>'SE-EGM-GL'!T32+'SE-LRC-GL'!T32</f>
        <v>0</v>
      </c>
      <c r="U32" s="38">
        <f>'SE-EGM-GL'!U32+'SE-LRC-GL'!U32</f>
        <v>-28877.655999999999</v>
      </c>
      <c r="V32" s="60">
        <f>'SE-EGM-GL'!V32+'SE-LRC-GL'!V32</f>
        <v>0</v>
      </c>
      <c r="W32" s="38">
        <f>'SE-EGM-GL'!W32+'SE-LRC-GL'!W32</f>
        <v>-23499.295999999998</v>
      </c>
      <c r="X32" s="60">
        <f>'SE-EGM-GL'!X32+'SE-LRC-GL'!X32</f>
        <v>0</v>
      </c>
      <c r="Y32" s="38">
        <f>'SE-EGM-GL'!Y32+'SE-LRC-GL'!Y32</f>
        <v>106077.808</v>
      </c>
      <c r="Z32" s="60">
        <f>'SE-EGM-GL'!Z32+'SE-LRC-GL'!Z32</f>
        <v>0</v>
      </c>
      <c r="AA32" s="38">
        <f>'SE-EGM-GL'!AA32+'SE-LRC-GL'!AA32</f>
        <v>0</v>
      </c>
      <c r="AB32" s="60">
        <f>'SE-EGM-GL'!AB32+'SE-LRC-GL'!AB32</f>
        <v>-271</v>
      </c>
      <c r="AC32" s="38">
        <f>'SE-EGM-GL'!AC32+'SE-LRC-GL'!AC32</f>
        <v>-437.93599999999998</v>
      </c>
      <c r="AD32" s="60">
        <f>'SE-EGM-GL'!AD32+'SE-LRC-GL'!AD32</f>
        <v>-36003</v>
      </c>
      <c r="AE32" s="38">
        <f>'SE-EGM-GL'!AE32+'SE-LRC-GL'!AE32</f>
        <v>-58180.847999999998</v>
      </c>
      <c r="AF32" s="60">
        <f>'SE-EGM-GL'!AL32+'SE-LRC-GL'!AL32</f>
        <v>0</v>
      </c>
      <c r="AG32" s="38">
        <f>'SE-EGM-GL'!AM32+'SE-LRC-GL'!AM32</f>
        <v>0</v>
      </c>
      <c r="AH32" s="60">
        <f>'SE-EGM-GL'!AP32+'SE-LRC-GL'!AP32</f>
        <v>0</v>
      </c>
      <c r="AI32" s="38">
        <f>'SE-EGM-GL'!AQ32+'SE-LRC-GL'!AQ32</f>
        <v>0</v>
      </c>
      <c r="AJ32" s="60">
        <f>'SE-EGM-GL'!AT32+'SE-LRC-GL'!AT32</f>
        <v>0</v>
      </c>
      <c r="AK32" s="38">
        <f>'SE-EGM-GL'!AU32+'SE-LRC-GL'!AU32</f>
        <v>0</v>
      </c>
      <c r="AL32" s="60">
        <f>'SE-EGM-GL'!AV32+'SE-LRC-GL'!AV32</f>
        <v>0</v>
      </c>
      <c r="AM32" s="38">
        <f>'SE-EGM-GL'!AW32+'SE-LRC-GL'!AW32</f>
        <v>0</v>
      </c>
      <c r="AN32" s="60">
        <f>'SE-EGM-GL'!AX32+'SE-LRC-GL'!AX32</f>
        <v>0</v>
      </c>
      <c r="AO32" s="38">
        <f>'SE-EGM-GL'!AY32+'SE-LRC-GL'!AY32</f>
        <v>0</v>
      </c>
      <c r="AP32" s="60">
        <f>'SE-EGM-GL'!AZ32+'SE-LRC-GL'!AZ32</f>
        <v>0</v>
      </c>
      <c r="AQ32" s="38">
        <f>'SE-EGM-GL'!BA32+'SE-LRC-GL'!BA32</f>
        <v>0</v>
      </c>
      <c r="AR32" s="60">
        <f>'SE-EGM-GL'!BB32+'SE-LRC-GL'!BB32</f>
        <v>0</v>
      </c>
      <c r="AS32" s="38">
        <f>'SE-EGM-GL'!BC32+'SE-LRC-GL'!BC32</f>
        <v>0</v>
      </c>
    </row>
    <row r="33" spans="1:4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'SE-EGM-GL'!AL33+'SE-LRC-GL'!AL33</f>
        <v>0</v>
      </c>
      <c r="AG33" s="38">
        <f>'SE-EGM-GL'!AM33+'SE-LRC-GL'!AM33</f>
        <v>0</v>
      </c>
      <c r="AH33" s="60">
        <f>'SE-EGM-GL'!AP33+'SE-LRC-GL'!AP33</f>
        <v>0</v>
      </c>
      <c r="AI33" s="38">
        <f>'SE-EGM-GL'!AQ33+'SE-LRC-GL'!AQ33</f>
        <v>0</v>
      </c>
      <c r="AJ33" s="60">
        <f>'SE-EGM-GL'!AT33+'SE-LRC-GL'!AT33</f>
        <v>0</v>
      </c>
      <c r="AK33" s="38">
        <f>'SE-EGM-GL'!AU33+'SE-LRC-GL'!AU33</f>
        <v>0</v>
      </c>
      <c r="AL33" s="60">
        <f>'SE-EGM-GL'!AV33+'SE-LRC-GL'!AV33</f>
        <v>0</v>
      </c>
      <c r="AM33" s="38">
        <f>'SE-EGM-GL'!AW33+'SE-LRC-GL'!AW33</f>
        <v>0</v>
      </c>
      <c r="AN33" s="60">
        <f>'SE-EGM-GL'!AX33+'SE-LRC-GL'!AX33</f>
        <v>0</v>
      </c>
      <c r="AO33" s="38">
        <f>'SE-EGM-GL'!AY33+'SE-LRC-GL'!AY33</f>
        <v>0</v>
      </c>
      <c r="AP33" s="60">
        <f>'SE-EGM-GL'!AZ33+'SE-LRC-GL'!AZ33</f>
        <v>0</v>
      </c>
      <c r="AQ33" s="38">
        <f>'SE-EGM-GL'!BA33+'SE-LRC-GL'!BA33</f>
        <v>0</v>
      </c>
      <c r="AR33" s="60">
        <f>'SE-EGM-GL'!BB33+'SE-LRC-GL'!BB33</f>
        <v>0</v>
      </c>
      <c r="AS33" s="38">
        <f>'SE-EGM-GL'!BC33+'SE-LRC-GL'!BC33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'SE-EGM-GL'!AL34+'SE-LRC-GL'!AL34</f>
        <v>0</v>
      </c>
      <c r="AG34" s="38">
        <f>'SE-EGM-GL'!AM34+'SE-LRC-GL'!AM34</f>
        <v>0</v>
      </c>
      <c r="AH34" s="60">
        <f>'SE-EGM-GL'!AP34+'SE-LRC-GL'!AP34</f>
        <v>0</v>
      </c>
      <c r="AI34" s="38">
        <f>'SE-EGM-GL'!AQ34+'SE-LRC-GL'!AQ34</f>
        <v>0</v>
      </c>
      <c r="AJ34" s="60">
        <f>'SE-EGM-GL'!AT34+'SE-LRC-GL'!AT34</f>
        <v>0</v>
      </c>
      <c r="AK34" s="38">
        <f>'SE-EGM-GL'!AU34+'SE-LRC-GL'!AU34</f>
        <v>0</v>
      </c>
      <c r="AL34" s="60">
        <f>'SE-EGM-GL'!AV34+'SE-LRC-GL'!AV34</f>
        <v>0</v>
      </c>
      <c r="AM34" s="38">
        <f>'SE-EGM-GL'!AW34+'SE-LRC-GL'!AW34</f>
        <v>0</v>
      </c>
      <c r="AN34" s="60">
        <f>'SE-EGM-GL'!AX34+'SE-LRC-GL'!AX34</f>
        <v>0</v>
      </c>
      <c r="AO34" s="38">
        <f>'SE-EGM-GL'!AY34+'SE-LRC-GL'!AY34</f>
        <v>0</v>
      </c>
      <c r="AP34" s="60">
        <f>'SE-EGM-GL'!AZ34+'SE-LRC-GL'!AZ34</f>
        <v>0</v>
      </c>
      <c r="AQ34" s="38">
        <f>'SE-EGM-GL'!BA34+'SE-LRC-GL'!BA34</f>
        <v>0</v>
      </c>
      <c r="AR34" s="60">
        <f>'SE-EGM-GL'!BB34+'SE-LRC-GL'!BB34</f>
        <v>0</v>
      </c>
      <c r="AS34" s="38">
        <f>'SE-EGM-GL'!BC34+'SE-LRC-GL'!BC34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'SE-EGM-GL'!AL35+'SE-LRC-GL'!AL35</f>
        <v>0</v>
      </c>
      <c r="AG35" s="38">
        <f>'SE-EGM-GL'!AM35+'SE-LRC-GL'!AM35</f>
        <v>0</v>
      </c>
      <c r="AH35" s="60">
        <f>'SE-EGM-GL'!AP35+'SE-LRC-GL'!AP35</f>
        <v>0</v>
      </c>
      <c r="AI35" s="38">
        <f>'SE-EGM-GL'!AQ35+'SE-LRC-GL'!AQ35</f>
        <v>0</v>
      </c>
      <c r="AJ35" s="60">
        <f>'SE-EGM-GL'!AT35+'SE-LRC-GL'!AT35</f>
        <v>0</v>
      </c>
      <c r="AK35" s="38">
        <f>'SE-EGM-GL'!AU35+'SE-LRC-GL'!AU35</f>
        <v>0</v>
      </c>
      <c r="AL35" s="60">
        <f>'SE-EGM-GL'!AV35+'SE-LRC-GL'!AV35</f>
        <v>0</v>
      </c>
      <c r="AM35" s="38">
        <f>'SE-EGM-GL'!AW35+'SE-LRC-GL'!AW35</f>
        <v>0</v>
      </c>
      <c r="AN35" s="60">
        <f>'SE-EGM-GL'!AX35+'SE-LRC-GL'!AX35</f>
        <v>0</v>
      </c>
      <c r="AO35" s="38">
        <f>'SE-EGM-GL'!AY35+'SE-LRC-GL'!AY35</f>
        <v>0</v>
      </c>
      <c r="AP35" s="60">
        <f>'SE-EGM-GL'!AZ35+'SE-LRC-GL'!AZ35</f>
        <v>0</v>
      </c>
      <c r="AQ35" s="38">
        <f>'SE-EGM-GL'!BA35+'SE-LRC-GL'!BA35</f>
        <v>0</v>
      </c>
      <c r="AR35" s="60">
        <f>'SE-EGM-GL'!BB35+'SE-LRC-GL'!BB35</f>
        <v>0</v>
      </c>
      <c r="AS35" s="38">
        <f>'SE-EGM-GL'!BC35+'SE-LRC-GL'!BC35</f>
        <v>0</v>
      </c>
    </row>
    <row r="36" spans="1:45" x14ac:dyDescent="0.2">
      <c r="A36" s="9"/>
      <c r="B36" s="7" t="s">
        <v>47</v>
      </c>
      <c r="C36" s="6"/>
      <c r="D36" s="61">
        <f>SUM(D32:D35)</f>
        <v>-119018</v>
      </c>
      <c r="E36" s="39">
        <f>SUM(E32:E35)</f>
        <v>-192333.08899999998</v>
      </c>
      <c r="F36" s="61">
        <f t="shared" ref="F36:AC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-78281</v>
      </c>
      <c r="K36" s="39">
        <f t="shared" si="12"/>
        <v>-126502.09600000001</v>
      </c>
      <c r="L36" s="61">
        <f t="shared" si="12"/>
        <v>-26026</v>
      </c>
      <c r="M36" s="39">
        <f t="shared" si="12"/>
        <v>-71472.59</v>
      </c>
      <c r="N36" s="61">
        <f t="shared" si="12"/>
        <v>-9550</v>
      </c>
      <c r="O36" s="39">
        <f t="shared" si="12"/>
        <v>-70158.55</v>
      </c>
      <c r="P36" s="61">
        <f t="shared" si="12"/>
        <v>140680</v>
      </c>
      <c r="Q36" s="39">
        <f t="shared" si="12"/>
        <v>327921.70199999999</v>
      </c>
      <c r="R36" s="61">
        <f t="shared" si="12"/>
        <v>-109567</v>
      </c>
      <c r="S36" s="39">
        <f t="shared" si="12"/>
        <v>-247203.62700000001</v>
      </c>
      <c r="T36" s="61">
        <f t="shared" si="12"/>
        <v>0</v>
      </c>
      <c r="U36" s="39">
        <f t="shared" si="12"/>
        <v>-28877.655999999999</v>
      </c>
      <c r="V36" s="61">
        <f t="shared" si="12"/>
        <v>0</v>
      </c>
      <c r="W36" s="39">
        <f t="shared" si="12"/>
        <v>-23499.295999999998</v>
      </c>
      <c r="X36" s="61">
        <f t="shared" si="12"/>
        <v>0</v>
      </c>
      <c r="Y36" s="39">
        <f t="shared" si="12"/>
        <v>106077.808</v>
      </c>
      <c r="Z36" s="61">
        <f t="shared" si="12"/>
        <v>0</v>
      </c>
      <c r="AA36" s="39">
        <f t="shared" si="12"/>
        <v>0</v>
      </c>
      <c r="AB36" s="61">
        <f t="shared" si="12"/>
        <v>-271</v>
      </c>
      <c r="AC36" s="39">
        <f t="shared" si="12"/>
        <v>-437.93599999999998</v>
      </c>
      <c r="AD36" s="61">
        <f t="shared" ref="AD36:AI36" si="13">SUM(AD32:AD35)</f>
        <v>-36003</v>
      </c>
      <c r="AE36" s="39">
        <f t="shared" si="13"/>
        <v>-58180.847999999998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ref="AJ36:AO36" si="14">SUM(AJ32:AJ35)</f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SUM(F39,H39,J39,L39,N39,P39,R39,T39,V39,X39,Z39,AB39,AD39,AF39,AH39,AJ39,AL39,AN39,AP39,AR39)</f>
        <v>977438</v>
      </c>
      <c r="E39" s="38">
        <f t="shared" si="15"/>
        <v>1607885.51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0</v>
      </c>
      <c r="I39" s="38">
        <f>'SE-EGM-GL'!I39+'SE-LRC-GL'!I39</f>
        <v>0</v>
      </c>
      <c r="J39" s="60">
        <f>'SE-EGM-GL'!J39+'SE-LRC-GL'!J39</f>
        <v>1004820</v>
      </c>
      <c r="K39" s="38">
        <f>'SE-EGM-GL'!K39+'SE-LRC-GL'!K39</f>
        <v>84513.36</v>
      </c>
      <c r="L39" s="60">
        <f>'SE-EGM-GL'!L39+'SE-LRC-GL'!L39</f>
        <v>-27382</v>
      </c>
      <c r="M39" s="38">
        <f>'SE-EGM-GL'!M39+'SE-LRC-GL'!M39</f>
        <v>1523372.15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'SE-EGM-GL'!AL39+'SE-LRC-GL'!AL39</f>
        <v>0</v>
      </c>
      <c r="AG39" s="38">
        <f>'SE-EGM-GL'!AM39+'SE-LRC-GL'!AM39</f>
        <v>0</v>
      </c>
      <c r="AH39" s="60">
        <f>'SE-EGM-GL'!AP39+'SE-LRC-GL'!AP39</f>
        <v>0</v>
      </c>
      <c r="AI39" s="38">
        <f>'SE-EGM-GL'!AQ39+'SE-LRC-GL'!AQ39</f>
        <v>0</v>
      </c>
      <c r="AJ39" s="60">
        <f>'SE-EGM-GL'!AT39+'SE-LRC-GL'!AT39</f>
        <v>0</v>
      </c>
      <c r="AK39" s="38">
        <f>'SE-EGM-GL'!AU39+'SE-LRC-GL'!AU39</f>
        <v>0</v>
      </c>
      <c r="AL39" s="60">
        <f>'SE-EGM-GL'!AV39+'SE-LRC-GL'!AV39</f>
        <v>0</v>
      </c>
      <c r="AM39" s="38">
        <f>'SE-EGM-GL'!AW39+'SE-LRC-GL'!AW39</f>
        <v>0</v>
      </c>
      <c r="AN39" s="60">
        <f>'SE-EGM-GL'!AX39+'SE-LRC-GL'!AX39</f>
        <v>0</v>
      </c>
      <c r="AO39" s="38">
        <f>'SE-EGM-GL'!AY39+'SE-LRC-GL'!AY39</f>
        <v>0</v>
      </c>
      <c r="AP39" s="60">
        <f>'SE-EGM-GL'!AZ39+'SE-LRC-GL'!AZ39</f>
        <v>0</v>
      </c>
      <c r="AQ39" s="38">
        <f>'SE-EGM-GL'!BA39+'SE-LRC-GL'!BA39</f>
        <v>0</v>
      </c>
      <c r="AR39" s="60">
        <f>'SE-EGM-GL'!BB39+'SE-LRC-GL'!BB39</f>
        <v>0</v>
      </c>
      <c r="AS39" s="38">
        <f>'SE-EGM-GL'!BC39+'SE-LRC-GL'!BC39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5"/>
        <v>-720794</v>
      </c>
      <c r="E40" s="38">
        <f t="shared" si="15"/>
        <v>-1185706.1300000001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0</v>
      </c>
      <c r="I40" s="38">
        <f>'SE-EGM-GL'!I40+'SE-LRC-GL'!I40</f>
        <v>0</v>
      </c>
      <c r="J40" s="60">
        <f>'SE-EGM-GL'!J40+'SE-LRC-GL'!J40</f>
        <v>-740661</v>
      </c>
      <c r="K40" s="38">
        <f>'SE-EGM-GL'!K40+'SE-LRC-GL'!K40</f>
        <v>-193210.96</v>
      </c>
      <c r="L40" s="60">
        <f>'SE-EGM-GL'!L40+'SE-LRC-GL'!L40</f>
        <v>19867</v>
      </c>
      <c r="M40" s="38">
        <f>'SE-EGM-GL'!M40+'SE-LRC-GL'!M40</f>
        <v>-992495.17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'SE-EGM-GL'!AL40+'SE-LRC-GL'!AL40</f>
        <v>0</v>
      </c>
      <c r="AG40" s="38">
        <f>'SE-EGM-GL'!AM40+'SE-LRC-GL'!AM40</f>
        <v>0</v>
      </c>
      <c r="AH40" s="60">
        <f>'SE-EGM-GL'!AP40+'SE-LRC-GL'!AP40</f>
        <v>0</v>
      </c>
      <c r="AI40" s="38">
        <f>'SE-EGM-GL'!AQ40+'SE-LRC-GL'!AQ40</f>
        <v>0</v>
      </c>
      <c r="AJ40" s="60">
        <f>'SE-EGM-GL'!AT40+'SE-LRC-GL'!AT40</f>
        <v>0</v>
      </c>
      <c r="AK40" s="38">
        <f>'SE-EGM-GL'!AU40+'SE-LRC-GL'!AU40</f>
        <v>0</v>
      </c>
      <c r="AL40" s="60">
        <f>'SE-EGM-GL'!AV40+'SE-LRC-GL'!AV40</f>
        <v>0</v>
      </c>
      <c r="AM40" s="38">
        <f>'SE-EGM-GL'!AW40+'SE-LRC-GL'!AW40</f>
        <v>0</v>
      </c>
      <c r="AN40" s="60">
        <f>'SE-EGM-GL'!AX40+'SE-LRC-GL'!AX40</f>
        <v>0</v>
      </c>
      <c r="AO40" s="38">
        <f>'SE-EGM-GL'!AY40+'SE-LRC-GL'!AY40</f>
        <v>0</v>
      </c>
      <c r="AP40" s="60">
        <f>'SE-EGM-GL'!AZ40+'SE-LRC-GL'!AZ40</f>
        <v>0</v>
      </c>
      <c r="AQ40" s="38">
        <f>'SE-EGM-GL'!BA40+'SE-LRC-GL'!BA40</f>
        <v>0</v>
      </c>
      <c r="AR40" s="60">
        <f>'SE-EGM-GL'!BB40+'SE-LRC-GL'!BB40</f>
        <v>0</v>
      </c>
      <c r="AS40" s="38">
        <f>'SE-EGM-GL'!BC40+'SE-LRC-GL'!BC40</f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'SE-EGM-GL'!AL41+'SE-LRC-GL'!AL41</f>
        <v>0</v>
      </c>
      <c r="AG41" s="38">
        <f>'SE-EGM-GL'!AM41+'SE-LRC-GL'!AM41</f>
        <v>0</v>
      </c>
      <c r="AH41" s="60">
        <f>'SE-EGM-GL'!AP41+'SE-LRC-GL'!AP41</f>
        <v>0</v>
      </c>
      <c r="AI41" s="38">
        <f>'SE-EGM-GL'!AQ41+'SE-LRC-GL'!AQ41</f>
        <v>0</v>
      </c>
      <c r="AJ41" s="60">
        <f>'SE-EGM-GL'!AT41+'SE-LRC-GL'!AT41</f>
        <v>0</v>
      </c>
      <c r="AK41" s="38">
        <f>'SE-EGM-GL'!AU41+'SE-LRC-GL'!AU41</f>
        <v>0</v>
      </c>
      <c r="AL41" s="60">
        <f>'SE-EGM-GL'!AV41+'SE-LRC-GL'!AV41</f>
        <v>0</v>
      </c>
      <c r="AM41" s="38">
        <f>'SE-EGM-GL'!AW41+'SE-LRC-GL'!AW41</f>
        <v>0</v>
      </c>
      <c r="AN41" s="60">
        <f>'SE-EGM-GL'!AX41+'SE-LRC-GL'!AX41</f>
        <v>0</v>
      </c>
      <c r="AO41" s="38">
        <f>'SE-EGM-GL'!AY41+'SE-LRC-GL'!AY41</f>
        <v>0</v>
      </c>
      <c r="AP41" s="60">
        <f>'SE-EGM-GL'!AZ41+'SE-LRC-GL'!AZ41</f>
        <v>0</v>
      </c>
      <c r="AQ41" s="38">
        <f>'SE-EGM-GL'!BA41+'SE-LRC-GL'!BA41</f>
        <v>0</v>
      </c>
      <c r="AR41" s="60">
        <f>'SE-EGM-GL'!BB41+'SE-LRC-GL'!BB41</f>
        <v>0</v>
      </c>
      <c r="AS41" s="38">
        <f>'SE-EGM-GL'!BC41+'SE-LRC-GL'!BC41</f>
        <v>0</v>
      </c>
    </row>
    <row r="42" spans="1:45" x14ac:dyDescent="0.2">
      <c r="A42" s="9"/>
      <c r="B42" s="7"/>
      <c r="C42" s="53" t="s">
        <v>52</v>
      </c>
      <c r="D42" s="61">
        <f>SUM(D40:D41)</f>
        <v>-720794</v>
      </c>
      <c r="E42" s="39">
        <f>SUM(E40:E41)</f>
        <v>-1185706.1300000001</v>
      </c>
      <c r="F42" s="61">
        <f t="shared" ref="F42:AC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-740661</v>
      </c>
      <c r="K42" s="39">
        <f t="shared" si="16"/>
        <v>-193210.96</v>
      </c>
      <c r="L42" s="61">
        <f t="shared" si="16"/>
        <v>19867</v>
      </c>
      <c r="M42" s="39">
        <f t="shared" si="16"/>
        <v>-992495.17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ref="AD42:AI42" si="17">SUM(AD40:AD41)</f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ref="AJ42:AO42" si="18">SUM(AJ40:AJ41)</f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>D42+D39</f>
        <v>256644</v>
      </c>
      <c r="E43" s="39">
        <f>E42+E39</f>
        <v>422179.37999999989</v>
      </c>
      <c r="F43" s="61">
        <f t="shared" ref="F43:AC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264159</v>
      </c>
      <c r="K43" s="39">
        <f t="shared" si="19"/>
        <v>-108697.59999999999</v>
      </c>
      <c r="L43" s="61">
        <f t="shared" si="19"/>
        <v>-7515</v>
      </c>
      <c r="M43" s="39">
        <f t="shared" si="19"/>
        <v>530876.97999999986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ref="AD43:AI43" si="20">AD42+AD39</f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ref="AJ43:AO43" si="21">AJ42+AJ39</f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2">SUM(F45,H45,J45,L45,N45,P45,R45,T45,V45,X45,Z45,AB45,AD45,AF45,AH45,AJ45,AL45,AN45,AP45,AR45)</f>
        <v>-27044</v>
      </c>
      <c r="E45" s="38">
        <f t="shared" si="22"/>
        <v>-46230.1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-27044</v>
      </c>
      <c r="K45" s="38">
        <f>'SE-EGM-GL'!K45+'SE-LRC-GL'!K45</f>
        <v>-52194.92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5965.9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-1.08</v>
      </c>
      <c r="AF45" s="60">
        <f>'SE-EGM-GL'!AL45+'SE-LRC-GL'!AL45</f>
        <v>0</v>
      </c>
      <c r="AG45" s="38">
        <f>'SE-EGM-GL'!AM45+'SE-LRC-GL'!AM45</f>
        <v>0</v>
      </c>
      <c r="AH45" s="60">
        <f>'SE-EGM-GL'!AP45+'SE-LRC-GL'!AP45</f>
        <v>0</v>
      </c>
      <c r="AI45" s="38">
        <f>'SE-EGM-GL'!AQ45+'SE-LRC-GL'!AQ45</f>
        <v>0</v>
      </c>
      <c r="AJ45" s="60">
        <f>'SE-EGM-GL'!AT45+'SE-LRC-GL'!AT45</f>
        <v>0</v>
      </c>
      <c r="AK45" s="38">
        <f>'SE-EGM-GL'!AU45+'SE-LRC-GL'!AU45</f>
        <v>0</v>
      </c>
      <c r="AL45" s="60">
        <f>'SE-EGM-GL'!AV45+'SE-LRC-GL'!AV45</f>
        <v>0</v>
      </c>
      <c r="AM45" s="38">
        <f>'SE-EGM-GL'!AW45+'SE-LRC-GL'!AW45</f>
        <v>0</v>
      </c>
      <c r="AN45" s="60">
        <f>'SE-EGM-GL'!AX45+'SE-LRC-GL'!AX45</f>
        <v>0</v>
      </c>
      <c r="AO45" s="38">
        <f>'SE-EGM-GL'!AY45+'SE-LRC-GL'!AY45</f>
        <v>0</v>
      </c>
      <c r="AP45" s="60">
        <f>'SE-EGM-GL'!AZ45+'SE-LRC-GL'!AZ45</f>
        <v>0</v>
      </c>
      <c r="AQ45" s="38">
        <f>'SE-EGM-GL'!BA45+'SE-LRC-GL'!BA45</f>
        <v>0</v>
      </c>
      <c r="AR45" s="60">
        <f>'SE-EGM-GL'!BB45+'SE-LRC-GL'!BB45</f>
        <v>0</v>
      </c>
      <c r="AS45" s="38">
        <f>'SE-EGM-GL'!BC45+'SE-LRC-GL'!BC45</f>
        <v>0</v>
      </c>
    </row>
    <row r="46" spans="1:45" x14ac:dyDescent="0.2">
      <c r="A46" s="9"/>
      <c r="B46" s="11"/>
      <c r="C46" s="6"/>
      <c r="D46" s="60">
        <f t="shared" si="22"/>
        <v>0</v>
      </c>
      <c r="E46" s="38">
        <f t="shared" si="22"/>
        <v>0</v>
      </c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2"/>
        <v>0</v>
      </c>
      <c r="E47" s="38">
        <f t="shared" si="22"/>
        <v>0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0</v>
      </c>
      <c r="I47" s="38">
        <f>'SE-EGM-GL'!I47+'SE-LRC-GL'!I47</f>
        <v>0</v>
      </c>
      <c r="J47" s="60">
        <f>'SE-EGM-GL'!J47+'SE-LRC-GL'!J47</f>
        <v>72123</v>
      </c>
      <c r="K47" s="38">
        <f>'SE-EGM-GL'!K47+'SE-LRC-GL'!K47</f>
        <v>118281.72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-72123</v>
      </c>
      <c r="Q47" s="38">
        <f>'SE-EGM-GL'!Q47+'SE-LRC-GL'!Q47</f>
        <v>-118281.72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'SE-EGM-GL'!AL47+'SE-LRC-GL'!AL47</f>
        <v>0</v>
      </c>
      <c r="AG47" s="38">
        <f>'SE-EGM-GL'!AM47+'SE-LRC-GL'!AM47</f>
        <v>0</v>
      </c>
      <c r="AH47" s="60">
        <f>'SE-EGM-GL'!AP47+'SE-LRC-GL'!AP47</f>
        <v>0</v>
      </c>
      <c r="AI47" s="38">
        <f>'SE-EGM-GL'!AQ47+'SE-LRC-GL'!AQ47</f>
        <v>0</v>
      </c>
      <c r="AJ47" s="60">
        <f>'SE-EGM-GL'!AT47+'SE-LRC-GL'!AT47</f>
        <v>0</v>
      </c>
      <c r="AK47" s="38">
        <f>'SE-EGM-GL'!AU47+'SE-LRC-GL'!AU47</f>
        <v>0</v>
      </c>
      <c r="AL47" s="60">
        <f>'SE-EGM-GL'!AV47+'SE-LRC-GL'!AV47</f>
        <v>0</v>
      </c>
      <c r="AM47" s="38">
        <f>'SE-EGM-GL'!AW47+'SE-LRC-GL'!AW47</f>
        <v>0</v>
      </c>
      <c r="AN47" s="60">
        <f>'SE-EGM-GL'!AX47+'SE-LRC-GL'!AX47</f>
        <v>0</v>
      </c>
      <c r="AO47" s="38">
        <f>'SE-EGM-GL'!AY47+'SE-LRC-GL'!AY47</f>
        <v>0</v>
      </c>
      <c r="AP47" s="60">
        <f>'SE-EGM-GL'!AZ47+'SE-LRC-GL'!AZ47</f>
        <v>0</v>
      </c>
      <c r="AQ47" s="38">
        <f>'SE-EGM-GL'!BA47+'SE-LRC-GL'!BA47</f>
        <v>0</v>
      </c>
      <c r="AR47" s="60">
        <f>'SE-EGM-GL'!BB47+'SE-LRC-GL'!BB47</f>
        <v>0</v>
      </c>
      <c r="AS47" s="38">
        <f>'SE-EGM-GL'!BC47+'SE-LRC-GL'!BC47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69611</v>
      </c>
      <c r="E49" s="38">
        <f>SUM(G49,I49,K49,M49,O49,Q49,S49,U49,W49,Y49,AA49,AC49,AE49,AG49,AI49,AK49,AM49,AO49,AQ49,AS49)</f>
        <v>112491.37199999993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258441</v>
      </c>
      <c r="I49" s="38">
        <f>'SE-EGM-GL'!I49+'SE-LRC-GL'!I49</f>
        <v>417640.65600000002</v>
      </c>
      <c r="J49" s="60">
        <f>'SE-EGM-GL'!J49+'SE-LRC-GL'!J49</f>
        <v>-356160</v>
      </c>
      <c r="K49" s="38">
        <f>'SE-EGM-GL'!K49+'SE-LRC-GL'!K49</f>
        <v>-575554.56400000001</v>
      </c>
      <c r="L49" s="60">
        <f>'SE-EGM-GL'!L49+'SE-LRC-GL'!L49</f>
        <v>217574</v>
      </c>
      <c r="M49" s="38">
        <f>'SE-EGM-GL'!M49+'SE-LRC-GL'!M49</f>
        <v>351599.58399999997</v>
      </c>
      <c r="N49" s="60">
        <f>'SE-EGM-GL'!N49+'SE-LRC-GL'!N49</f>
        <v>81673</v>
      </c>
      <c r="O49" s="38">
        <f>'SE-EGM-GL'!O49+'SE-LRC-GL'!O49</f>
        <v>131983.568</v>
      </c>
      <c r="P49" s="60">
        <f>'SE-EGM-GL'!P49+'SE-LRC-GL'!P49</f>
        <v>-281360</v>
      </c>
      <c r="Q49" s="38">
        <f>'SE-EGM-GL'!Q49+'SE-LRC-GL'!Q49</f>
        <v>-454677.76000000001</v>
      </c>
      <c r="R49" s="60">
        <f>'SE-EGM-GL'!R49+'SE-LRC-GL'!R49</f>
        <v>109567</v>
      </c>
      <c r="S49" s="38">
        <f>'SE-EGM-GL'!S49+'SE-LRC-GL'!S49</f>
        <v>177060.272</v>
      </c>
      <c r="T49" s="60">
        <f>'SE-EGM-GL'!T49+'SE-LRC-GL'!T49</f>
        <v>-5839</v>
      </c>
      <c r="U49" s="38">
        <f>'SE-EGM-GL'!U49+'SE-LRC-GL'!U49</f>
        <v>-9435.8240000000005</v>
      </c>
      <c r="V49" s="60">
        <f>'SE-EGM-GL'!V49+'SE-LRC-GL'!V49</f>
        <v>9712</v>
      </c>
      <c r="W49" s="38">
        <f>'SE-EGM-GL'!W49+'SE-LRC-GL'!W49</f>
        <v>15694.592000000001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36003</v>
      </c>
      <c r="AE49" s="38">
        <f>'SE-EGM-GL'!AE49+'SE-LRC-GL'!AE49</f>
        <v>58180.847999999998</v>
      </c>
      <c r="AF49" s="60">
        <f>'SE-EGM-GL'!AL49+'SE-LRC-GL'!AL49</f>
        <v>0</v>
      </c>
      <c r="AG49" s="38">
        <f>'SE-EGM-GL'!AM49+'SE-LRC-GL'!AM49</f>
        <v>0</v>
      </c>
      <c r="AH49" s="60">
        <f>'SE-EGM-GL'!AP49+'SE-LRC-GL'!AP49</f>
        <v>0</v>
      </c>
      <c r="AI49" s="38">
        <f>'SE-EGM-GL'!AQ49+'SE-LRC-GL'!AQ49</f>
        <v>0</v>
      </c>
      <c r="AJ49" s="60">
        <f>'SE-EGM-GL'!AT49+'SE-LRC-GL'!AT49</f>
        <v>0</v>
      </c>
      <c r="AK49" s="38">
        <f>'SE-EGM-GL'!AU49+'SE-LRC-GL'!AU49</f>
        <v>0</v>
      </c>
      <c r="AL49" s="60">
        <f>'SE-EGM-GL'!AV49+'SE-LRC-GL'!AV49</f>
        <v>0</v>
      </c>
      <c r="AM49" s="38">
        <f>'SE-EGM-GL'!AW49+'SE-LRC-GL'!AW49</f>
        <v>0</v>
      </c>
      <c r="AN49" s="60">
        <f>'SE-EGM-GL'!AX49+'SE-LRC-GL'!AX49</f>
        <v>0</v>
      </c>
      <c r="AO49" s="38">
        <f>'SE-EGM-GL'!AY49+'SE-LRC-GL'!AY49</f>
        <v>0</v>
      </c>
      <c r="AP49" s="60">
        <f>'SE-EGM-GL'!AZ49+'SE-LRC-GL'!AZ49</f>
        <v>0</v>
      </c>
      <c r="AQ49" s="38">
        <f>'SE-EGM-GL'!BA49+'SE-LRC-GL'!BA49</f>
        <v>0</v>
      </c>
      <c r="AR49" s="60">
        <f>'SE-EGM-GL'!BB49+'SE-LRC-GL'!BB49</f>
        <v>0</v>
      </c>
      <c r="AS49" s="38">
        <f>'SE-EGM-GL'!BC49+'SE-LRC-GL'!BC49</f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-29238</v>
      </c>
      <c r="E51" s="38">
        <f>SUM(G51,I51,K51,M51,O51,Q51,S51,U51,W51,Y51,AA51,AC51,AE51,AG51,AI51,AK51,AM51,AO51,AQ51,AS51)</f>
        <v>-51797.440000000002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0</v>
      </c>
      <c r="I51" s="38">
        <f>'SE-EGM-GL'!I51+'SE-LRC-GL'!I51</f>
        <v>0</v>
      </c>
      <c r="J51" s="60">
        <f>'SE-EGM-GL'!J51+'SE-LRC-GL'!J51</f>
        <v>-27038</v>
      </c>
      <c r="K51" s="38">
        <f>'SE-EGM-GL'!K51+'SE-LRC-GL'!K51</f>
        <v>-47535.51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-2200</v>
      </c>
      <c r="W51" s="38">
        <f>'SE-EGM-GL'!W51+'SE-LRC-GL'!W51</f>
        <v>-4261.93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'SE-EGM-GL'!AL51+'SE-LRC-GL'!AL51</f>
        <v>0</v>
      </c>
      <c r="AG51" s="38">
        <f>'SE-EGM-GL'!AM51+'SE-LRC-GL'!AM51</f>
        <v>0</v>
      </c>
      <c r="AH51" s="60">
        <f>'SE-EGM-GL'!AP51+'SE-LRC-GL'!AP51</f>
        <v>0</v>
      </c>
      <c r="AI51" s="38">
        <f>'SE-EGM-GL'!AQ51+'SE-LRC-GL'!AQ51</f>
        <v>0</v>
      </c>
      <c r="AJ51" s="60">
        <f>'SE-EGM-GL'!AT51+'SE-LRC-GL'!AT51</f>
        <v>0</v>
      </c>
      <c r="AK51" s="38">
        <f>'SE-EGM-GL'!AU51+'SE-LRC-GL'!AU51</f>
        <v>0</v>
      </c>
      <c r="AL51" s="60">
        <f>'SE-EGM-GL'!AV51+'SE-LRC-GL'!AV51</f>
        <v>0</v>
      </c>
      <c r="AM51" s="38">
        <f>'SE-EGM-GL'!AW51+'SE-LRC-GL'!AW51</f>
        <v>0</v>
      </c>
      <c r="AN51" s="60">
        <f>'SE-EGM-GL'!AX51+'SE-LRC-GL'!AX51</f>
        <v>0</v>
      </c>
      <c r="AO51" s="38">
        <f>'SE-EGM-GL'!AY51+'SE-LRC-GL'!AY51</f>
        <v>0</v>
      </c>
      <c r="AP51" s="60">
        <f>'SE-EGM-GL'!AZ51+'SE-LRC-GL'!AZ51</f>
        <v>0</v>
      </c>
      <c r="AQ51" s="38">
        <f>'SE-EGM-GL'!BA51+'SE-LRC-GL'!BA51</f>
        <v>0</v>
      </c>
      <c r="AR51" s="60">
        <f>'SE-EGM-GL'!BB51+'SE-LRC-GL'!BB51</f>
        <v>0</v>
      </c>
      <c r="AS51" s="38">
        <f>'SE-EGM-GL'!BC51+'SE-LRC-GL'!BC51</f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0</v>
      </c>
      <c r="E54" s="38">
        <f>SUM(G54,I54,K54,M54,O54,Q54,S54,U54,W54,Y54,AA54,AC54,AE54,AG54,AI54,AK54,AM54,AO54,AQ54,AS54)</f>
        <v>52201.599999999999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47040.88</v>
      </c>
      <c r="J54" s="60">
        <f>'SE-EGM-GL'!J54+'SE-LRC-GL'!J54</f>
        <v>0</v>
      </c>
      <c r="K54" s="38">
        <f>'SE-EGM-GL'!K54+'SE-LRC-GL'!K54</f>
        <v>0</v>
      </c>
      <c r="L54" s="60">
        <f>'SE-EGM-GL'!L54+'SE-LRC-GL'!L54</f>
        <v>0</v>
      </c>
      <c r="M54" s="38">
        <f>'SE-EGM-GL'!M54+'SE-LRC-GL'!M54</f>
        <v>5160.72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'SE-EGM-GL'!AL54+'SE-LRC-GL'!AL54</f>
        <v>0</v>
      </c>
      <c r="AG54" s="38">
        <f>'SE-EGM-GL'!AM54+'SE-LRC-GL'!AM54</f>
        <v>0</v>
      </c>
      <c r="AH54" s="60">
        <f>'SE-EGM-GL'!AP54+'SE-LRC-GL'!AP54</f>
        <v>0</v>
      </c>
      <c r="AI54" s="38">
        <f>'SE-EGM-GL'!AQ54+'SE-LRC-GL'!AQ54</f>
        <v>0</v>
      </c>
      <c r="AJ54" s="60">
        <f>'SE-EGM-GL'!AT54+'SE-LRC-GL'!AT54</f>
        <v>0</v>
      </c>
      <c r="AK54" s="38">
        <f>'SE-EGM-GL'!AU54+'SE-LRC-GL'!AU54</f>
        <v>0</v>
      </c>
      <c r="AL54" s="60">
        <f>'SE-EGM-GL'!AV54+'SE-LRC-GL'!AV54</f>
        <v>0</v>
      </c>
      <c r="AM54" s="38">
        <f>'SE-EGM-GL'!AW54+'SE-LRC-GL'!AW54</f>
        <v>0</v>
      </c>
      <c r="AN54" s="60">
        <f>'SE-EGM-GL'!AX54+'SE-LRC-GL'!AX54</f>
        <v>0</v>
      </c>
      <c r="AO54" s="38">
        <f>'SE-EGM-GL'!AY54+'SE-LRC-GL'!AY54</f>
        <v>0</v>
      </c>
      <c r="AP54" s="60">
        <f>'SE-EGM-GL'!AZ54+'SE-LRC-GL'!AZ54</f>
        <v>0</v>
      </c>
      <c r="AQ54" s="38">
        <f>'SE-EGM-GL'!BA54+'SE-LRC-GL'!BA54</f>
        <v>0</v>
      </c>
      <c r="AR54" s="60">
        <f>'SE-EGM-GL'!BB54+'SE-LRC-GL'!BB54</f>
        <v>0</v>
      </c>
      <c r="AS54" s="38">
        <f>'SE-EGM-GL'!BC54+'SE-LRC-GL'!BC54</f>
        <v>0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170000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170000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'SE-EGM-GL'!AL55+'SE-LRC-GL'!AL55</f>
        <v>0</v>
      </c>
      <c r="AG55" s="38">
        <f>'SE-EGM-GL'!AM55+'SE-LRC-GL'!AM55</f>
        <v>0</v>
      </c>
      <c r="AH55" s="60">
        <f>'SE-EGM-GL'!AP55+'SE-LRC-GL'!AP55</f>
        <v>0</v>
      </c>
      <c r="AI55" s="38">
        <f>'SE-EGM-GL'!AQ55+'SE-LRC-GL'!AQ55</f>
        <v>0</v>
      </c>
      <c r="AJ55" s="60">
        <f>'SE-EGM-GL'!AT55+'SE-LRC-GL'!AT55</f>
        <v>0</v>
      </c>
      <c r="AK55" s="38">
        <f>'SE-EGM-GL'!AU55+'SE-LRC-GL'!AU55</f>
        <v>0</v>
      </c>
      <c r="AL55" s="60">
        <f>'SE-EGM-GL'!AV55+'SE-LRC-GL'!AV55</f>
        <v>0</v>
      </c>
      <c r="AM55" s="38">
        <f>'SE-EGM-GL'!AW55+'SE-LRC-GL'!AW55</f>
        <v>0</v>
      </c>
      <c r="AN55" s="60">
        <f>'SE-EGM-GL'!AX55+'SE-LRC-GL'!AX55</f>
        <v>0</v>
      </c>
      <c r="AO55" s="38">
        <f>'SE-EGM-GL'!AY55+'SE-LRC-GL'!AY55</f>
        <v>0</v>
      </c>
      <c r="AP55" s="60">
        <f>'SE-EGM-GL'!AZ55+'SE-LRC-GL'!AZ55</f>
        <v>0</v>
      </c>
      <c r="AQ55" s="38">
        <f>'SE-EGM-GL'!BA55+'SE-LRC-GL'!BA55</f>
        <v>0</v>
      </c>
      <c r="AR55" s="60">
        <f>'SE-EGM-GL'!BB55+'SE-LRC-GL'!BB55</f>
        <v>0</v>
      </c>
      <c r="AS55" s="38">
        <f>'SE-EGM-GL'!BC55+'SE-LRC-GL'!BC55</f>
        <v>0</v>
      </c>
    </row>
    <row r="56" spans="1:4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222201.60000000001</v>
      </c>
      <c r="F56" s="61">
        <f t="shared" ref="F56:AC56" si="23">SUM(F54:F55)</f>
        <v>0</v>
      </c>
      <c r="G56" s="39">
        <f t="shared" si="23"/>
        <v>0</v>
      </c>
      <c r="H56" s="61">
        <f t="shared" si="23"/>
        <v>0</v>
      </c>
      <c r="I56" s="39">
        <f t="shared" si="23"/>
        <v>217040.88</v>
      </c>
      <c r="J56" s="61">
        <f t="shared" si="23"/>
        <v>0</v>
      </c>
      <c r="K56" s="39">
        <f t="shared" si="23"/>
        <v>0</v>
      </c>
      <c r="L56" s="61">
        <f t="shared" si="23"/>
        <v>0</v>
      </c>
      <c r="M56" s="39">
        <f t="shared" si="23"/>
        <v>5160.72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ref="AJ56:AO56" si="25">SUM(AJ54:AJ55)</f>
        <v>0</v>
      </c>
      <c r="AK56" s="39">
        <f t="shared" si="25"/>
        <v>0</v>
      </c>
      <c r="AL56" s="61">
        <f t="shared" si="25"/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3063827</v>
      </c>
      <c r="E59" s="38">
        <f>SUM(G59,I59,K59,M59,O59,Q59,S59,U59,W59,Y59,AA59,AC59,AE59,AG59,AI59,AK59,AM59,AO59,AQ59,AS59)</f>
        <v>61405.760000000002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3301788</v>
      </c>
      <c r="I59" s="38">
        <f>'SE-EGM-GL'!I59+'SE-LRC-GL'!I59</f>
        <v>51770.98</v>
      </c>
      <c r="J59" s="60">
        <f>'SE-EGM-GL'!J59+'SE-LRC-GL'!J59</f>
        <v>-106007</v>
      </c>
      <c r="K59" s="38">
        <f>'SE-EGM-GL'!K59+'SE-LRC-GL'!K59</f>
        <v>9725.02</v>
      </c>
      <c r="L59" s="60">
        <f>'SE-EGM-GL'!L59+'SE-LRC-GL'!L59</f>
        <v>-136741</v>
      </c>
      <c r="M59" s="38">
        <f>'SE-EGM-GL'!M59+'SE-LRC-GL'!M59</f>
        <v>0</v>
      </c>
      <c r="N59" s="60">
        <f>'SE-EGM-GL'!N59+'SE-LRC-GL'!N59</f>
        <v>-20201</v>
      </c>
      <c r="O59" s="38">
        <f>'SE-EGM-GL'!O59+'SE-LRC-GL'!O59</f>
        <v>-90.24</v>
      </c>
      <c r="P59" s="60">
        <f>'SE-EGM-GL'!P59+'SE-LRC-GL'!P59</f>
        <v>24717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271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'SE-EGM-GL'!AL59+'SE-LRC-GL'!AL59</f>
        <v>0</v>
      </c>
      <c r="AG59" s="38">
        <f>'SE-EGM-GL'!AM59+'SE-LRC-GL'!AM59</f>
        <v>0</v>
      </c>
      <c r="AH59" s="60">
        <f>'SE-EGM-GL'!AP59+'SE-LRC-GL'!AP59</f>
        <v>0</v>
      </c>
      <c r="AI59" s="38">
        <f>'SE-EGM-GL'!AQ59+'SE-LRC-GL'!AQ59</f>
        <v>0</v>
      </c>
      <c r="AJ59" s="60">
        <f>'SE-EGM-GL'!AT59+'SE-LRC-GL'!AT59</f>
        <v>0</v>
      </c>
      <c r="AK59" s="38">
        <f>'SE-EGM-GL'!AU59+'SE-LRC-GL'!AU59</f>
        <v>0</v>
      </c>
      <c r="AL59" s="60">
        <f>'SE-EGM-GL'!AV59+'SE-LRC-GL'!AV59</f>
        <v>0</v>
      </c>
      <c r="AM59" s="38">
        <f>'SE-EGM-GL'!AW59+'SE-LRC-GL'!AW59</f>
        <v>0</v>
      </c>
      <c r="AN59" s="60">
        <f>'SE-EGM-GL'!AX59+'SE-LRC-GL'!AX59</f>
        <v>0</v>
      </c>
      <c r="AO59" s="38">
        <f>'SE-EGM-GL'!AY59+'SE-LRC-GL'!AY59</f>
        <v>0</v>
      </c>
      <c r="AP59" s="60">
        <f>'SE-EGM-GL'!AZ59+'SE-LRC-GL'!AZ59</f>
        <v>0</v>
      </c>
      <c r="AQ59" s="38">
        <f>'SE-EGM-GL'!BA59+'SE-LRC-GL'!BA59</f>
        <v>0</v>
      </c>
      <c r="AR59" s="60">
        <f>'SE-EGM-GL'!BB59+'SE-LRC-GL'!BB59</f>
        <v>0</v>
      </c>
      <c r="AS59" s="38">
        <f>'SE-EGM-GL'!BC59+'SE-LRC-GL'!BC59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0</v>
      </c>
      <c r="J60" s="60">
        <f>'SE-EGM-GL'!J60+'SE-LRC-GL'!J60</f>
        <v>0</v>
      </c>
      <c r="K60" s="38">
        <f>'SE-EGM-GL'!K60+'SE-LRC-GL'!K60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'SE-EGM-GL'!AL60+'SE-LRC-GL'!AL60</f>
        <v>0</v>
      </c>
      <c r="AG60" s="38">
        <f>'SE-EGM-GL'!AM60+'SE-LRC-GL'!AM60</f>
        <v>0</v>
      </c>
      <c r="AH60" s="60">
        <f>'SE-EGM-GL'!AP60+'SE-LRC-GL'!AP60</f>
        <v>0</v>
      </c>
      <c r="AI60" s="38">
        <f>'SE-EGM-GL'!AQ60+'SE-LRC-GL'!AQ60</f>
        <v>0</v>
      </c>
      <c r="AJ60" s="60">
        <f>'SE-EGM-GL'!AT60+'SE-LRC-GL'!AT60</f>
        <v>0</v>
      </c>
      <c r="AK60" s="38">
        <f>'SE-EGM-GL'!AU60+'SE-LRC-GL'!AU60</f>
        <v>0</v>
      </c>
      <c r="AL60" s="60">
        <f>'SE-EGM-GL'!AV60+'SE-LRC-GL'!AV60</f>
        <v>0</v>
      </c>
      <c r="AM60" s="38">
        <f>'SE-EGM-GL'!AW60+'SE-LRC-GL'!AW60</f>
        <v>0</v>
      </c>
      <c r="AN60" s="60">
        <f>'SE-EGM-GL'!AX60+'SE-LRC-GL'!AX60</f>
        <v>0</v>
      </c>
      <c r="AO60" s="38">
        <f>'SE-EGM-GL'!AY60+'SE-LRC-GL'!AY60</f>
        <v>0</v>
      </c>
      <c r="AP60" s="60">
        <f>'SE-EGM-GL'!AZ60+'SE-LRC-GL'!AZ60</f>
        <v>0</v>
      </c>
      <c r="AQ60" s="38">
        <f>'SE-EGM-GL'!BA60+'SE-LRC-GL'!BA60</f>
        <v>0</v>
      </c>
      <c r="AR60" s="60">
        <f>'SE-EGM-GL'!BB60+'SE-LRC-GL'!BB60</f>
        <v>0</v>
      </c>
      <c r="AS60" s="38">
        <f>'SE-EGM-GL'!BC60+'SE-LRC-GL'!BC60</f>
        <v>0</v>
      </c>
    </row>
    <row r="61" spans="1:45" x14ac:dyDescent="0.2">
      <c r="A61" s="9"/>
      <c r="B61" s="62" t="s">
        <v>65</v>
      </c>
      <c r="C61" s="6"/>
      <c r="D61" s="61">
        <f>SUM(D59:D60)</f>
        <v>3063827</v>
      </c>
      <c r="E61" s="39">
        <f>SUM(E59:E60)</f>
        <v>61405.760000000002</v>
      </c>
      <c r="F61" s="61">
        <f t="shared" ref="F61:AC61" si="26">SUM(F59:F60)</f>
        <v>0</v>
      </c>
      <c r="G61" s="39">
        <f t="shared" si="26"/>
        <v>0</v>
      </c>
      <c r="H61" s="61">
        <f t="shared" si="26"/>
        <v>3301788</v>
      </c>
      <c r="I61" s="39">
        <f t="shared" si="26"/>
        <v>51770.98</v>
      </c>
      <c r="J61" s="61">
        <f t="shared" si="26"/>
        <v>-106007</v>
      </c>
      <c r="K61" s="39">
        <f t="shared" si="26"/>
        <v>9725.02</v>
      </c>
      <c r="L61" s="61">
        <f t="shared" si="26"/>
        <v>-136741</v>
      </c>
      <c r="M61" s="39">
        <f t="shared" si="26"/>
        <v>0</v>
      </c>
      <c r="N61" s="61">
        <f t="shared" si="26"/>
        <v>-20201</v>
      </c>
      <c r="O61" s="39">
        <f t="shared" si="26"/>
        <v>-90.24</v>
      </c>
      <c r="P61" s="61">
        <f t="shared" si="26"/>
        <v>24717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271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ref="AJ61:AO61" si="28">SUM(AJ59:AJ60)</f>
        <v>0</v>
      </c>
      <c r="AK61" s="39">
        <f t="shared" si="28"/>
        <v>0</v>
      </c>
      <c r="AL61" s="61">
        <f t="shared" si="28"/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SUM(F63,H63,J63,L63,N63,P63,R63,T63,V63,X63,Z63,AB63,AD63,AF63,AH63,AJ63,AL63,AN63,AP63,AR63)</f>
        <v>0</v>
      </c>
      <c r="E63" s="38">
        <f t="shared" si="29"/>
        <v>0</v>
      </c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29"/>
        <v>-20486833</v>
      </c>
      <c r="E64" s="38">
        <f t="shared" si="29"/>
        <v>-2722878.85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-13844588</v>
      </c>
      <c r="I64" s="38">
        <f>'SE-EGM-GL'!I64+'SE-LRC-GL'!I64</f>
        <v>-2074179.05</v>
      </c>
      <c r="J64" s="60">
        <f>'SE-EGM-GL'!J64+'SE-LRC-GL'!J64</f>
        <v>-6642245</v>
      </c>
      <c r="K64" s="38">
        <f>'SE-EGM-GL'!K64+'SE-LRC-GL'!K64</f>
        <v>-648699.80000000005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</row>
    <row r="65" spans="1:45" x14ac:dyDescent="0.2">
      <c r="A65" s="9">
        <v>29</v>
      </c>
      <c r="B65" s="11"/>
      <c r="C65" s="18" t="s">
        <v>67</v>
      </c>
      <c r="D65" s="60">
        <f t="shared" si="29"/>
        <v>20750992</v>
      </c>
      <c r="E65" s="38">
        <f t="shared" si="29"/>
        <v>2500065.17</v>
      </c>
      <c r="F65" s="81">
        <f>('TIE-OUT'!J65+'TIE-OUT'!L65)+(RECLASS!J65+RECLASS!L65)</f>
        <v>0</v>
      </c>
      <c r="G65" s="82">
        <f>('TIE-OUT'!K65+'TIE-OUT'!M65)+(RECLASS!K65+RECLASS!M65)</f>
        <v>0</v>
      </c>
      <c r="H65" s="60">
        <f>'SE-EGM-GL'!H65+'SE-LRC-GL'!H65</f>
        <v>13684688</v>
      </c>
      <c r="I65" s="38">
        <f>'SE-EGM-GL'!I65+'SE-LRC-GL'!I65</f>
        <v>1852221</v>
      </c>
      <c r="J65" s="60">
        <f>'SE-EGM-GL'!J65+'SE-LRC-GL'!J65</f>
        <v>7066304</v>
      </c>
      <c r="K65" s="38">
        <f>'SE-EGM-GL'!K65+'SE-LRC-GL'!K65</f>
        <v>647844.17000000004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</row>
    <row r="66" spans="1:45" x14ac:dyDescent="0.2">
      <c r="A66" s="9"/>
      <c r="B66" s="7" t="s">
        <v>68</v>
      </c>
      <c r="C66" s="6"/>
      <c r="D66" s="61">
        <f>SUM(D64:D65)</f>
        <v>264159</v>
      </c>
      <c r="E66" s="39">
        <f>SUM(E64:E65)</f>
        <v>-222813.68000000017</v>
      </c>
      <c r="F66" s="61">
        <f t="shared" ref="F66:AC66" si="30">SUM(F64:F65)</f>
        <v>0</v>
      </c>
      <c r="G66" s="39">
        <f t="shared" si="30"/>
        <v>0</v>
      </c>
      <c r="H66" s="61">
        <f t="shared" si="30"/>
        <v>-159900</v>
      </c>
      <c r="I66" s="39">
        <f t="shared" si="30"/>
        <v>-221958.05000000005</v>
      </c>
      <c r="J66" s="61">
        <f t="shared" si="30"/>
        <v>424059</v>
      </c>
      <c r="K66" s="39">
        <f t="shared" si="30"/>
        <v>-855.63000000000466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ref="AD66:AI66" si="31">SUM(AD64:AD65)</f>
        <v>0</v>
      </c>
      <c r="AE66" s="39">
        <f t="shared" si="31"/>
        <v>0</v>
      </c>
      <c r="AF66" s="61">
        <f t="shared" si="31"/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ref="AJ66:AO66" si="32">SUM(AJ64:AJ65)</f>
        <v>0</v>
      </c>
      <c r="AK66" s="39">
        <f t="shared" si="32"/>
        <v>0</v>
      </c>
      <c r="AL66" s="61">
        <f t="shared" si="32"/>
        <v>0</v>
      </c>
      <c r="AM66" s="39">
        <f t="shared" si="32"/>
        <v>0</v>
      </c>
      <c r="AN66" s="61">
        <f t="shared" si="32"/>
        <v>0</v>
      </c>
      <c r="AO66" s="39">
        <f t="shared" si="32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'SE-EGM-GL'!AL70+'SE-LRC-GL'!AL70</f>
        <v>0</v>
      </c>
      <c r="AG70" s="38">
        <f>'SE-EGM-GL'!AM70+'SE-LRC-GL'!AM70</f>
        <v>0</v>
      </c>
      <c r="AH70" s="60">
        <f>'SE-EGM-GL'!AP70+'SE-LRC-GL'!AP70</f>
        <v>0</v>
      </c>
      <c r="AI70" s="38">
        <f>'SE-EGM-GL'!AQ70+'SE-LRC-GL'!AQ70</f>
        <v>0</v>
      </c>
      <c r="AJ70" s="60">
        <f>'SE-EGM-GL'!AT70+'SE-LRC-GL'!AT70</f>
        <v>0</v>
      </c>
      <c r="AK70" s="38">
        <f>'SE-EGM-GL'!AU70+'SE-LRC-GL'!AU70</f>
        <v>0</v>
      </c>
      <c r="AL70" s="60">
        <f>'SE-EGM-GL'!AV70+'SE-LRC-GL'!AV70</f>
        <v>0</v>
      </c>
      <c r="AM70" s="38">
        <f>'SE-EGM-GL'!AW70+'SE-LRC-GL'!AW70</f>
        <v>0</v>
      </c>
      <c r="AN70" s="60">
        <f>'SE-EGM-GL'!AX70+'SE-LRC-GL'!AX70</f>
        <v>0</v>
      </c>
      <c r="AO70" s="38">
        <f>'SE-EGM-GL'!AY70+'SE-LRC-GL'!AY70</f>
        <v>0</v>
      </c>
      <c r="AP70" s="60">
        <f>'SE-EGM-GL'!AZ70+'SE-LRC-GL'!AZ70</f>
        <v>0</v>
      </c>
      <c r="AQ70" s="38">
        <f>'SE-EGM-GL'!BA70+'SE-LRC-GL'!BA70</f>
        <v>0</v>
      </c>
      <c r="AR70" s="60">
        <f>'SE-EGM-GL'!BB70+'SE-LRC-GL'!BB70</f>
        <v>0</v>
      </c>
      <c r="AS70" s="38">
        <f>'SE-EGM-GL'!BC70+'SE-LRC-GL'!BC70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'SE-EGM-GL'!AL71+'SE-LRC-GL'!AL71</f>
        <v>0</v>
      </c>
      <c r="AG71" s="38">
        <f>'SE-EGM-GL'!AM71+'SE-LRC-GL'!AM71</f>
        <v>0</v>
      </c>
      <c r="AH71" s="60">
        <f>'SE-EGM-GL'!AP71+'SE-LRC-GL'!AP71</f>
        <v>0</v>
      </c>
      <c r="AI71" s="38">
        <f>'SE-EGM-GL'!AQ71+'SE-LRC-GL'!AQ71</f>
        <v>0</v>
      </c>
      <c r="AJ71" s="60">
        <f>'SE-EGM-GL'!AT71+'SE-LRC-GL'!AT71</f>
        <v>0</v>
      </c>
      <c r="AK71" s="38">
        <f>'SE-EGM-GL'!AU71+'SE-LRC-GL'!AU71</f>
        <v>0</v>
      </c>
      <c r="AL71" s="60">
        <f>'SE-EGM-GL'!AV71+'SE-LRC-GL'!AV71</f>
        <v>0</v>
      </c>
      <c r="AM71" s="38">
        <f>'SE-EGM-GL'!AW71+'SE-LRC-GL'!AW71</f>
        <v>0</v>
      </c>
      <c r="AN71" s="60">
        <f>'SE-EGM-GL'!AX71+'SE-LRC-GL'!AX71</f>
        <v>0</v>
      </c>
      <c r="AO71" s="38">
        <f>'SE-EGM-GL'!AY71+'SE-LRC-GL'!AY71</f>
        <v>0</v>
      </c>
      <c r="AP71" s="60">
        <f>'SE-EGM-GL'!AZ71+'SE-LRC-GL'!AZ71</f>
        <v>0</v>
      </c>
      <c r="AQ71" s="38">
        <f>'SE-EGM-GL'!BA71+'SE-LRC-GL'!BA71</f>
        <v>0</v>
      </c>
      <c r="AR71" s="60">
        <f>'SE-EGM-GL'!BB71+'SE-LRC-GL'!BB71</f>
        <v>0</v>
      </c>
      <c r="AS71" s="38">
        <f>'SE-EGM-GL'!BC71+'SE-LRC-GL'!BC71</f>
        <v>0</v>
      </c>
    </row>
    <row r="72" spans="1:4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C72" si="33">SUM(F70:F71)</f>
        <v>0</v>
      </c>
      <c r="G72" s="39">
        <f t="shared" si="33"/>
        <v>0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39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ref="AD72:AI72" si="34">SUM(AD70:AD71)</f>
        <v>0</v>
      </c>
      <c r="AE72" s="39">
        <f t="shared" si="34"/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ref="AJ72:AO72" si="35">SUM(AJ70:AJ71)</f>
        <v>0</v>
      </c>
      <c r="AK72" s="39">
        <f t="shared" si="35"/>
        <v>0</v>
      </c>
      <c r="AL72" s="61">
        <f t="shared" si="35"/>
        <v>0</v>
      </c>
      <c r="AM72" s="39">
        <f t="shared" si="35"/>
        <v>0</v>
      </c>
      <c r="AN72" s="61">
        <f t="shared" si="35"/>
        <v>0</v>
      </c>
      <c r="AO72" s="39">
        <f t="shared" si="3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SUM(F73,H73,J73,L73,N73,P73,R73,T73,V73,X73,Z73,AB73,AD73,AF73,AH73,AJ73,AL73,AN73,AP73,AR73)</f>
        <v>0</v>
      </c>
      <c r="E73" s="38">
        <f t="shared" ref="E73:E81" si="37">SUM(G73,I73,K73,M73,O73,Q73,S73,U73,W73,Y73,AA73,AC73,AE73,AG73,AI73,AK73,AM73,AO73,AQ73,AS73)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'SE-EGM-GL'!AL73+'SE-LRC-GL'!AL73</f>
        <v>0</v>
      </c>
      <c r="AG73" s="38">
        <f>'SE-EGM-GL'!AM73+'SE-LRC-GL'!AM73</f>
        <v>0</v>
      </c>
      <c r="AH73" s="60">
        <f>'SE-EGM-GL'!AP73+'SE-LRC-GL'!AP73</f>
        <v>0</v>
      </c>
      <c r="AI73" s="38">
        <f>'SE-EGM-GL'!AQ73+'SE-LRC-GL'!AQ73</f>
        <v>0</v>
      </c>
      <c r="AJ73" s="60">
        <f>'SE-EGM-GL'!AT73+'SE-LRC-GL'!AT73</f>
        <v>0</v>
      </c>
      <c r="AK73" s="38">
        <f>'SE-EGM-GL'!AU73+'SE-LRC-GL'!AU73</f>
        <v>0</v>
      </c>
      <c r="AL73" s="60">
        <f>'SE-EGM-GL'!AV73+'SE-LRC-GL'!AV73</f>
        <v>0</v>
      </c>
      <c r="AM73" s="38">
        <f>'SE-EGM-GL'!AW73+'SE-LRC-GL'!AW73</f>
        <v>0</v>
      </c>
      <c r="AN73" s="60">
        <f>'SE-EGM-GL'!AX73+'SE-LRC-GL'!AX73</f>
        <v>0</v>
      </c>
      <c r="AO73" s="38">
        <f>'SE-EGM-GL'!AY73+'SE-LRC-GL'!AY73</f>
        <v>0</v>
      </c>
      <c r="AP73" s="60">
        <f>'SE-EGM-GL'!AZ73+'SE-LRC-GL'!AZ73</f>
        <v>0</v>
      </c>
      <c r="AQ73" s="38">
        <f>'SE-EGM-GL'!BA73+'SE-LRC-GL'!BA73</f>
        <v>0</v>
      </c>
      <c r="AR73" s="60">
        <f>'SE-EGM-GL'!BB73+'SE-LRC-GL'!BB73</f>
        <v>0</v>
      </c>
      <c r="AS73" s="38">
        <f>'SE-EGM-GL'!BC73+'SE-LRC-GL'!BC73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'SE-EGM-GL'!AL74+'SE-LRC-GL'!AL74</f>
        <v>0</v>
      </c>
      <c r="AG74" s="38">
        <f>'SE-EGM-GL'!AM74+'SE-LRC-GL'!AM74</f>
        <v>0</v>
      </c>
      <c r="AH74" s="60">
        <f>'SE-EGM-GL'!AP74+'SE-LRC-GL'!AP74</f>
        <v>0</v>
      </c>
      <c r="AI74" s="38">
        <f>'SE-EGM-GL'!AQ74+'SE-LRC-GL'!AQ74</f>
        <v>0</v>
      </c>
      <c r="AJ74" s="60">
        <f>'SE-EGM-GL'!AT74+'SE-LRC-GL'!AT74</f>
        <v>0</v>
      </c>
      <c r="AK74" s="38">
        <f>'SE-EGM-GL'!AU74+'SE-LRC-GL'!AU74</f>
        <v>0</v>
      </c>
      <c r="AL74" s="60">
        <f>'SE-EGM-GL'!AV74+'SE-LRC-GL'!AV74</f>
        <v>0</v>
      </c>
      <c r="AM74" s="38">
        <f>'SE-EGM-GL'!AW74+'SE-LRC-GL'!AW74</f>
        <v>0</v>
      </c>
      <c r="AN74" s="60">
        <f>'SE-EGM-GL'!AX74+'SE-LRC-GL'!AX74</f>
        <v>0</v>
      </c>
      <c r="AO74" s="38">
        <f>'SE-EGM-GL'!AY74+'SE-LRC-GL'!AY74</f>
        <v>0</v>
      </c>
      <c r="AP74" s="60">
        <f>'SE-EGM-GL'!AZ74+'SE-LRC-GL'!AZ74</f>
        <v>0</v>
      </c>
      <c r="AQ74" s="38">
        <f>'SE-EGM-GL'!BA74+'SE-LRC-GL'!BA74</f>
        <v>0</v>
      </c>
      <c r="AR74" s="60">
        <f>'SE-EGM-GL'!BB74+'SE-LRC-GL'!BB74</f>
        <v>0</v>
      </c>
      <c r="AS74" s="38">
        <f>'SE-EGM-GL'!BC74+'SE-LRC-GL'!BC74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'SE-EGM-GL'!AL75+'SE-LRC-GL'!AL75</f>
        <v>0</v>
      </c>
      <c r="AG75" s="38">
        <f>'SE-EGM-GL'!AM75+'SE-LRC-GL'!AM75</f>
        <v>0</v>
      </c>
      <c r="AH75" s="60">
        <f>'SE-EGM-GL'!AP75+'SE-LRC-GL'!AP75</f>
        <v>0</v>
      </c>
      <c r="AI75" s="38">
        <f>'SE-EGM-GL'!AQ75+'SE-LRC-GL'!AQ75</f>
        <v>0</v>
      </c>
      <c r="AJ75" s="60">
        <f>'SE-EGM-GL'!AT75+'SE-LRC-GL'!AT75</f>
        <v>0</v>
      </c>
      <c r="AK75" s="38">
        <f>'SE-EGM-GL'!AU75+'SE-LRC-GL'!AU75</f>
        <v>0</v>
      </c>
      <c r="AL75" s="60">
        <f>'SE-EGM-GL'!AV75+'SE-LRC-GL'!AV75</f>
        <v>0</v>
      </c>
      <c r="AM75" s="38">
        <f>'SE-EGM-GL'!AW75+'SE-LRC-GL'!AW75</f>
        <v>0</v>
      </c>
      <c r="AN75" s="60">
        <f>'SE-EGM-GL'!AX75+'SE-LRC-GL'!AX75</f>
        <v>0</v>
      </c>
      <c r="AO75" s="38">
        <f>'SE-EGM-GL'!AY75+'SE-LRC-GL'!AY75</f>
        <v>0</v>
      </c>
      <c r="AP75" s="60">
        <f>'SE-EGM-GL'!AZ75+'SE-LRC-GL'!AZ75</f>
        <v>0</v>
      </c>
      <c r="AQ75" s="38">
        <f>'SE-EGM-GL'!BA75+'SE-LRC-GL'!BA75</f>
        <v>0</v>
      </c>
      <c r="AR75" s="60">
        <f>'SE-EGM-GL'!BB75+'SE-LRC-GL'!BB75</f>
        <v>0</v>
      </c>
      <c r="AS75" s="38">
        <f>'SE-EGM-GL'!BC75+'SE-LRC-GL'!BC75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'SE-EGM-GL'!AL76+'SE-LRC-GL'!AL76</f>
        <v>0</v>
      </c>
      <c r="AG76" s="38">
        <f>'SE-EGM-GL'!AM76+'SE-LRC-GL'!AM76</f>
        <v>0</v>
      </c>
      <c r="AH76" s="60">
        <f>'SE-EGM-GL'!AP76+'SE-LRC-GL'!AP76</f>
        <v>0</v>
      </c>
      <c r="AI76" s="38">
        <f>'SE-EGM-GL'!AQ76+'SE-LRC-GL'!AQ76</f>
        <v>0</v>
      </c>
      <c r="AJ76" s="60">
        <f>'SE-EGM-GL'!AT76+'SE-LRC-GL'!AT76</f>
        <v>0</v>
      </c>
      <c r="AK76" s="38">
        <f>'SE-EGM-GL'!AU76+'SE-LRC-GL'!AU76</f>
        <v>0</v>
      </c>
      <c r="AL76" s="60">
        <f>'SE-EGM-GL'!AV76+'SE-LRC-GL'!AV76</f>
        <v>0</v>
      </c>
      <c r="AM76" s="38">
        <f>'SE-EGM-GL'!AW76+'SE-LRC-GL'!AW76</f>
        <v>0</v>
      </c>
      <c r="AN76" s="60">
        <f>'SE-EGM-GL'!AX76+'SE-LRC-GL'!AX76</f>
        <v>0</v>
      </c>
      <c r="AO76" s="38">
        <f>'SE-EGM-GL'!AY76+'SE-LRC-GL'!AY76</f>
        <v>0</v>
      </c>
      <c r="AP76" s="60">
        <f>'SE-EGM-GL'!AZ76+'SE-LRC-GL'!AZ76</f>
        <v>0</v>
      </c>
      <c r="AQ76" s="38">
        <f>'SE-EGM-GL'!BA76+'SE-LRC-GL'!BA76</f>
        <v>0</v>
      </c>
      <c r="AR76" s="60">
        <f>'SE-EGM-GL'!BB76+'SE-LRC-GL'!BB76</f>
        <v>0</v>
      </c>
      <c r="AS76" s="38">
        <f>'SE-EGM-GL'!BC76+'SE-LRC-GL'!BC76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'SE-EGM-GL'!AL77+'SE-LRC-GL'!AL77</f>
        <v>0</v>
      </c>
      <c r="AG77" s="38">
        <f>'SE-EGM-GL'!AM77+'SE-LRC-GL'!AM77</f>
        <v>0</v>
      </c>
      <c r="AH77" s="60">
        <f>'SE-EGM-GL'!AP77+'SE-LRC-GL'!AP77</f>
        <v>0</v>
      </c>
      <c r="AI77" s="38">
        <f>'SE-EGM-GL'!AQ77+'SE-LRC-GL'!AQ77</f>
        <v>0</v>
      </c>
      <c r="AJ77" s="60">
        <f>'SE-EGM-GL'!AT77+'SE-LRC-GL'!AT77</f>
        <v>0</v>
      </c>
      <c r="AK77" s="38">
        <f>'SE-EGM-GL'!AU77+'SE-LRC-GL'!AU77</f>
        <v>0</v>
      </c>
      <c r="AL77" s="60">
        <f>'SE-EGM-GL'!AV77+'SE-LRC-GL'!AV77</f>
        <v>0</v>
      </c>
      <c r="AM77" s="38">
        <f>'SE-EGM-GL'!AW77+'SE-LRC-GL'!AW77</f>
        <v>0</v>
      </c>
      <c r="AN77" s="60">
        <f>'SE-EGM-GL'!AX77+'SE-LRC-GL'!AX77</f>
        <v>0</v>
      </c>
      <c r="AO77" s="38">
        <f>'SE-EGM-GL'!AY77+'SE-LRC-GL'!AY77</f>
        <v>0</v>
      </c>
      <c r="AP77" s="60">
        <f>'SE-EGM-GL'!AZ77+'SE-LRC-GL'!AZ77</f>
        <v>0</v>
      </c>
      <c r="AQ77" s="38">
        <f>'SE-EGM-GL'!BA77+'SE-LRC-GL'!BA77</f>
        <v>0</v>
      </c>
      <c r="AR77" s="60">
        <f>'SE-EGM-GL'!BB77+'SE-LRC-GL'!BB77</f>
        <v>0</v>
      </c>
      <c r="AS77" s="38">
        <f>'SE-EGM-GL'!BC77+'SE-LRC-GL'!BC77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'SE-EGM-GL'!AL78+'SE-LRC-GL'!AL78</f>
        <v>0</v>
      </c>
      <c r="AG78" s="38">
        <f>'SE-EGM-GL'!AM78+'SE-LRC-GL'!AM78</f>
        <v>0</v>
      </c>
      <c r="AH78" s="60">
        <f>'SE-EGM-GL'!AP78+'SE-LRC-GL'!AP78</f>
        <v>0</v>
      </c>
      <c r="AI78" s="38">
        <f>'SE-EGM-GL'!AQ78+'SE-LRC-GL'!AQ78</f>
        <v>0</v>
      </c>
      <c r="AJ78" s="60">
        <f>'SE-EGM-GL'!AT78+'SE-LRC-GL'!AT78</f>
        <v>0</v>
      </c>
      <c r="AK78" s="38">
        <f>'SE-EGM-GL'!AU78+'SE-LRC-GL'!AU78</f>
        <v>0</v>
      </c>
      <c r="AL78" s="60">
        <f>'SE-EGM-GL'!AV78+'SE-LRC-GL'!AV78</f>
        <v>0</v>
      </c>
      <c r="AM78" s="38">
        <f>'SE-EGM-GL'!AW78+'SE-LRC-GL'!AW78</f>
        <v>0</v>
      </c>
      <c r="AN78" s="60">
        <f>'SE-EGM-GL'!AX78+'SE-LRC-GL'!AX78</f>
        <v>0</v>
      </c>
      <c r="AO78" s="38">
        <f>'SE-EGM-GL'!AY78+'SE-LRC-GL'!AY78</f>
        <v>0</v>
      </c>
      <c r="AP78" s="60">
        <f>'SE-EGM-GL'!AZ78+'SE-LRC-GL'!AZ78</f>
        <v>0</v>
      </c>
      <c r="AQ78" s="38">
        <f>'SE-EGM-GL'!BA78+'SE-LRC-GL'!BA78</f>
        <v>0</v>
      </c>
      <c r="AR78" s="60">
        <f>'SE-EGM-GL'!BB78+'SE-LRC-GL'!BB78</f>
        <v>0</v>
      </c>
      <c r="AS78" s="38">
        <f>'SE-EGM-GL'!BC78+'SE-LRC-GL'!BC78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'SE-EGM-GL'!AL79+'SE-LRC-GL'!AL79</f>
        <v>0</v>
      </c>
      <c r="AG79" s="38">
        <f>'SE-EGM-GL'!AM79+'SE-LRC-GL'!AM79</f>
        <v>0</v>
      </c>
      <c r="AH79" s="60">
        <f>'SE-EGM-GL'!AP79+'SE-LRC-GL'!AP79</f>
        <v>0</v>
      </c>
      <c r="AI79" s="38">
        <f>'SE-EGM-GL'!AQ79+'SE-LRC-GL'!AQ79</f>
        <v>0</v>
      </c>
      <c r="AJ79" s="60">
        <f>'SE-EGM-GL'!AT79+'SE-LRC-GL'!AT79</f>
        <v>0</v>
      </c>
      <c r="AK79" s="38">
        <f>'SE-EGM-GL'!AU79+'SE-LRC-GL'!AU79</f>
        <v>0</v>
      </c>
      <c r="AL79" s="60">
        <f>'SE-EGM-GL'!AV79+'SE-LRC-GL'!AV79</f>
        <v>0</v>
      </c>
      <c r="AM79" s="38">
        <f>'SE-EGM-GL'!AW79+'SE-LRC-GL'!AW79</f>
        <v>0</v>
      </c>
      <c r="AN79" s="60">
        <f>'SE-EGM-GL'!AX79+'SE-LRC-GL'!AX79</f>
        <v>0</v>
      </c>
      <c r="AO79" s="38">
        <f>'SE-EGM-GL'!AY79+'SE-LRC-GL'!AY79</f>
        <v>0</v>
      </c>
      <c r="AP79" s="60">
        <f>'SE-EGM-GL'!AZ79+'SE-LRC-GL'!AZ79</f>
        <v>0</v>
      </c>
      <c r="AQ79" s="38">
        <f>'SE-EGM-GL'!BA79+'SE-LRC-GL'!BA79</f>
        <v>0</v>
      </c>
      <c r="AR79" s="60">
        <f>'SE-EGM-GL'!BB79+'SE-LRC-GL'!BB79</f>
        <v>0</v>
      </c>
      <c r="AS79" s="38">
        <f>'SE-EGM-GL'!BC79+'SE-LRC-GL'!BC79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'SE-EGM-GL'!AL80+'SE-LRC-GL'!AL80</f>
        <v>0</v>
      </c>
      <c r="AG80" s="38">
        <f>'SE-EGM-GL'!AM80+'SE-LRC-GL'!AM80</f>
        <v>0</v>
      </c>
      <c r="AH80" s="60">
        <f>'SE-EGM-GL'!AP80+'SE-LRC-GL'!AP80</f>
        <v>0</v>
      </c>
      <c r="AI80" s="38">
        <f>'SE-EGM-GL'!AQ80+'SE-LRC-GL'!AQ80</f>
        <v>0</v>
      </c>
      <c r="AJ80" s="60">
        <f>'SE-EGM-GL'!AT80+'SE-LRC-GL'!AT80</f>
        <v>0</v>
      </c>
      <c r="AK80" s="38">
        <f>'SE-EGM-GL'!AU80+'SE-LRC-GL'!AU80</f>
        <v>0</v>
      </c>
      <c r="AL80" s="60">
        <f>'SE-EGM-GL'!AV80+'SE-LRC-GL'!AV80</f>
        <v>0</v>
      </c>
      <c r="AM80" s="38">
        <f>'SE-EGM-GL'!AW80+'SE-LRC-GL'!AW80</f>
        <v>0</v>
      </c>
      <c r="AN80" s="60">
        <f>'SE-EGM-GL'!AX80+'SE-LRC-GL'!AX80</f>
        <v>0</v>
      </c>
      <c r="AO80" s="38">
        <f>'SE-EGM-GL'!AY80+'SE-LRC-GL'!AY80</f>
        <v>0</v>
      </c>
      <c r="AP80" s="60">
        <f>'SE-EGM-GL'!AZ80+'SE-LRC-GL'!AZ80</f>
        <v>0</v>
      </c>
      <c r="AQ80" s="38">
        <f>'SE-EGM-GL'!BA80+'SE-LRC-GL'!BA80</f>
        <v>0</v>
      </c>
      <c r="AR80" s="60">
        <f>'SE-EGM-GL'!BB80+'SE-LRC-GL'!BB80</f>
        <v>0</v>
      </c>
      <c r="AS80" s="38">
        <f>'SE-EGM-GL'!BC80+'SE-LRC-GL'!BC80</f>
        <v>0</v>
      </c>
    </row>
    <row r="81" spans="1:45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'SE-EGM-GL'!AL81+'SE-LRC-GL'!AL81</f>
        <v>0</v>
      </c>
      <c r="AG81" s="38">
        <f>'SE-EGM-GL'!AM81+'SE-LRC-GL'!AM81</f>
        <v>0</v>
      </c>
      <c r="AH81" s="60">
        <f>'SE-EGM-GL'!AP81+'SE-LRC-GL'!AP81</f>
        <v>0</v>
      </c>
      <c r="AI81" s="38">
        <f>'SE-EGM-GL'!AQ81+'SE-LRC-GL'!AQ81</f>
        <v>0</v>
      </c>
      <c r="AJ81" s="60">
        <f>'SE-EGM-GL'!AT81+'SE-LRC-GL'!AT81</f>
        <v>0</v>
      </c>
      <c r="AK81" s="38">
        <f>'SE-EGM-GL'!AU81+'SE-LRC-GL'!AU81</f>
        <v>0</v>
      </c>
      <c r="AL81" s="60">
        <f>'SE-EGM-GL'!AV81+'SE-LRC-GL'!AV81</f>
        <v>0</v>
      </c>
      <c r="AM81" s="38">
        <f>'SE-EGM-GL'!AW81+'SE-LRC-GL'!AW81</f>
        <v>0</v>
      </c>
      <c r="AN81" s="60">
        <f>'SE-EGM-GL'!AX81+'SE-LRC-GL'!AX81</f>
        <v>0</v>
      </c>
      <c r="AO81" s="38">
        <f>'SE-EGM-GL'!AY81+'SE-LRC-GL'!AY81</f>
        <v>0</v>
      </c>
      <c r="AP81" s="60">
        <f>'SE-EGM-GL'!AZ81+'SE-LRC-GL'!AZ81</f>
        <v>0</v>
      </c>
      <c r="AQ81" s="38">
        <f>'SE-EGM-GL'!BA81+'SE-LRC-GL'!BA81</f>
        <v>0</v>
      </c>
      <c r="AR81" s="60">
        <f>'SE-EGM-GL'!BB81+'SE-LRC-GL'!BB81</f>
        <v>0</v>
      </c>
      <c r="AS81" s="38">
        <f>'SE-EGM-GL'!BC81+'SE-LRC-GL'!BC81</f>
        <v>0</v>
      </c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490396.67300000077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1230244.8360000046</v>
      </c>
      <c r="J82" s="92">
        <f>J16+J24+J29+J36+J43+J45+J47+J49</f>
        <v>0</v>
      </c>
      <c r="K82" s="93">
        <f>SUM(K72:K81)+K16+K24+K29+K36+K43+K45+K47+K49+K51+K56+K61+K66</f>
        <v>-1246942.71</v>
      </c>
      <c r="L82" s="92">
        <f>L16+L24+L29+L36+L43+L45+L47+L49</f>
        <v>0</v>
      </c>
      <c r="M82" s="93">
        <f>SUM(M72:M81)+M16+M24+M29+M36+M43+M45+M47+M49+M51+M56+M61+M66</f>
        <v>481886.04399999982</v>
      </c>
      <c r="N82" s="92">
        <f>N16+N24+N29+N36+N43+N45+N47+N49</f>
        <v>0</v>
      </c>
      <c r="O82" s="93">
        <f>SUM(O72:O81)+O16+O24+O29+O36+O43+O45+O47+O49+O51+O56+O61+O66</f>
        <v>-56547.342000000011</v>
      </c>
      <c r="P82" s="92">
        <f>P16+P24+P29+P36+P43+P45+P47+P49</f>
        <v>0</v>
      </c>
      <c r="Q82" s="93">
        <f>SUM(Q72:Q81)+Q16+Q24+Q29+Q36+Q43+Q45+Q47+Q49+Q51+Q56+Q61+Q66</f>
        <v>122050.89199999999</v>
      </c>
      <c r="R82" s="92">
        <f>R16+R24+R29+R36+R43+R45+R47+R49</f>
        <v>0</v>
      </c>
      <c r="S82" s="93">
        <f>SUM(S72:S81)+S16+S24+S29+S36+S43+S45+S47+S49+S51+S56+S61+S66</f>
        <v>-70143.35500000001</v>
      </c>
      <c r="T82" s="92">
        <f>T16+T24+T29+T36+T43+T45+T47+T49</f>
        <v>0</v>
      </c>
      <c r="U82" s="93">
        <f>SUM(U72:U81)+U16+U24+U29+U36+U43+U45+U47+U49+U51+U56+U61+U66</f>
        <v>-52925.089999999989</v>
      </c>
      <c r="V82" s="92">
        <f>V16+V24+V29+V36+V43+V45+V47+V49</f>
        <v>0</v>
      </c>
      <c r="W82" s="93">
        <f>SUM(W72:W81)+W16+W24+W29+W36+W43+W45+W47+W49+W51+W56+W61+W66</f>
        <v>-24492.434000000034</v>
      </c>
      <c r="X82" s="92">
        <f>X16+X24+X29+X36+X43+X45+X47+X49</f>
        <v>0</v>
      </c>
      <c r="Y82" s="93">
        <f>SUM(Y72:Y81)+Y16+Y24+Y29+Y36+Y43+Y45+Y47+Y49+Y51+Y56+Y61+Y66</f>
        <v>106211.62800000001</v>
      </c>
      <c r="Z82" s="92">
        <f>Z16+Z24+Z29+Z36+Z43+Z45+Z47+Z49</f>
        <v>0</v>
      </c>
      <c r="AA82" s="93">
        <f>SUM(AA72:AA81)+AA16+AA24+AA29+AA36+AA43+AA45+AA47+AA49+AA51+AA56+AA61+AA66</f>
        <v>2.0000000018626451E-2</v>
      </c>
      <c r="AB82" s="92">
        <f>AB16+AB24+AB29+AB36+AB43+AB45+AB47+AB49</f>
        <v>0</v>
      </c>
      <c r="AC82" s="93">
        <f>SUM(AC72:AC81)+AC16+AC24+AC29+AC36+AC43+AC45+AC47+AC49+AC51+AC56+AC61+AC66</f>
        <v>36.104000000000042</v>
      </c>
      <c r="AD82" s="92">
        <f>AD16+AD24+AD29+AD36+AD43+AD45+AD47+AD49</f>
        <v>0</v>
      </c>
      <c r="AE82" s="93">
        <f>SUM(AE72:AE81)+AE16+AE24+AE29+AE36+AE43+AE45+AE47+AE49+AE51+AE56+AE61+AE66</f>
        <v>653.09999999999854</v>
      </c>
      <c r="AF82" s="92">
        <f>AF16+AF24+AF29+AF36+AF43+AF45+AF47+AF49</f>
        <v>0</v>
      </c>
      <c r="AG82" s="93">
        <f>SUM(AG72:AG81)+AG16+AG24+AG29+AG36+AG43+AG45+AG47+AG49+AG51+AG56+AG61+AG66</f>
        <v>364.98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5" thickTop="1" x14ac:dyDescent="0.2">
      <c r="A83" s="4"/>
      <c r="B83" s="3"/>
    </row>
    <row r="84" spans="1:45" x14ac:dyDescent="0.2">
      <c r="A84" s="4"/>
      <c r="B84" s="3"/>
      <c r="G84" s="14">
        <f>+'SE-LRC-GL'!G82+'SE-EGM-GL'!G82</f>
        <v>0</v>
      </c>
    </row>
    <row r="85" spans="1:45" x14ac:dyDescent="0.2">
      <c r="A85" s="4"/>
      <c r="B85" s="3"/>
    </row>
    <row r="86" spans="1:45" x14ac:dyDescent="0.2">
      <c r="A86" s="4"/>
      <c r="B86" s="3"/>
    </row>
    <row r="87" spans="1:45" x14ac:dyDescent="0.2">
      <c r="A87" s="4"/>
      <c r="B87" s="3"/>
    </row>
    <row r="88" spans="1:45" x14ac:dyDescent="0.2">
      <c r="A88" s="4"/>
      <c r="B88" s="3"/>
    </row>
    <row r="89" spans="1:45" x14ac:dyDescent="0.2">
      <c r="A89" s="4"/>
      <c r="B89" s="3"/>
    </row>
    <row r="90" spans="1:45" x14ac:dyDescent="0.2">
      <c r="A90" s="4"/>
      <c r="B90" s="3"/>
    </row>
    <row r="91" spans="1:45" x14ac:dyDescent="0.2">
      <c r="A91" s="4"/>
      <c r="B91" s="3"/>
    </row>
    <row r="92" spans="1:45" x14ac:dyDescent="0.2">
      <c r="A92" s="4"/>
      <c r="B92" s="3"/>
    </row>
    <row r="93" spans="1:45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7"/>
  <sheetViews>
    <sheetView topLeftCell="M64" zoomScale="75" workbookViewId="0">
      <selection activeCell="AN647" sqref="AN64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129024730</v>
      </c>
      <c r="E11" s="38">
        <f t="shared" si="0"/>
        <v>239913893.78999999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129286630</v>
      </c>
      <c r="I11" s="38">
        <f>+BGC_GL!I11+'SE-LRC-GL'!I11+NE_GL!I11+'SE-EGM-GL'!I11</f>
        <v>231144058.63999999</v>
      </c>
      <c r="J11" s="60">
        <f>+BGC_GL!J11+'SE-LRC-GL'!J11+NE_GL!J11+'SE-EGM-GL'!J11</f>
        <v>-117651</v>
      </c>
      <c r="K11" s="38">
        <f>+BGC_GL!K11+'SE-LRC-GL'!K11+NE_GL!K11+'SE-EGM-GL'!K11</f>
        <v>9024887.4900000002</v>
      </c>
      <c r="L11" s="60">
        <f>'SE-EGM-GL'!L11+'SE-LRC-GL'!L11</f>
        <v>-144520</v>
      </c>
      <c r="M11" s="38">
        <f>'SE-EGM-GL'!M11+'SE-LRC-GL'!M11</f>
        <v>-255781.32</v>
      </c>
      <c r="N11" s="60">
        <f>'SE-EGM-GL'!N11+'SE-LRC-GL'!N11</f>
        <v>-72123</v>
      </c>
      <c r="O11" s="38">
        <f>'SE-EGM-GL'!O11+'SE-LRC-GL'!O11</f>
        <v>-118282.1</v>
      </c>
      <c r="P11" s="60">
        <f>'SE-EGM-GL'!P11+'SE-LRC-GL'!P11</f>
        <v>72123</v>
      </c>
      <c r="Q11" s="38">
        <f>'SE-EGM-GL'!Q11+'SE-LRC-GL'!Q11</f>
        <v>118281.72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-107.62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271</v>
      </c>
      <c r="AC11" s="38">
        <f>'SE-EGM-GL'!AC11+'SE-LRC-GL'!AC11</f>
        <v>471.54</v>
      </c>
      <c r="AD11" s="60">
        <f>'SE-EGM-GL'!AD11+'SE-LRC-GL'!AD11</f>
        <v>0</v>
      </c>
      <c r="AE11" s="38">
        <f>'SE-EGM-GL'!AE11+'SE-LRC-GL'!AE11</f>
        <v>0.46</v>
      </c>
      <c r="AF11" s="60">
        <f>'SE-EGM-GL'!AL11+'SE-LRC-GL'!AL11</f>
        <v>0</v>
      </c>
      <c r="AG11" s="38">
        <f>'SE-EGM-GL'!AM11+'SE-LRC-GL'!AM11</f>
        <v>364.98</v>
      </c>
      <c r="AH11" s="60">
        <f>'SE-EGM-GL'!AP11+'SE-LRC-GL'!AP11</f>
        <v>0</v>
      </c>
      <c r="AI11" s="38">
        <f>'SE-EGM-GL'!AQ11+'SE-LRC-GL'!AQ11</f>
        <v>0</v>
      </c>
      <c r="AJ11" s="60">
        <f>'SE-EGM-GL'!AT11+'SE-LRC-GL'!AT11</f>
        <v>0</v>
      </c>
      <c r="AK11" s="38">
        <f>'SE-EGM-GL'!AU11+'SE-LRC-GL'!AU11</f>
        <v>0</v>
      </c>
      <c r="AL11" s="60">
        <f>'SE-EGM-GL'!AV11+'SE-LRC-GL'!AV11</f>
        <v>0</v>
      </c>
      <c r="AM11" s="38">
        <f>'SE-EGM-GL'!AW11+'SE-LRC-GL'!AW11</f>
        <v>0</v>
      </c>
      <c r="AN11" s="60">
        <f>'SE-EGM-GL'!AX11+'SE-LRC-GL'!AX11</f>
        <v>0</v>
      </c>
      <c r="AO11" s="38">
        <f>'SE-EGM-GL'!AY11+'SE-LRC-GL'!AY11</f>
        <v>0</v>
      </c>
      <c r="AP11" s="60">
        <f>'SE-EGM-GL'!AZ11+'SE-LRC-GL'!AZ11</f>
        <v>0</v>
      </c>
      <c r="AQ11" s="38">
        <f>'SE-EGM-GL'!BA11+'SE-LRC-GL'!BA11</f>
        <v>0</v>
      </c>
      <c r="AR11" s="60">
        <f>'SE-EGM-GL'!BB11+'SE-LRC-GL'!BB11</f>
        <v>0</v>
      </c>
      <c r="AS11" s="38">
        <f>'SE-EGM-GL'!BC11+'SE-LRC-GL'!BC11</f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-16145830.59</v>
      </c>
      <c r="F12" s="60">
        <f>+BGC_GL!F12+'SE-LRC-GL'!F12+NE_GL!F12+'SE-EGM-GL'!F12</f>
        <v>0</v>
      </c>
      <c r="G12" s="38">
        <f>+BGC_GL!G12+'SE-LRC-GL'!G12+NE_GL!G12+'SE-EGM-GL'!G12</f>
        <v>-16162925.59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17095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'SE-EGM-GL'!AL12+'SE-LRC-GL'!AL12</f>
        <v>0</v>
      </c>
      <c r="AG12" s="38">
        <f>'SE-EGM-GL'!AM12+'SE-LRC-GL'!AM12</f>
        <v>0</v>
      </c>
      <c r="AH12" s="60">
        <f>'SE-EGM-GL'!AP12+'SE-LRC-GL'!AP12</f>
        <v>0</v>
      </c>
      <c r="AI12" s="38">
        <f>'SE-EGM-GL'!AQ12+'SE-LRC-GL'!AQ12</f>
        <v>0</v>
      </c>
      <c r="AJ12" s="60">
        <f>'SE-EGM-GL'!AT12+'SE-LRC-GL'!AT12</f>
        <v>0</v>
      </c>
      <c r="AK12" s="38">
        <f>'SE-EGM-GL'!AU12+'SE-LRC-GL'!AU12</f>
        <v>0</v>
      </c>
      <c r="AL12" s="60">
        <f>'SE-EGM-GL'!AV12+'SE-LRC-GL'!AV12</f>
        <v>0</v>
      </c>
      <c r="AM12" s="38">
        <f>'SE-EGM-GL'!AW12+'SE-LRC-GL'!AW12</f>
        <v>0</v>
      </c>
      <c r="AN12" s="60">
        <f>'SE-EGM-GL'!AX12+'SE-LRC-GL'!AX12</f>
        <v>0</v>
      </c>
      <c r="AO12" s="38">
        <f>'SE-EGM-GL'!AY12+'SE-LRC-GL'!AY12</f>
        <v>0</v>
      </c>
      <c r="AP12" s="60">
        <f>'SE-EGM-GL'!AZ12+'SE-LRC-GL'!AZ12</f>
        <v>0</v>
      </c>
      <c r="AQ12" s="38">
        <f>'SE-EGM-GL'!BA12+'SE-LRC-GL'!BA12</f>
        <v>0</v>
      </c>
      <c r="AR12" s="60">
        <f>'SE-EGM-GL'!BB12+'SE-LRC-GL'!BB12</f>
        <v>0</v>
      </c>
      <c r="AS12" s="38">
        <f>'SE-EGM-GL'!BC12+'SE-LRC-GL'!BC12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68822049</v>
      </c>
      <c r="E13" s="38">
        <f t="shared" si="0"/>
        <v>130897872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68758656</v>
      </c>
      <c r="I13" s="38">
        <f>+BGC_GL!I13+'SE-LRC-GL'!I13+NE_GL!I13+'SE-EGM-GL'!I13</f>
        <v>130803034</v>
      </c>
      <c r="J13" s="60">
        <f>+BGC_GL!J13+'SE-LRC-GL'!J13+NE_GL!J13+'SE-EGM-GL'!J13</f>
        <v>63393</v>
      </c>
      <c r="K13" s="38">
        <f>+BGC_GL!K13+'SE-LRC-GL'!K13+NE_GL!K13+'SE-EGM-GL'!K13</f>
        <v>94838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'SE-EGM-GL'!AL13+'SE-LRC-GL'!AL13</f>
        <v>0</v>
      </c>
      <c r="AG13" s="38">
        <f>'SE-EGM-GL'!AM13+'SE-LRC-GL'!AM13</f>
        <v>0</v>
      </c>
      <c r="AH13" s="60">
        <f>'SE-EGM-GL'!AP13+'SE-LRC-GL'!AP13</f>
        <v>0</v>
      </c>
      <c r="AI13" s="38">
        <f>'SE-EGM-GL'!AQ13+'SE-LRC-GL'!AQ13</f>
        <v>0</v>
      </c>
      <c r="AJ13" s="60">
        <f>'SE-EGM-GL'!AT13+'SE-LRC-GL'!AT13</f>
        <v>0</v>
      </c>
      <c r="AK13" s="38">
        <f>'SE-EGM-GL'!AU13+'SE-LRC-GL'!AU13</f>
        <v>0</v>
      </c>
      <c r="AL13" s="60">
        <f>'SE-EGM-GL'!AV13+'SE-LRC-GL'!AV13</f>
        <v>0</v>
      </c>
      <c r="AM13" s="38">
        <f>'SE-EGM-GL'!AW13+'SE-LRC-GL'!AW13</f>
        <v>0</v>
      </c>
      <c r="AN13" s="60">
        <f>'SE-EGM-GL'!AX13+'SE-LRC-GL'!AX13</f>
        <v>0</v>
      </c>
      <c r="AO13" s="38">
        <f>'SE-EGM-GL'!AY13+'SE-LRC-GL'!AY13</f>
        <v>0</v>
      </c>
      <c r="AP13" s="60">
        <f>'SE-EGM-GL'!AZ13+'SE-LRC-GL'!AZ13</f>
        <v>0</v>
      </c>
      <c r="AQ13" s="38">
        <f>'SE-EGM-GL'!BA13+'SE-LRC-GL'!BA13</f>
        <v>0</v>
      </c>
      <c r="AR13" s="60">
        <f>'SE-EGM-GL'!BB13+'SE-LRC-GL'!BB13</f>
        <v>0</v>
      </c>
      <c r="AS13" s="38">
        <f>'SE-EGM-GL'!BC13+'SE-LRC-GL'!BC13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'SE-EGM-GL'!AL14+'SE-LRC-GL'!AL14</f>
        <v>0</v>
      </c>
      <c r="AG14" s="38">
        <f>'SE-EGM-GL'!AM14+'SE-LRC-GL'!AM14</f>
        <v>0</v>
      </c>
      <c r="AH14" s="60">
        <f>'SE-EGM-GL'!AP14+'SE-LRC-GL'!AP14</f>
        <v>0</v>
      </c>
      <c r="AI14" s="38">
        <f>'SE-EGM-GL'!AQ14+'SE-LRC-GL'!AQ14</f>
        <v>0</v>
      </c>
      <c r="AJ14" s="60">
        <f>'SE-EGM-GL'!AT14+'SE-LRC-GL'!AT14</f>
        <v>0</v>
      </c>
      <c r="AK14" s="38">
        <f>'SE-EGM-GL'!AU14+'SE-LRC-GL'!AU14</f>
        <v>0</v>
      </c>
      <c r="AL14" s="60">
        <f>'SE-EGM-GL'!AV14+'SE-LRC-GL'!AV14</f>
        <v>0</v>
      </c>
      <c r="AM14" s="38">
        <f>'SE-EGM-GL'!AW14+'SE-LRC-GL'!AW14</f>
        <v>0</v>
      </c>
      <c r="AN14" s="60">
        <f>'SE-EGM-GL'!AX14+'SE-LRC-GL'!AX14</f>
        <v>0</v>
      </c>
      <c r="AO14" s="38">
        <f>'SE-EGM-GL'!AY14+'SE-LRC-GL'!AY14</f>
        <v>0</v>
      </c>
      <c r="AP14" s="60">
        <f>'SE-EGM-GL'!AZ14+'SE-LRC-GL'!AZ14</f>
        <v>0</v>
      </c>
      <c r="AQ14" s="38">
        <f>'SE-EGM-GL'!BA14+'SE-LRC-GL'!BA14</f>
        <v>0</v>
      </c>
      <c r="AR14" s="60">
        <f>'SE-EGM-GL'!BB14+'SE-LRC-GL'!BB14</f>
        <v>0</v>
      </c>
      <c r="AS14" s="38">
        <f>'SE-EGM-GL'!BC14+'SE-LRC-GL'!BC14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-7926</v>
      </c>
      <c r="F15" s="81">
        <f>+BGC_GL!F15+'SE-LRC-GL'!F15+NE_GL!F15+'SE-EGM-GL'!F15</f>
        <v>0</v>
      </c>
      <c r="G15" s="82">
        <f>+BGC_GL!G15+'SE-LRC-GL'!G15+NE_GL!G15+'SE-EGM-GL'!G15</f>
        <v>-7926</v>
      </c>
      <c r="H15" s="81">
        <f>+BGC_GL!H15+'SE-LRC-GL'!H15+NE_GL!H15+'SE-EGM-GL'!H15</f>
        <v>0</v>
      </c>
      <c r="I15" s="82">
        <f>+BGC_GL!I15+'SE-LRC-GL'!I15+NE_GL!I15+'SE-EGM-GL'!I15</f>
        <v>14240000</v>
      </c>
      <c r="J15" s="81">
        <f>+BGC_GL!J15+'SE-LRC-GL'!J15+NE_GL!J15+'SE-EGM-GL'!J15</f>
        <v>0</v>
      </c>
      <c r="K15" s="82">
        <f>+BGC_GL!K15+'SE-LRC-GL'!K15+NE_GL!K15+'SE-EGM-GL'!K15</f>
        <v>-14240000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'SE-EGM-GL'!AL15+'SE-LRC-GL'!AL15</f>
        <v>0</v>
      </c>
      <c r="AG15" s="38">
        <f>'SE-EGM-GL'!AM15+'SE-LRC-GL'!AM15</f>
        <v>0</v>
      </c>
      <c r="AH15" s="60">
        <f>'SE-EGM-GL'!AP15+'SE-LRC-GL'!AP15</f>
        <v>0</v>
      </c>
      <c r="AI15" s="38">
        <f>'SE-EGM-GL'!AQ15+'SE-LRC-GL'!AQ15</f>
        <v>0</v>
      </c>
      <c r="AJ15" s="60">
        <f>'SE-EGM-GL'!AT15+'SE-LRC-GL'!AT15</f>
        <v>0</v>
      </c>
      <c r="AK15" s="38">
        <f>'SE-EGM-GL'!AU15+'SE-LRC-GL'!AU15</f>
        <v>0</v>
      </c>
      <c r="AL15" s="60">
        <f>'SE-EGM-GL'!AV15+'SE-LRC-GL'!AV15</f>
        <v>0</v>
      </c>
      <c r="AM15" s="38">
        <f>'SE-EGM-GL'!AW15+'SE-LRC-GL'!AW15</f>
        <v>0</v>
      </c>
      <c r="AN15" s="60">
        <f>'SE-EGM-GL'!AX15+'SE-LRC-GL'!AX15</f>
        <v>0</v>
      </c>
      <c r="AO15" s="38">
        <f>'SE-EGM-GL'!AY15+'SE-LRC-GL'!AY15</f>
        <v>0</v>
      </c>
      <c r="AP15" s="60">
        <f>'SE-EGM-GL'!AZ15+'SE-LRC-GL'!AZ15</f>
        <v>0</v>
      </c>
      <c r="AQ15" s="38">
        <f>'SE-EGM-GL'!BA15+'SE-LRC-GL'!BA15</f>
        <v>0</v>
      </c>
      <c r="AR15" s="60">
        <f>'SE-EGM-GL'!BB15+'SE-LRC-GL'!BB15</f>
        <v>0</v>
      </c>
      <c r="AS15" s="38">
        <f>'SE-EGM-GL'!BC15+'SE-LRC-GL'!BC15</f>
        <v>0</v>
      </c>
    </row>
    <row r="16" spans="1:45" x14ac:dyDescent="0.2">
      <c r="A16" s="9"/>
      <c r="B16" s="7" t="s">
        <v>34</v>
      </c>
      <c r="C16" s="6"/>
      <c r="D16" s="61">
        <f>SUM(D11:D15)</f>
        <v>197846779</v>
      </c>
      <c r="E16" s="39">
        <f>SUM(E11:E15)</f>
        <v>354658009.19999999</v>
      </c>
      <c r="F16" s="61">
        <f t="shared" ref="F16:AC16" si="1">SUM(F11:F15)</f>
        <v>0</v>
      </c>
      <c r="G16" s="39">
        <f t="shared" si="1"/>
        <v>-16170851.59</v>
      </c>
      <c r="H16" s="61">
        <f>SUM(H11:H15)</f>
        <v>198045286</v>
      </c>
      <c r="I16" s="39">
        <f>SUM(I11:I15)</f>
        <v>376187092.63999999</v>
      </c>
      <c r="J16" s="61">
        <f>SUM(J11:J15)</f>
        <v>-54258</v>
      </c>
      <c r="K16" s="39">
        <f>SUM(K11:K15)</f>
        <v>-5103179.51</v>
      </c>
      <c r="L16" s="61">
        <f t="shared" si="1"/>
        <v>-144520</v>
      </c>
      <c r="M16" s="39">
        <f t="shared" si="1"/>
        <v>-255781.32</v>
      </c>
      <c r="N16" s="61">
        <f t="shared" si="1"/>
        <v>-72123</v>
      </c>
      <c r="O16" s="39">
        <f t="shared" si="1"/>
        <v>-118282.1</v>
      </c>
      <c r="P16" s="61">
        <f t="shared" si="1"/>
        <v>72123</v>
      </c>
      <c r="Q16" s="39">
        <f t="shared" si="1"/>
        <v>118281.72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-107.62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271</v>
      </c>
      <c r="AC16" s="39">
        <f t="shared" si="1"/>
        <v>471.54</v>
      </c>
      <c r="AD16" s="61">
        <f t="shared" ref="AD16:AI16" si="2">SUM(AD11:AD15)</f>
        <v>0</v>
      </c>
      <c r="AE16" s="39">
        <f t="shared" si="2"/>
        <v>0.46</v>
      </c>
      <c r="AF16" s="61">
        <f t="shared" si="2"/>
        <v>0</v>
      </c>
      <c r="AG16" s="39">
        <f t="shared" si="2"/>
        <v>364.98</v>
      </c>
      <c r="AH16" s="61">
        <f t="shared" si="2"/>
        <v>0</v>
      </c>
      <c r="AI16" s="39">
        <f t="shared" si="2"/>
        <v>0</v>
      </c>
      <c r="AJ16" s="61">
        <f t="shared" ref="AJ16:AO16" si="3">SUM(AJ11:AJ15)</f>
        <v>0</v>
      </c>
      <c r="AK16" s="39">
        <f t="shared" si="3"/>
        <v>0</v>
      </c>
      <c r="AL16" s="61">
        <f t="shared" si="3"/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SUM(F19,H19,J19,L19,N19,P19,R19,T19,V19,X19,Z19,AB19,AD19,AF19,AH19,AJ19,AL19,AN19,AP19,AR19)</f>
        <v>-124740199</v>
      </c>
      <c r="E19" s="38">
        <f t="shared" si="4"/>
        <v>-216148316</v>
      </c>
      <c r="F19" s="64">
        <f>+BGC_GL!F19+'SE-LRC-GL'!F19+NE_GL!F19+'SE-EGM-GL'!F19</f>
        <v>0</v>
      </c>
      <c r="G19" s="68">
        <f>+BGC_GL!G19+'SE-LRC-GL'!G19+NE_GL!G19+'SE-EGM-GL'!G19</f>
        <v>0</v>
      </c>
      <c r="H19" s="64">
        <f>+BGC_GL!H19+'SE-LRC-GL'!H19+NE_GL!H19+'SE-EGM-GL'!H19</f>
        <v>-125162129</v>
      </c>
      <c r="I19" s="68">
        <f>+BGC_GL!I19+'SE-LRC-GL'!I19+NE_GL!I19+'SE-EGM-GL'!I19</f>
        <v>-213819453.89999998</v>
      </c>
      <c r="J19" s="64">
        <f>+BGC_GL!J19+'SE-LRC-GL'!J19+NE_GL!J19+'SE-EGM-GL'!J19</f>
        <v>285842</v>
      </c>
      <c r="K19" s="68">
        <f>+BGC_GL!K19+'SE-LRC-GL'!K19+NE_GL!K19+'SE-EGM-GL'!K19</f>
        <v>-2578461.0700000003</v>
      </c>
      <c r="L19" s="60">
        <f>'SE-EGM-GL'!L19+'SE-LRC-GL'!L19</f>
        <v>-4592</v>
      </c>
      <c r="M19" s="38">
        <f>'SE-EGM-GL'!M19+'SE-LRC-GL'!M19</f>
        <v>3.1</v>
      </c>
      <c r="N19" s="60">
        <f>'SE-EGM-GL'!N19+'SE-LRC-GL'!N19</f>
        <v>0</v>
      </c>
      <c r="O19" s="38">
        <f>'SE-EGM-GL'!O19+'SE-LRC-GL'!O19</f>
        <v>0</v>
      </c>
      <c r="P19" s="60">
        <f>'SE-EGM-GL'!P19+'SE-LRC-GL'!P19</f>
        <v>140680</v>
      </c>
      <c r="Q19" s="38">
        <f>'SE-EGM-GL'!Q19+'SE-LRC-GL'!Q19</f>
        <v>248806.95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133.82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655.1</v>
      </c>
      <c r="AF19" s="60">
        <f>'SE-EGM-GL'!AL19+'SE-LRC-GL'!AL19</f>
        <v>0</v>
      </c>
      <c r="AG19" s="38">
        <f>'SE-EGM-GL'!AM19+'SE-LRC-GL'!AM19</f>
        <v>0</v>
      </c>
      <c r="AH19" s="60">
        <f>'SE-EGM-GL'!AP19+'SE-LRC-GL'!AP19</f>
        <v>0</v>
      </c>
      <c r="AI19" s="38">
        <f>'SE-EGM-GL'!AQ19+'SE-LRC-GL'!AQ19</f>
        <v>0</v>
      </c>
      <c r="AJ19" s="60">
        <f>'SE-EGM-GL'!AT19+'SE-LRC-GL'!AT19</f>
        <v>0</v>
      </c>
      <c r="AK19" s="38">
        <f>'SE-EGM-GL'!AU19+'SE-LRC-GL'!AU19</f>
        <v>0</v>
      </c>
      <c r="AL19" s="60">
        <f>'SE-EGM-GL'!AV19+'SE-LRC-GL'!AV19</f>
        <v>0</v>
      </c>
      <c r="AM19" s="38">
        <f>'SE-EGM-GL'!AW19+'SE-LRC-GL'!AW19</f>
        <v>0</v>
      </c>
      <c r="AN19" s="60">
        <f>'SE-EGM-GL'!AX19+'SE-LRC-GL'!AX19</f>
        <v>0</v>
      </c>
      <c r="AO19" s="38">
        <f>'SE-EGM-GL'!AY19+'SE-LRC-GL'!AY19</f>
        <v>0</v>
      </c>
      <c r="AP19" s="60">
        <f>'SE-EGM-GL'!AZ19+'SE-LRC-GL'!AZ19</f>
        <v>0</v>
      </c>
      <c r="AQ19" s="38">
        <f>'SE-EGM-GL'!BA19+'SE-LRC-GL'!BA19</f>
        <v>0</v>
      </c>
      <c r="AR19" s="60">
        <f>'SE-EGM-GL'!BB19+'SE-LRC-GL'!BB19</f>
        <v>0</v>
      </c>
      <c r="AS19" s="38">
        <f>'SE-EGM-GL'!BC19+'SE-LRC-GL'!BC19</f>
        <v>0</v>
      </c>
    </row>
    <row r="20" spans="1:4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9229717.0500000007</v>
      </c>
      <c r="F20" s="60">
        <f>+BGC_GL!F20+'SE-LRC-GL'!F20+NE_GL!F20+'SE-EGM-GL'!F20</f>
        <v>0</v>
      </c>
      <c r="G20" s="38">
        <f>+BGC_GL!G20+'SE-LRC-GL'!G20+NE_GL!G20+'SE-EGM-GL'!G20</f>
        <v>9229717.0500000007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'SE-EGM-GL'!AL20+'SE-LRC-GL'!AL20</f>
        <v>0</v>
      </c>
      <c r="AG20" s="38">
        <f>'SE-EGM-GL'!AM20+'SE-LRC-GL'!AM20</f>
        <v>0</v>
      </c>
      <c r="AH20" s="60">
        <f>'SE-EGM-GL'!AP20+'SE-LRC-GL'!AP20</f>
        <v>0</v>
      </c>
      <c r="AI20" s="38">
        <f>'SE-EGM-GL'!AQ20+'SE-LRC-GL'!AQ20</f>
        <v>0</v>
      </c>
      <c r="AJ20" s="60">
        <f>'SE-EGM-GL'!AT20+'SE-LRC-GL'!AT20</f>
        <v>0</v>
      </c>
      <c r="AK20" s="38">
        <f>'SE-EGM-GL'!AU20+'SE-LRC-GL'!AU20</f>
        <v>0</v>
      </c>
      <c r="AL20" s="60">
        <f>'SE-EGM-GL'!AV20+'SE-LRC-GL'!AV20</f>
        <v>0</v>
      </c>
      <c r="AM20" s="38">
        <f>'SE-EGM-GL'!AW20+'SE-LRC-GL'!AW20</f>
        <v>0</v>
      </c>
      <c r="AN20" s="60">
        <f>'SE-EGM-GL'!AX20+'SE-LRC-GL'!AX20</f>
        <v>0</v>
      </c>
      <c r="AO20" s="38">
        <f>'SE-EGM-GL'!AY20+'SE-LRC-GL'!AY20</f>
        <v>0</v>
      </c>
      <c r="AP20" s="60">
        <f>'SE-EGM-GL'!AZ20+'SE-LRC-GL'!AZ20</f>
        <v>0</v>
      </c>
      <c r="AQ20" s="38">
        <f>'SE-EGM-GL'!BA20+'SE-LRC-GL'!BA20</f>
        <v>0</v>
      </c>
      <c r="AR20" s="60">
        <f>'SE-EGM-GL'!BB20+'SE-LRC-GL'!BB20</f>
        <v>0</v>
      </c>
      <c r="AS20" s="38">
        <f>'SE-EGM-GL'!BC20+'SE-LRC-GL'!BC20</f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4"/>
        <v>-70373393</v>
      </c>
      <c r="E21" s="38">
        <f t="shared" si="4"/>
        <v>-133584228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-70588991</v>
      </c>
      <c r="I21" s="38">
        <f>+BGC_GL!I21+'SE-LRC-GL'!I21+NE_GL!I21+'SE-EGM-GL'!I21</f>
        <v>-133958290</v>
      </c>
      <c r="J21" s="60">
        <f>+BGC_GL!J21+'SE-LRC-GL'!J21+NE_GL!J21+'SE-EGM-GL'!J21</f>
        <v>215598</v>
      </c>
      <c r="K21" s="38">
        <f>+BGC_GL!K21+'SE-LRC-GL'!K21+NE_GL!K21+'SE-EGM-GL'!K21</f>
        <v>374062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'SE-EGM-GL'!AL21+'SE-LRC-GL'!AL21</f>
        <v>0</v>
      </c>
      <c r="AG21" s="38">
        <f>'SE-EGM-GL'!AM21+'SE-LRC-GL'!AM21</f>
        <v>0</v>
      </c>
      <c r="AH21" s="60">
        <f>'SE-EGM-GL'!AP21+'SE-LRC-GL'!AP21</f>
        <v>0</v>
      </c>
      <c r="AI21" s="38">
        <f>'SE-EGM-GL'!AQ21+'SE-LRC-GL'!AQ21</f>
        <v>0</v>
      </c>
      <c r="AJ21" s="60">
        <f>'SE-EGM-GL'!AT21+'SE-LRC-GL'!AT21</f>
        <v>0</v>
      </c>
      <c r="AK21" s="38">
        <f>'SE-EGM-GL'!AU21+'SE-LRC-GL'!AU21</f>
        <v>0</v>
      </c>
      <c r="AL21" s="60">
        <f>'SE-EGM-GL'!AV21+'SE-LRC-GL'!AV21</f>
        <v>0</v>
      </c>
      <c r="AM21" s="38">
        <f>'SE-EGM-GL'!AW21+'SE-LRC-GL'!AW21</f>
        <v>0</v>
      </c>
      <c r="AN21" s="60">
        <f>'SE-EGM-GL'!AX21+'SE-LRC-GL'!AX21</f>
        <v>0</v>
      </c>
      <c r="AO21" s="38">
        <f>'SE-EGM-GL'!AY21+'SE-LRC-GL'!AY21</f>
        <v>0</v>
      </c>
      <c r="AP21" s="60">
        <f>'SE-EGM-GL'!AZ21+'SE-LRC-GL'!AZ21</f>
        <v>0</v>
      </c>
      <c r="AQ21" s="38">
        <f>'SE-EGM-GL'!BA21+'SE-LRC-GL'!BA21</f>
        <v>0</v>
      </c>
      <c r="AR21" s="60">
        <f>'SE-EGM-GL'!BB21+'SE-LRC-GL'!BB21</f>
        <v>0</v>
      </c>
      <c r="AS21" s="38">
        <f>'SE-EGM-GL'!BC21+'SE-LRC-GL'!BC21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'SE-EGM-GL'!AL22+'SE-LRC-GL'!AL22</f>
        <v>0</v>
      </c>
      <c r="AG22" s="38">
        <f>'SE-EGM-GL'!AM22+'SE-LRC-GL'!AM22</f>
        <v>0</v>
      </c>
      <c r="AH22" s="60">
        <f>'SE-EGM-GL'!AP22+'SE-LRC-GL'!AP22</f>
        <v>0</v>
      </c>
      <c r="AI22" s="38">
        <f>'SE-EGM-GL'!AQ22+'SE-LRC-GL'!AQ22</f>
        <v>0</v>
      </c>
      <c r="AJ22" s="60">
        <f>'SE-EGM-GL'!AT22+'SE-LRC-GL'!AT22</f>
        <v>0</v>
      </c>
      <c r="AK22" s="38">
        <f>'SE-EGM-GL'!AU22+'SE-LRC-GL'!AU22</f>
        <v>0</v>
      </c>
      <c r="AL22" s="60">
        <f>'SE-EGM-GL'!AV22+'SE-LRC-GL'!AV22</f>
        <v>0</v>
      </c>
      <c r="AM22" s="38">
        <f>'SE-EGM-GL'!AW22+'SE-LRC-GL'!AW22</f>
        <v>0</v>
      </c>
      <c r="AN22" s="60">
        <f>'SE-EGM-GL'!AX22+'SE-LRC-GL'!AX22</f>
        <v>0</v>
      </c>
      <c r="AO22" s="38">
        <f>'SE-EGM-GL'!AY22+'SE-LRC-GL'!AY22</f>
        <v>0</v>
      </c>
      <c r="AP22" s="60">
        <f>'SE-EGM-GL'!AZ22+'SE-LRC-GL'!AZ22</f>
        <v>0</v>
      </c>
      <c r="AQ22" s="38">
        <f>'SE-EGM-GL'!BA22+'SE-LRC-GL'!BA22</f>
        <v>0</v>
      </c>
      <c r="AR22" s="60">
        <f>'SE-EGM-GL'!BB22+'SE-LRC-GL'!BB22</f>
        <v>0</v>
      </c>
      <c r="AS22" s="38">
        <f>'SE-EGM-GL'!BC22+'SE-LRC-GL'!BC22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4"/>
        <v>1127950</v>
      </c>
      <c r="E23" s="38">
        <f t="shared" si="4"/>
        <v>1827317.1880000001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1216826</v>
      </c>
      <c r="I23" s="82">
        <f>+BGC_GL!I23+'SE-LRC-GL'!I23+NE_GL!I23+'SE-EGM-GL'!I23</f>
        <v>1966390.82</v>
      </c>
      <c r="J23" s="81">
        <f>+BGC_GL!J23+'SE-LRC-GL'!J23+NE_GL!J23+'SE-EGM-GL'!J23</f>
        <v>-88876</v>
      </c>
      <c r="K23" s="82">
        <f>+BGC_GL!K23+'SE-LRC-GL'!K23+NE_GL!K23+'SE-EGM-GL'!K23</f>
        <v>-139468.47200000001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394.83999999999992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'SE-EGM-GL'!AL23+'SE-LRC-GL'!AL23</f>
        <v>0</v>
      </c>
      <c r="AG23" s="38">
        <f>'SE-EGM-GL'!AM23+'SE-LRC-GL'!AM23</f>
        <v>0</v>
      </c>
      <c r="AH23" s="60">
        <f>'SE-EGM-GL'!AP23+'SE-LRC-GL'!AP23</f>
        <v>0</v>
      </c>
      <c r="AI23" s="38">
        <f>'SE-EGM-GL'!AQ23+'SE-LRC-GL'!AQ23</f>
        <v>0</v>
      </c>
      <c r="AJ23" s="60">
        <f>'SE-EGM-GL'!AT23+'SE-LRC-GL'!AT23</f>
        <v>0</v>
      </c>
      <c r="AK23" s="38">
        <f>'SE-EGM-GL'!AU23+'SE-LRC-GL'!AU23</f>
        <v>0</v>
      </c>
      <c r="AL23" s="60">
        <f>'SE-EGM-GL'!AV23+'SE-LRC-GL'!AV23</f>
        <v>0</v>
      </c>
      <c r="AM23" s="38">
        <f>'SE-EGM-GL'!AW23+'SE-LRC-GL'!AW23</f>
        <v>0</v>
      </c>
      <c r="AN23" s="60">
        <f>'SE-EGM-GL'!AX23+'SE-LRC-GL'!AX23</f>
        <v>0</v>
      </c>
      <c r="AO23" s="38">
        <f>'SE-EGM-GL'!AY23+'SE-LRC-GL'!AY23</f>
        <v>0</v>
      </c>
      <c r="AP23" s="60">
        <f>'SE-EGM-GL'!AZ23+'SE-LRC-GL'!AZ23</f>
        <v>0</v>
      </c>
      <c r="AQ23" s="38">
        <f>'SE-EGM-GL'!BA23+'SE-LRC-GL'!BA23</f>
        <v>0</v>
      </c>
      <c r="AR23" s="60">
        <f>'SE-EGM-GL'!BB23+'SE-LRC-GL'!BB23</f>
        <v>0</v>
      </c>
      <c r="AS23" s="38">
        <f>'SE-EGM-GL'!BC23+'SE-LRC-GL'!BC23</f>
        <v>0</v>
      </c>
    </row>
    <row r="24" spans="1:45" x14ac:dyDescent="0.2">
      <c r="A24" s="9"/>
      <c r="B24" s="7" t="s">
        <v>37</v>
      </c>
      <c r="C24" s="6"/>
      <c r="D24" s="61">
        <f>SUM(D19:D23)</f>
        <v>-193985642</v>
      </c>
      <c r="E24" s="39">
        <f>SUM(E19:E23)</f>
        <v>-338675509.76199996</v>
      </c>
      <c r="F24" s="61">
        <f t="shared" ref="F24:AC24" si="5">SUM(F19:F23)</f>
        <v>0</v>
      </c>
      <c r="G24" s="39">
        <f t="shared" si="5"/>
        <v>9229717.0500000007</v>
      </c>
      <c r="H24" s="61">
        <f>SUM(H19:H23)</f>
        <v>-194534294</v>
      </c>
      <c r="I24" s="39">
        <f>SUM(I19:I23)</f>
        <v>-345811353.07999998</v>
      </c>
      <c r="J24" s="61">
        <f>SUM(J19:J23)</f>
        <v>412564</v>
      </c>
      <c r="K24" s="39">
        <f>SUM(K19:K23)</f>
        <v>-2343867.5420000004</v>
      </c>
      <c r="L24" s="61">
        <f t="shared" si="5"/>
        <v>-4592</v>
      </c>
      <c r="M24" s="39">
        <f t="shared" si="5"/>
        <v>3.1</v>
      </c>
      <c r="N24" s="61">
        <f t="shared" si="5"/>
        <v>0</v>
      </c>
      <c r="O24" s="39">
        <f t="shared" si="5"/>
        <v>0</v>
      </c>
      <c r="P24" s="61">
        <f t="shared" si="5"/>
        <v>140680</v>
      </c>
      <c r="Q24" s="39">
        <f t="shared" si="5"/>
        <v>248806.95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394.83999999999992</v>
      </c>
      <c r="X24" s="61">
        <f t="shared" si="5"/>
        <v>0</v>
      </c>
      <c r="Y24" s="39">
        <f t="shared" si="5"/>
        <v>133.82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ref="AD24:AI24" si="6">SUM(AD19:AD23)</f>
        <v>0</v>
      </c>
      <c r="AE24" s="39">
        <f t="shared" si="6"/>
        <v>655.1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ref="AJ24:AO24" si="7">SUM(AJ19:AJ23)</f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11733263</v>
      </c>
      <c r="E27" s="38">
        <f>SUM(G27,I27,K27,M27,O27,Q27,S27,U27,W27,Y27,AA27,AC27,AE27,AG27,AI27,AK27,AM27,AO27,AQ27,AS27)</f>
        <v>20742461.580000002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12153968</v>
      </c>
      <c r="I27" s="68">
        <f>+BGC_GL!I27+'SE-LRC-GL'!I27+NE_GL!I27+'SE-EGM-GL'!I27</f>
        <v>21525243.949999999</v>
      </c>
      <c r="J27" s="64">
        <f>+BGC_GL!J27+'SE-LRC-GL'!J27+NE_GL!J27+'SE-EGM-GL'!J27</f>
        <v>-168256</v>
      </c>
      <c r="K27" s="68">
        <f>+BGC_GL!K27+'SE-LRC-GL'!K27+NE_GL!K27+'SE-EGM-GL'!K27</f>
        <v>-302228.28999999998</v>
      </c>
      <c r="L27" s="60">
        <f>'SE-EGM-GL'!L27+'SE-LRC-GL'!L27</f>
        <v>-152953</v>
      </c>
      <c r="M27" s="38">
        <f>'SE-EGM-GL'!M27+'SE-LRC-GL'!M27</f>
        <v>-280264.33</v>
      </c>
      <c r="N27" s="60">
        <f>'SE-EGM-GL'!N27+'SE-LRC-GL'!N27</f>
        <v>0</v>
      </c>
      <c r="O27" s="38">
        <f>'SE-EGM-GL'!O27+'SE-LRC-GL'!O27</f>
        <v>-0.02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-245072</v>
      </c>
      <c r="U27" s="38">
        <f>'SE-EGM-GL'!U27+'SE-LRC-GL'!U27</f>
        <v>-461174.69</v>
      </c>
      <c r="V27" s="60">
        <f>'SE-EGM-GL'!V27+'SE-LRC-GL'!V27</f>
        <v>397824</v>
      </c>
      <c r="W27" s="38">
        <f>'SE-EGM-GL'!W27+'SE-LRC-GL'!W27</f>
        <v>708541.51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-252248</v>
      </c>
      <c r="AA27" s="38">
        <f>'SE-EGM-GL'!AA27+'SE-LRC-GL'!AA27</f>
        <v>-447659.05</v>
      </c>
      <c r="AB27" s="60">
        <f>'SE-EGM-GL'!AB27+'SE-LRC-GL'!AB27</f>
        <v>0</v>
      </c>
      <c r="AC27" s="38">
        <f>'SE-EGM-GL'!AC27+'SE-LRC-GL'!AC27</f>
        <v>2.5</v>
      </c>
      <c r="AD27" s="60">
        <f>'SE-EGM-GL'!AD27+'SE-LRC-GL'!AD27</f>
        <v>0</v>
      </c>
      <c r="AE27" s="38">
        <f>'SE-EGM-GL'!AE27+'SE-LRC-GL'!AE27</f>
        <v>0</v>
      </c>
      <c r="AF27" s="60">
        <f>'SE-EGM-GL'!AL27+'SE-LRC-GL'!AL27</f>
        <v>0</v>
      </c>
      <c r="AG27" s="38">
        <f>'SE-EGM-GL'!AM27+'SE-LRC-GL'!AM27</f>
        <v>0</v>
      </c>
      <c r="AH27" s="60">
        <f>'SE-EGM-GL'!AP27+'SE-LRC-GL'!AP27</f>
        <v>0</v>
      </c>
      <c r="AI27" s="38">
        <f>'SE-EGM-GL'!AQ27+'SE-LRC-GL'!AQ27</f>
        <v>0</v>
      </c>
      <c r="AJ27" s="60">
        <f>'SE-EGM-GL'!AT27+'SE-LRC-GL'!AT27</f>
        <v>0</v>
      </c>
      <c r="AK27" s="38">
        <f>'SE-EGM-GL'!AU27+'SE-LRC-GL'!AU27</f>
        <v>0</v>
      </c>
      <c r="AL27" s="60">
        <f>'SE-EGM-GL'!AV27+'SE-LRC-GL'!AV27</f>
        <v>0</v>
      </c>
      <c r="AM27" s="38">
        <f>'SE-EGM-GL'!AW27+'SE-LRC-GL'!AW27</f>
        <v>0</v>
      </c>
      <c r="AN27" s="60">
        <f>'SE-EGM-GL'!AX27+'SE-LRC-GL'!AX27</f>
        <v>0</v>
      </c>
      <c r="AO27" s="38">
        <f>'SE-EGM-GL'!AY27+'SE-LRC-GL'!AY27</f>
        <v>0</v>
      </c>
      <c r="AP27" s="60">
        <f>'SE-EGM-GL'!AZ27+'SE-LRC-GL'!AZ27</f>
        <v>0</v>
      </c>
      <c r="AQ27" s="38">
        <f>'SE-EGM-GL'!BA27+'SE-LRC-GL'!BA27</f>
        <v>0</v>
      </c>
      <c r="AR27" s="60">
        <f>'SE-EGM-GL'!BB27+'SE-LRC-GL'!BB27</f>
        <v>0</v>
      </c>
      <c r="AS27" s="38">
        <f>'SE-EGM-GL'!BC27+'SE-LRC-GL'!BC27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-11721389</v>
      </c>
      <c r="E28" s="38">
        <f>SUM(G28,I28,K28,M28,O28,Q28,S28,U28,W28,Y28,AA28,AC28,AE28,AG28,AI28,AK28,AM28,AO28,AQ28,AS28)</f>
        <v>-20723033.300000001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-12145262</v>
      </c>
      <c r="I28" s="82">
        <f>+BGC_GL!I28+'SE-LRC-GL'!I28+NE_GL!I28+'SE-EGM-GL'!I28</f>
        <v>-21492617.969999999</v>
      </c>
      <c r="J28" s="81">
        <f>+BGC_GL!J28+'SE-LRC-GL'!J28+NE_GL!J28+'SE-EGM-GL'!J28</f>
        <v>210218</v>
      </c>
      <c r="K28" s="82">
        <f>+BGC_GL!K28+'SE-LRC-GL'!K28+NE_GL!K28+'SE-EGM-GL'!K28</f>
        <v>400820.43</v>
      </c>
      <c r="L28" s="60">
        <f>'SE-EGM-GL'!L28+'SE-LRC-GL'!L28</f>
        <v>118032</v>
      </c>
      <c r="M28" s="38">
        <f>'SE-EGM-GL'!M28+'SE-LRC-GL'!M28</f>
        <v>201763.9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250911</v>
      </c>
      <c r="U28" s="38">
        <f>'SE-EGM-GL'!U28+'SE-LRC-GL'!U28</f>
        <v>446670.7</v>
      </c>
      <c r="V28" s="60">
        <f>'SE-EGM-GL'!V28+'SE-LRC-GL'!V28</f>
        <v>-407536</v>
      </c>
      <c r="W28" s="38">
        <f>'SE-EGM-GL'!W28+'SE-LRC-GL'!W28</f>
        <v>-727328.05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252248</v>
      </c>
      <c r="AA28" s="38">
        <f>'SE-EGM-GL'!AA28+'SE-LRC-GL'!AA28</f>
        <v>447659.07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-1.38</v>
      </c>
      <c r="AF28" s="60">
        <f>'SE-EGM-GL'!AL28+'SE-LRC-GL'!AL28</f>
        <v>0</v>
      </c>
      <c r="AG28" s="38">
        <f>'SE-EGM-GL'!AM28+'SE-LRC-GL'!AM28</f>
        <v>0</v>
      </c>
      <c r="AH28" s="60">
        <f>'SE-EGM-GL'!AP28+'SE-LRC-GL'!AP28</f>
        <v>0</v>
      </c>
      <c r="AI28" s="38">
        <f>'SE-EGM-GL'!AQ28+'SE-LRC-GL'!AQ28</f>
        <v>0</v>
      </c>
      <c r="AJ28" s="60">
        <f>'SE-EGM-GL'!AT28+'SE-LRC-GL'!AT28</f>
        <v>0</v>
      </c>
      <c r="AK28" s="38">
        <f>'SE-EGM-GL'!AU28+'SE-LRC-GL'!AU28</f>
        <v>0</v>
      </c>
      <c r="AL28" s="60">
        <f>'SE-EGM-GL'!AV28+'SE-LRC-GL'!AV28</f>
        <v>0</v>
      </c>
      <c r="AM28" s="38">
        <f>'SE-EGM-GL'!AW28+'SE-LRC-GL'!AW28</f>
        <v>0</v>
      </c>
      <c r="AN28" s="60">
        <f>'SE-EGM-GL'!AX28+'SE-LRC-GL'!AX28</f>
        <v>0</v>
      </c>
      <c r="AO28" s="38">
        <f>'SE-EGM-GL'!AY28+'SE-LRC-GL'!AY28</f>
        <v>0</v>
      </c>
      <c r="AP28" s="60">
        <f>'SE-EGM-GL'!AZ28+'SE-LRC-GL'!AZ28</f>
        <v>0</v>
      </c>
      <c r="AQ28" s="38">
        <f>'SE-EGM-GL'!BA28+'SE-LRC-GL'!BA28</f>
        <v>0</v>
      </c>
      <c r="AR28" s="60">
        <f>'SE-EGM-GL'!BB28+'SE-LRC-GL'!BB28</f>
        <v>0</v>
      </c>
      <c r="AS28" s="38">
        <f>'SE-EGM-GL'!BC28+'SE-LRC-GL'!BC28</f>
        <v>0</v>
      </c>
    </row>
    <row r="29" spans="1:45" x14ac:dyDescent="0.2">
      <c r="A29" s="9"/>
      <c r="B29" s="7" t="s">
        <v>41</v>
      </c>
      <c r="C29" s="18"/>
      <c r="D29" s="61">
        <f>SUM(D27:D28)</f>
        <v>11874</v>
      </c>
      <c r="E29" s="39">
        <f>SUM(E27:E28)</f>
        <v>19428.280000001192</v>
      </c>
      <c r="F29" s="61">
        <f t="shared" ref="F29:AC29" si="8">SUM(F27:F28)</f>
        <v>0</v>
      </c>
      <c r="G29" s="39">
        <f t="shared" si="8"/>
        <v>0</v>
      </c>
      <c r="H29" s="61">
        <f>SUM(H27:H28)</f>
        <v>8706</v>
      </c>
      <c r="I29" s="39">
        <f>SUM(I27:I28)</f>
        <v>32625.980000000447</v>
      </c>
      <c r="J29" s="61">
        <f>SUM(J27:J28)</f>
        <v>41962</v>
      </c>
      <c r="K29" s="39">
        <f>SUM(K27:K28)</f>
        <v>98592.140000000014</v>
      </c>
      <c r="L29" s="61">
        <f t="shared" si="8"/>
        <v>-34921</v>
      </c>
      <c r="M29" s="39">
        <f t="shared" si="8"/>
        <v>-78500.430000000022</v>
      </c>
      <c r="N29" s="61">
        <f t="shared" si="8"/>
        <v>0</v>
      </c>
      <c r="O29" s="39">
        <f t="shared" si="8"/>
        <v>-0.02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5839</v>
      </c>
      <c r="U29" s="39">
        <f t="shared" si="8"/>
        <v>-14503.989999999991</v>
      </c>
      <c r="V29" s="61">
        <f t="shared" si="8"/>
        <v>-9712</v>
      </c>
      <c r="W29" s="39">
        <f t="shared" si="8"/>
        <v>-18786.540000000037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2.0000000018626451E-2</v>
      </c>
      <c r="AB29" s="61">
        <f t="shared" si="8"/>
        <v>0</v>
      </c>
      <c r="AC29" s="39">
        <f t="shared" si="8"/>
        <v>2.5</v>
      </c>
      <c r="AD29" s="61">
        <f t="shared" ref="AD29:AI29" si="9">SUM(AD27:AD28)</f>
        <v>0</v>
      </c>
      <c r="AE29" s="39">
        <f t="shared" si="9"/>
        <v>-1.38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ref="AJ29:AO29" si="10">SUM(AJ27:AJ28)</f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SUM(F32,H32,J32,L32,N32,P32,R32,T32,V32,X32,Z32,AB32,AD32,AF32,AH32,AJ32,AL32,AN32,AP32,AR32)</f>
        <v>-1168115</v>
      </c>
      <c r="E32" s="38">
        <f t="shared" si="11"/>
        <v>-2183519.1949999994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-902134</v>
      </c>
      <c r="I32" s="68">
        <f>+BGC_GL!I32+'SE-LRC-GL'!I32+NE_GL!I32+'SE-EGM-GL'!I32</f>
        <v>-1457848.55</v>
      </c>
      <c r="J32" s="64">
        <f>+BGC_GL!J32+'SE-LRC-GL'!J32+NE_GL!J32+'SE-EGM-GL'!J32</f>
        <v>-225244</v>
      </c>
      <c r="K32" s="68">
        <f>+BGC_GL!K32+'SE-LRC-GL'!K32+NE_GL!K32+'SE-EGM-GL'!K32</f>
        <v>-659839.652</v>
      </c>
      <c r="L32" s="60">
        <f>'SE-EGM-GL'!L32+'SE-LRC-GL'!L32</f>
        <v>-26026</v>
      </c>
      <c r="M32" s="38">
        <f>'SE-EGM-GL'!M32+'SE-LRC-GL'!M32</f>
        <v>-71472.59</v>
      </c>
      <c r="N32" s="60">
        <f>'SE-EGM-GL'!N32+'SE-LRC-GL'!N32</f>
        <v>-9550</v>
      </c>
      <c r="O32" s="38">
        <f>'SE-EGM-GL'!O32+'SE-LRC-GL'!O32</f>
        <v>-70158.55</v>
      </c>
      <c r="P32" s="60">
        <f>'SE-EGM-GL'!P32+'SE-LRC-GL'!P32</f>
        <v>140680</v>
      </c>
      <c r="Q32" s="38">
        <f>'SE-EGM-GL'!Q32+'SE-LRC-GL'!Q32</f>
        <v>327921.70199999999</v>
      </c>
      <c r="R32" s="60">
        <f>'SE-EGM-GL'!R32+'SE-LRC-GL'!R32</f>
        <v>-109567</v>
      </c>
      <c r="S32" s="38">
        <f>'SE-EGM-GL'!S32+'SE-LRC-GL'!S32</f>
        <v>-247203.62700000001</v>
      </c>
      <c r="T32" s="60">
        <f>'SE-EGM-GL'!T32+'SE-LRC-GL'!T32</f>
        <v>0</v>
      </c>
      <c r="U32" s="38">
        <f>'SE-EGM-GL'!U32+'SE-LRC-GL'!U32</f>
        <v>-28877.655999999999</v>
      </c>
      <c r="V32" s="60">
        <f>'SE-EGM-GL'!V32+'SE-LRC-GL'!V32</f>
        <v>0</v>
      </c>
      <c r="W32" s="38">
        <f>'SE-EGM-GL'!W32+'SE-LRC-GL'!W32</f>
        <v>-23499.295999999998</v>
      </c>
      <c r="X32" s="60">
        <f>'SE-EGM-GL'!X32+'SE-LRC-GL'!X32</f>
        <v>0</v>
      </c>
      <c r="Y32" s="38">
        <f>'SE-EGM-GL'!Y32+'SE-LRC-GL'!Y32</f>
        <v>106077.808</v>
      </c>
      <c r="Z32" s="60">
        <f>'SE-EGM-GL'!Z32+'SE-LRC-GL'!Z32</f>
        <v>0</v>
      </c>
      <c r="AA32" s="38">
        <f>'SE-EGM-GL'!AA32+'SE-LRC-GL'!AA32</f>
        <v>0</v>
      </c>
      <c r="AB32" s="60">
        <f>'SE-EGM-GL'!AB32+'SE-LRC-GL'!AB32</f>
        <v>-271</v>
      </c>
      <c r="AC32" s="38">
        <f>'SE-EGM-GL'!AC32+'SE-LRC-GL'!AC32</f>
        <v>-437.93599999999998</v>
      </c>
      <c r="AD32" s="60">
        <f>'SE-EGM-GL'!AD32+'SE-LRC-GL'!AD32</f>
        <v>-36003</v>
      </c>
      <c r="AE32" s="38">
        <f>'SE-EGM-GL'!AE32+'SE-LRC-GL'!AE32</f>
        <v>-58180.847999999998</v>
      </c>
      <c r="AF32" s="60">
        <f>'SE-EGM-GL'!AL32+'SE-LRC-GL'!AL32</f>
        <v>0</v>
      </c>
      <c r="AG32" s="38">
        <f>'SE-EGM-GL'!AM32+'SE-LRC-GL'!AM32</f>
        <v>0</v>
      </c>
      <c r="AH32" s="60">
        <f>'SE-EGM-GL'!AP32+'SE-LRC-GL'!AP32</f>
        <v>0</v>
      </c>
      <c r="AI32" s="38">
        <f>'SE-EGM-GL'!AQ32+'SE-LRC-GL'!AQ32</f>
        <v>0</v>
      </c>
      <c r="AJ32" s="60">
        <f>'SE-EGM-GL'!AT32+'SE-LRC-GL'!AT32</f>
        <v>0</v>
      </c>
      <c r="AK32" s="38">
        <f>'SE-EGM-GL'!AU32+'SE-LRC-GL'!AU32</f>
        <v>0</v>
      </c>
      <c r="AL32" s="60">
        <f>'SE-EGM-GL'!AV32+'SE-LRC-GL'!AV32</f>
        <v>0</v>
      </c>
      <c r="AM32" s="38">
        <f>'SE-EGM-GL'!AW32+'SE-LRC-GL'!AW32</f>
        <v>0</v>
      </c>
      <c r="AN32" s="60">
        <f>'SE-EGM-GL'!AX32+'SE-LRC-GL'!AX32</f>
        <v>0</v>
      </c>
      <c r="AO32" s="38">
        <f>'SE-EGM-GL'!AY32+'SE-LRC-GL'!AY32</f>
        <v>0</v>
      </c>
      <c r="AP32" s="60">
        <f>'SE-EGM-GL'!AZ32+'SE-LRC-GL'!AZ32</f>
        <v>0</v>
      </c>
      <c r="AQ32" s="38">
        <f>'SE-EGM-GL'!BA32+'SE-LRC-GL'!BA32</f>
        <v>0</v>
      </c>
      <c r="AR32" s="60">
        <f>'SE-EGM-GL'!BB32+'SE-LRC-GL'!BB32</f>
        <v>0</v>
      </c>
      <c r="AS32" s="38">
        <f>'SE-EGM-GL'!BC32+'SE-LRC-GL'!BC32</f>
        <v>0</v>
      </c>
    </row>
    <row r="33" spans="1:45" x14ac:dyDescent="0.2">
      <c r="A33" s="9">
        <v>14</v>
      </c>
      <c r="B33" s="7"/>
      <c r="C33" s="18" t="s">
        <v>44</v>
      </c>
      <c r="D33" s="60">
        <f t="shared" si="11"/>
        <v>-179921</v>
      </c>
      <c r="E33" s="38">
        <f t="shared" si="11"/>
        <v>-330664.86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-179921</v>
      </c>
      <c r="K33" s="38">
        <f>+BGC_GL!K33+'SE-LRC-GL'!K33+NE_GL!K33+'SE-EGM-GL'!K33</f>
        <v>-330664.86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'SE-EGM-GL'!AL33+'SE-LRC-GL'!AL33</f>
        <v>0</v>
      </c>
      <c r="AG33" s="38">
        <f>'SE-EGM-GL'!AM33+'SE-LRC-GL'!AM33</f>
        <v>0</v>
      </c>
      <c r="AH33" s="60">
        <f>'SE-EGM-GL'!AP33+'SE-LRC-GL'!AP33</f>
        <v>0</v>
      </c>
      <c r="AI33" s="38">
        <f>'SE-EGM-GL'!AQ33+'SE-LRC-GL'!AQ33</f>
        <v>0</v>
      </c>
      <c r="AJ33" s="60">
        <f>'SE-EGM-GL'!AT33+'SE-LRC-GL'!AT33</f>
        <v>0</v>
      </c>
      <c r="AK33" s="38">
        <f>'SE-EGM-GL'!AU33+'SE-LRC-GL'!AU33</f>
        <v>0</v>
      </c>
      <c r="AL33" s="60">
        <f>'SE-EGM-GL'!AV33+'SE-LRC-GL'!AV33</f>
        <v>0</v>
      </c>
      <c r="AM33" s="38">
        <f>'SE-EGM-GL'!AW33+'SE-LRC-GL'!AW33</f>
        <v>0</v>
      </c>
      <c r="AN33" s="60">
        <f>'SE-EGM-GL'!AX33+'SE-LRC-GL'!AX33</f>
        <v>0</v>
      </c>
      <c r="AO33" s="38">
        <f>'SE-EGM-GL'!AY33+'SE-LRC-GL'!AY33</f>
        <v>0</v>
      </c>
      <c r="AP33" s="60">
        <f>'SE-EGM-GL'!AZ33+'SE-LRC-GL'!AZ33</f>
        <v>0</v>
      </c>
      <c r="AQ33" s="38">
        <f>'SE-EGM-GL'!BA33+'SE-LRC-GL'!BA33</f>
        <v>0</v>
      </c>
      <c r="AR33" s="60">
        <f>'SE-EGM-GL'!BB33+'SE-LRC-GL'!BB33</f>
        <v>0</v>
      </c>
      <c r="AS33" s="38">
        <f>'SE-EGM-GL'!BC33+'SE-LRC-GL'!BC33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1"/>
        <v>4616</v>
      </c>
      <c r="E34" s="38">
        <f t="shared" si="11"/>
        <v>8074.78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4616</v>
      </c>
      <c r="K34" s="38">
        <f>+BGC_GL!K34+'SE-LRC-GL'!K34+NE_GL!K34+'SE-EGM-GL'!K34</f>
        <v>8074.78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'SE-EGM-GL'!AL34+'SE-LRC-GL'!AL34</f>
        <v>0</v>
      </c>
      <c r="AG34" s="38">
        <f>'SE-EGM-GL'!AM34+'SE-LRC-GL'!AM34</f>
        <v>0</v>
      </c>
      <c r="AH34" s="60">
        <f>'SE-EGM-GL'!AP34+'SE-LRC-GL'!AP34</f>
        <v>0</v>
      </c>
      <c r="AI34" s="38">
        <f>'SE-EGM-GL'!AQ34+'SE-LRC-GL'!AQ34</f>
        <v>0</v>
      </c>
      <c r="AJ34" s="60">
        <f>'SE-EGM-GL'!AT34+'SE-LRC-GL'!AT34</f>
        <v>0</v>
      </c>
      <c r="AK34" s="38">
        <f>'SE-EGM-GL'!AU34+'SE-LRC-GL'!AU34</f>
        <v>0</v>
      </c>
      <c r="AL34" s="60">
        <f>'SE-EGM-GL'!AV34+'SE-LRC-GL'!AV34</f>
        <v>0</v>
      </c>
      <c r="AM34" s="38">
        <f>'SE-EGM-GL'!AW34+'SE-LRC-GL'!AW34</f>
        <v>0</v>
      </c>
      <c r="AN34" s="60">
        <f>'SE-EGM-GL'!AX34+'SE-LRC-GL'!AX34</f>
        <v>0</v>
      </c>
      <c r="AO34" s="38">
        <f>'SE-EGM-GL'!AY34+'SE-LRC-GL'!AY34</f>
        <v>0</v>
      </c>
      <c r="AP34" s="60">
        <f>'SE-EGM-GL'!AZ34+'SE-LRC-GL'!AZ34</f>
        <v>0</v>
      </c>
      <c r="AQ34" s="38">
        <f>'SE-EGM-GL'!BA34+'SE-LRC-GL'!BA34</f>
        <v>0</v>
      </c>
      <c r="AR34" s="60">
        <f>'SE-EGM-GL'!BB34+'SE-LRC-GL'!BB34</f>
        <v>0</v>
      </c>
      <c r="AS34" s="38">
        <f>'SE-EGM-GL'!BC34+'SE-LRC-GL'!BC34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1"/>
        <v>75663</v>
      </c>
      <c r="E35" s="38">
        <f t="shared" si="11"/>
        <v>-0.01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-217584</v>
      </c>
      <c r="I35" s="82">
        <f>+BGC_GL!I35+'SE-LRC-GL'!I35+NE_GL!I35+'SE-EGM-GL'!I35</f>
        <v>-0.01</v>
      </c>
      <c r="J35" s="81">
        <f>+BGC_GL!J35+'SE-LRC-GL'!J35+NE_GL!J35+'SE-EGM-GL'!J35</f>
        <v>293247</v>
      </c>
      <c r="K35" s="82">
        <f>+BGC_GL!K35+'SE-LRC-GL'!K35+NE_GL!K35+'SE-EGM-GL'!K35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'SE-EGM-GL'!AL35+'SE-LRC-GL'!AL35</f>
        <v>0</v>
      </c>
      <c r="AG35" s="38">
        <f>'SE-EGM-GL'!AM35+'SE-LRC-GL'!AM35</f>
        <v>0</v>
      </c>
      <c r="AH35" s="60">
        <f>'SE-EGM-GL'!AP35+'SE-LRC-GL'!AP35</f>
        <v>0</v>
      </c>
      <c r="AI35" s="38">
        <f>'SE-EGM-GL'!AQ35+'SE-LRC-GL'!AQ35</f>
        <v>0</v>
      </c>
      <c r="AJ35" s="60">
        <f>'SE-EGM-GL'!AT35+'SE-LRC-GL'!AT35</f>
        <v>0</v>
      </c>
      <c r="AK35" s="38">
        <f>'SE-EGM-GL'!AU35+'SE-LRC-GL'!AU35</f>
        <v>0</v>
      </c>
      <c r="AL35" s="60">
        <f>'SE-EGM-GL'!AV35+'SE-LRC-GL'!AV35</f>
        <v>0</v>
      </c>
      <c r="AM35" s="38">
        <f>'SE-EGM-GL'!AW35+'SE-LRC-GL'!AW35</f>
        <v>0</v>
      </c>
      <c r="AN35" s="60">
        <f>'SE-EGM-GL'!AX35+'SE-LRC-GL'!AX35</f>
        <v>0</v>
      </c>
      <c r="AO35" s="38">
        <f>'SE-EGM-GL'!AY35+'SE-LRC-GL'!AY35</f>
        <v>0</v>
      </c>
      <c r="AP35" s="60">
        <f>'SE-EGM-GL'!AZ35+'SE-LRC-GL'!AZ35</f>
        <v>0</v>
      </c>
      <c r="AQ35" s="38">
        <f>'SE-EGM-GL'!BA35+'SE-LRC-GL'!BA35</f>
        <v>0</v>
      </c>
      <c r="AR35" s="60">
        <f>'SE-EGM-GL'!BB35+'SE-LRC-GL'!BB35</f>
        <v>0</v>
      </c>
      <c r="AS35" s="38">
        <f>'SE-EGM-GL'!BC35+'SE-LRC-GL'!BC35</f>
        <v>0</v>
      </c>
    </row>
    <row r="36" spans="1:45" x14ac:dyDescent="0.2">
      <c r="A36" s="9"/>
      <c r="B36" s="7" t="s">
        <v>47</v>
      </c>
      <c r="C36" s="6"/>
      <c r="D36" s="61">
        <f>SUM(D32:D35)</f>
        <v>-1267757</v>
      </c>
      <c r="E36" s="39">
        <f>SUM(E32:E35)</f>
        <v>-2506109.2849999992</v>
      </c>
      <c r="F36" s="61">
        <f t="shared" ref="F36:AC36" si="12">SUM(F32:F35)</f>
        <v>0</v>
      </c>
      <c r="G36" s="39">
        <f t="shared" si="12"/>
        <v>0</v>
      </c>
      <c r="H36" s="61">
        <f>SUM(H32:H35)</f>
        <v>-1119718</v>
      </c>
      <c r="I36" s="39">
        <f>SUM(I32:I35)</f>
        <v>-1457848.56</v>
      </c>
      <c r="J36" s="61">
        <f>SUM(J32:J35)</f>
        <v>-107302</v>
      </c>
      <c r="K36" s="39">
        <f>SUM(K32:K35)</f>
        <v>-982429.73199999996</v>
      </c>
      <c r="L36" s="61">
        <f t="shared" si="12"/>
        <v>-26026</v>
      </c>
      <c r="M36" s="39">
        <f t="shared" si="12"/>
        <v>-71472.59</v>
      </c>
      <c r="N36" s="61">
        <f t="shared" si="12"/>
        <v>-9550</v>
      </c>
      <c r="O36" s="39">
        <f t="shared" si="12"/>
        <v>-70158.55</v>
      </c>
      <c r="P36" s="61">
        <f t="shared" si="12"/>
        <v>140680</v>
      </c>
      <c r="Q36" s="39">
        <f t="shared" si="12"/>
        <v>327921.70199999999</v>
      </c>
      <c r="R36" s="61">
        <f t="shared" si="12"/>
        <v>-109567</v>
      </c>
      <c r="S36" s="39">
        <f t="shared" si="12"/>
        <v>-247203.62700000001</v>
      </c>
      <c r="T36" s="61">
        <f t="shared" si="12"/>
        <v>0</v>
      </c>
      <c r="U36" s="39">
        <f t="shared" si="12"/>
        <v>-28877.655999999999</v>
      </c>
      <c r="V36" s="61">
        <f t="shared" si="12"/>
        <v>0</v>
      </c>
      <c r="W36" s="39">
        <f t="shared" si="12"/>
        <v>-23499.295999999998</v>
      </c>
      <c r="X36" s="61">
        <f t="shared" si="12"/>
        <v>0</v>
      </c>
      <c r="Y36" s="39">
        <f t="shared" si="12"/>
        <v>106077.808</v>
      </c>
      <c r="Z36" s="61">
        <f t="shared" si="12"/>
        <v>0</v>
      </c>
      <c r="AA36" s="39">
        <f t="shared" si="12"/>
        <v>0</v>
      </c>
      <c r="AB36" s="61">
        <f t="shared" si="12"/>
        <v>-271</v>
      </c>
      <c r="AC36" s="39">
        <f t="shared" si="12"/>
        <v>-437.93599999999998</v>
      </c>
      <c r="AD36" s="61">
        <f t="shared" ref="AD36:AI36" si="13">SUM(AD32:AD35)</f>
        <v>-36003</v>
      </c>
      <c r="AE36" s="39">
        <f t="shared" si="13"/>
        <v>-58180.847999999998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ref="AJ36:AO36" si="14">SUM(AJ32:AJ35)</f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SUM(F39,H39,J39,L39,N39,P39,R39,T39,V39,X39,Z39,AB39,AD39,AF39,AH39,AJ39,AL39,AN39,AP39,AR39)</f>
        <v>1155574</v>
      </c>
      <c r="E39" s="38">
        <f t="shared" si="15"/>
        <v>1919552.2599999998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178136</v>
      </c>
      <c r="I39" s="68">
        <f>+BGC_GL!I39+'SE-LRC-GL'!I39+NE_GL!I39+'SE-EGM-GL'!I39</f>
        <v>311666.75</v>
      </c>
      <c r="J39" s="64">
        <f>+BGC_GL!J39+'SE-LRC-GL'!J39+NE_GL!J39+'SE-EGM-GL'!J39</f>
        <v>1004820</v>
      </c>
      <c r="K39" s="68">
        <f>+BGC_GL!K39+'SE-LRC-GL'!K39+NE_GL!K39+'SE-EGM-GL'!K39</f>
        <v>84513.36</v>
      </c>
      <c r="L39" s="60">
        <f>'SE-EGM-GL'!L39+'SE-LRC-GL'!L39</f>
        <v>-27382</v>
      </c>
      <c r="M39" s="38">
        <f>'SE-EGM-GL'!M39+'SE-LRC-GL'!M39</f>
        <v>1523372.15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'SE-EGM-GL'!AL39+'SE-LRC-GL'!AL39</f>
        <v>0</v>
      </c>
      <c r="AG39" s="38">
        <f>'SE-EGM-GL'!AM39+'SE-LRC-GL'!AM39</f>
        <v>0</v>
      </c>
      <c r="AH39" s="60">
        <f>'SE-EGM-GL'!AP39+'SE-LRC-GL'!AP39</f>
        <v>0</v>
      </c>
      <c r="AI39" s="38">
        <f>'SE-EGM-GL'!AQ39+'SE-LRC-GL'!AQ39</f>
        <v>0</v>
      </c>
      <c r="AJ39" s="60">
        <f>'SE-EGM-GL'!AT39+'SE-LRC-GL'!AT39</f>
        <v>0</v>
      </c>
      <c r="AK39" s="38">
        <f>'SE-EGM-GL'!AU39+'SE-LRC-GL'!AU39</f>
        <v>0</v>
      </c>
      <c r="AL39" s="60">
        <f>'SE-EGM-GL'!AV39+'SE-LRC-GL'!AV39</f>
        <v>0</v>
      </c>
      <c r="AM39" s="38">
        <f>'SE-EGM-GL'!AW39+'SE-LRC-GL'!AW39</f>
        <v>0</v>
      </c>
      <c r="AN39" s="60">
        <f>'SE-EGM-GL'!AX39+'SE-LRC-GL'!AX39</f>
        <v>0</v>
      </c>
      <c r="AO39" s="38">
        <f>'SE-EGM-GL'!AY39+'SE-LRC-GL'!AY39</f>
        <v>0</v>
      </c>
      <c r="AP39" s="60">
        <f>'SE-EGM-GL'!AZ39+'SE-LRC-GL'!AZ39</f>
        <v>0</v>
      </c>
      <c r="AQ39" s="38">
        <f>'SE-EGM-GL'!BA39+'SE-LRC-GL'!BA39</f>
        <v>0</v>
      </c>
      <c r="AR39" s="60">
        <f>'SE-EGM-GL'!BB39+'SE-LRC-GL'!BB39</f>
        <v>0</v>
      </c>
      <c r="AS39" s="38">
        <f>'SE-EGM-GL'!BC39+'SE-LRC-GL'!BC39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5"/>
        <v>-3688134</v>
      </c>
      <c r="E40" s="38">
        <f t="shared" si="15"/>
        <v>-7988503.2199999997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-3366484</v>
      </c>
      <c r="I40" s="38">
        <f>+BGC_GL!I40+'SE-LRC-GL'!I40+NE_GL!I40+'SE-EGM-GL'!I40</f>
        <v>-7715391.0999999996</v>
      </c>
      <c r="J40" s="60">
        <f>+BGC_GL!J40+'SE-LRC-GL'!J40+NE_GL!J40+'SE-EGM-GL'!J40</f>
        <v>-341517</v>
      </c>
      <c r="K40" s="38">
        <f>+BGC_GL!K40+'SE-LRC-GL'!K40+NE_GL!K40+'SE-EGM-GL'!K40</f>
        <v>719383.05</v>
      </c>
      <c r="L40" s="60">
        <f>'SE-EGM-GL'!L40+'SE-LRC-GL'!L40</f>
        <v>19867</v>
      </c>
      <c r="M40" s="38">
        <f>'SE-EGM-GL'!M40+'SE-LRC-GL'!M40</f>
        <v>-992495.17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'SE-EGM-GL'!AL40+'SE-LRC-GL'!AL40</f>
        <v>0</v>
      </c>
      <c r="AG40" s="38">
        <f>'SE-EGM-GL'!AM40+'SE-LRC-GL'!AM40</f>
        <v>0</v>
      </c>
      <c r="AH40" s="60">
        <f>'SE-EGM-GL'!AP40+'SE-LRC-GL'!AP40</f>
        <v>0</v>
      </c>
      <c r="AI40" s="38">
        <f>'SE-EGM-GL'!AQ40+'SE-LRC-GL'!AQ40</f>
        <v>0</v>
      </c>
      <c r="AJ40" s="60">
        <f>'SE-EGM-GL'!AT40+'SE-LRC-GL'!AT40</f>
        <v>0</v>
      </c>
      <c r="AK40" s="38">
        <f>'SE-EGM-GL'!AU40+'SE-LRC-GL'!AU40</f>
        <v>0</v>
      </c>
      <c r="AL40" s="60">
        <f>'SE-EGM-GL'!AV40+'SE-LRC-GL'!AV40</f>
        <v>0</v>
      </c>
      <c r="AM40" s="38">
        <f>'SE-EGM-GL'!AW40+'SE-LRC-GL'!AW40</f>
        <v>0</v>
      </c>
      <c r="AN40" s="60">
        <f>'SE-EGM-GL'!AX40+'SE-LRC-GL'!AX40</f>
        <v>0</v>
      </c>
      <c r="AO40" s="38">
        <f>'SE-EGM-GL'!AY40+'SE-LRC-GL'!AY40</f>
        <v>0</v>
      </c>
      <c r="AP40" s="60">
        <f>'SE-EGM-GL'!AZ40+'SE-LRC-GL'!AZ40</f>
        <v>0</v>
      </c>
      <c r="AQ40" s="38">
        <f>'SE-EGM-GL'!BA40+'SE-LRC-GL'!BA40</f>
        <v>0</v>
      </c>
      <c r="AR40" s="60">
        <f>'SE-EGM-GL'!BB40+'SE-LRC-GL'!BB40</f>
        <v>0</v>
      </c>
      <c r="AS40" s="38">
        <f>'SE-EGM-GL'!BC40+'SE-LRC-GL'!BC40</f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89462</v>
      </c>
      <c r="F41" s="81">
        <f>+BGC_GL!F41+'SE-LRC-GL'!F41+NE_GL!F41+'SE-EGM-GL'!F41</f>
        <v>0</v>
      </c>
      <c r="G41" s="82">
        <f>+BGC_GL!G41+'SE-LRC-GL'!G41+NE_GL!G41+'SE-EGM-GL'!G41</f>
        <v>89462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'SE-EGM-GL'!AL41+'SE-LRC-GL'!AL41</f>
        <v>0</v>
      </c>
      <c r="AG41" s="38">
        <f>'SE-EGM-GL'!AM41+'SE-LRC-GL'!AM41</f>
        <v>0</v>
      </c>
      <c r="AH41" s="60">
        <f>'SE-EGM-GL'!AP41+'SE-LRC-GL'!AP41</f>
        <v>0</v>
      </c>
      <c r="AI41" s="38">
        <f>'SE-EGM-GL'!AQ41+'SE-LRC-GL'!AQ41</f>
        <v>0</v>
      </c>
      <c r="AJ41" s="60">
        <f>'SE-EGM-GL'!AT41+'SE-LRC-GL'!AT41</f>
        <v>0</v>
      </c>
      <c r="AK41" s="38">
        <f>'SE-EGM-GL'!AU41+'SE-LRC-GL'!AU41</f>
        <v>0</v>
      </c>
      <c r="AL41" s="60">
        <f>'SE-EGM-GL'!AV41+'SE-LRC-GL'!AV41</f>
        <v>0</v>
      </c>
      <c r="AM41" s="38">
        <f>'SE-EGM-GL'!AW41+'SE-LRC-GL'!AW41</f>
        <v>0</v>
      </c>
      <c r="AN41" s="60">
        <f>'SE-EGM-GL'!AX41+'SE-LRC-GL'!AX41</f>
        <v>0</v>
      </c>
      <c r="AO41" s="38">
        <f>'SE-EGM-GL'!AY41+'SE-LRC-GL'!AY41</f>
        <v>0</v>
      </c>
      <c r="AP41" s="60">
        <f>'SE-EGM-GL'!AZ41+'SE-LRC-GL'!AZ41</f>
        <v>0</v>
      </c>
      <c r="AQ41" s="38">
        <f>'SE-EGM-GL'!BA41+'SE-LRC-GL'!BA41</f>
        <v>0</v>
      </c>
      <c r="AR41" s="60">
        <f>'SE-EGM-GL'!BB41+'SE-LRC-GL'!BB41</f>
        <v>0</v>
      </c>
      <c r="AS41" s="38">
        <f>'SE-EGM-GL'!BC41+'SE-LRC-GL'!BC41</f>
        <v>0</v>
      </c>
    </row>
    <row r="42" spans="1:45" x14ac:dyDescent="0.2">
      <c r="A42" s="9"/>
      <c r="B42" s="7"/>
      <c r="C42" s="53" t="s">
        <v>52</v>
      </c>
      <c r="D42" s="61">
        <f>SUM(D40:D41)</f>
        <v>-3688134</v>
      </c>
      <c r="E42" s="39">
        <f>SUM(E40:E41)</f>
        <v>-7899041.2199999997</v>
      </c>
      <c r="F42" s="61">
        <f t="shared" ref="F42:AC42" si="16">SUM(F40:F41)</f>
        <v>0</v>
      </c>
      <c r="G42" s="39">
        <f t="shared" si="16"/>
        <v>89462</v>
      </c>
      <c r="H42" s="61">
        <f>SUM(H40:H41)</f>
        <v>-3366484</v>
      </c>
      <c r="I42" s="39">
        <f>SUM(I40:I41)</f>
        <v>-7715391.0999999996</v>
      </c>
      <c r="J42" s="61">
        <f>SUM(J40:J41)</f>
        <v>-341517</v>
      </c>
      <c r="K42" s="39">
        <f>SUM(K40:K41)</f>
        <v>719383.05</v>
      </c>
      <c r="L42" s="61">
        <f t="shared" si="16"/>
        <v>19867</v>
      </c>
      <c r="M42" s="39">
        <f t="shared" si="16"/>
        <v>-992495.17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ref="AD42:AI42" si="17">SUM(AD40:AD41)</f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ref="AJ42:AO42" si="18">SUM(AJ40:AJ41)</f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>D42+D39</f>
        <v>-2532560</v>
      </c>
      <c r="E43" s="39">
        <f>E42+E39</f>
        <v>-5979488.96</v>
      </c>
      <c r="F43" s="61">
        <f t="shared" ref="F43:AC43" si="19">F42+F39</f>
        <v>0</v>
      </c>
      <c r="G43" s="39">
        <f t="shared" si="19"/>
        <v>89462</v>
      </c>
      <c r="H43" s="61">
        <f>H42+H39</f>
        <v>-3188348</v>
      </c>
      <c r="I43" s="39">
        <f>I42+I39</f>
        <v>-7403724.3499999996</v>
      </c>
      <c r="J43" s="61">
        <f>J42+J39</f>
        <v>663303</v>
      </c>
      <c r="K43" s="39">
        <f>K42+K39</f>
        <v>803896.41</v>
      </c>
      <c r="L43" s="61">
        <f t="shared" si="19"/>
        <v>-7515</v>
      </c>
      <c r="M43" s="39">
        <f t="shared" si="19"/>
        <v>530876.97999999986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ref="AD43:AI43" si="20">AD42+AD39</f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ref="AJ43:AO43" si="21">AJ42+AJ39</f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2">SUM(F45,H45,J45,L45,N45,P45,R45,T45,V45,X45,Z45,AB45,AD45,AF45,AH45,AJ45,AL45,AN45,AP45,AR45)</f>
        <v>-27044</v>
      </c>
      <c r="E45" s="38">
        <f t="shared" si="22"/>
        <v>-46230.1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-27044</v>
      </c>
      <c r="K45" s="68">
        <f>+BGC_GL!K45+'SE-LRC-GL'!K45+NE_GL!K45+'SE-EGM-GL'!K45</f>
        <v>-52194.92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5965.9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-1.08</v>
      </c>
      <c r="AF45" s="60">
        <f>'SE-EGM-GL'!AL45+'SE-LRC-GL'!AL45</f>
        <v>0</v>
      </c>
      <c r="AG45" s="38">
        <f>'SE-EGM-GL'!AM45+'SE-LRC-GL'!AM45</f>
        <v>0</v>
      </c>
      <c r="AH45" s="60">
        <f>'SE-EGM-GL'!AP45+'SE-LRC-GL'!AP45</f>
        <v>0</v>
      </c>
      <c r="AI45" s="38">
        <f>'SE-EGM-GL'!AQ45+'SE-LRC-GL'!AQ45</f>
        <v>0</v>
      </c>
      <c r="AJ45" s="60">
        <f>'SE-EGM-GL'!AT45+'SE-LRC-GL'!AT45</f>
        <v>0</v>
      </c>
      <c r="AK45" s="38">
        <f>'SE-EGM-GL'!AU45+'SE-LRC-GL'!AU45</f>
        <v>0</v>
      </c>
      <c r="AL45" s="60">
        <f>'SE-EGM-GL'!AV45+'SE-LRC-GL'!AV45</f>
        <v>0</v>
      </c>
      <c r="AM45" s="38">
        <f>'SE-EGM-GL'!AW45+'SE-LRC-GL'!AW45</f>
        <v>0</v>
      </c>
      <c r="AN45" s="60">
        <f>'SE-EGM-GL'!AX45+'SE-LRC-GL'!AX45</f>
        <v>0</v>
      </c>
      <c r="AO45" s="38">
        <f>'SE-EGM-GL'!AY45+'SE-LRC-GL'!AY45</f>
        <v>0</v>
      </c>
      <c r="AP45" s="60">
        <f>'SE-EGM-GL'!AZ45+'SE-LRC-GL'!AZ45</f>
        <v>0</v>
      </c>
      <c r="AQ45" s="38">
        <f>'SE-EGM-GL'!BA45+'SE-LRC-GL'!BA45</f>
        <v>0</v>
      </c>
      <c r="AR45" s="60">
        <f>'SE-EGM-GL'!BB45+'SE-LRC-GL'!BB45</f>
        <v>0</v>
      </c>
      <c r="AS45" s="38">
        <f>'SE-EGM-GL'!BC45+'SE-LRC-GL'!BC45</f>
        <v>0</v>
      </c>
    </row>
    <row r="46" spans="1:45" x14ac:dyDescent="0.2">
      <c r="A46" s="9"/>
      <c r="B46" s="11"/>
      <c r="C46" s="6"/>
      <c r="D46" s="60">
        <f t="shared" si="22"/>
        <v>0</v>
      </c>
      <c r="E46" s="38">
        <f t="shared" si="22"/>
        <v>0</v>
      </c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2"/>
        <v>0</v>
      </c>
      <c r="E47" s="38">
        <f t="shared" si="22"/>
        <v>0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0</v>
      </c>
      <c r="I47" s="38">
        <f>+BGC_GL!I47+'SE-LRC-GL'!I47+NE_GL!I47+'SE-EGM-GL'!I47</f>
        <v>0</v>
      </c>
      <c r="J47" s="60">
        <f>+BGC_GL!J47+'SE-LRC-GL'!J47+NE_GL!J47+'SE-EGM-GL'!J47</f>
        <v>72123</v>
      </c>
      <c r="K47" s="38">
        <f>+BGC_GL!K47+'SE-LRC-GL'!K47+NE_GL!K47+'SE-EGM-GL'!K47</f>
        <v>118281.72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-72123</v>
      </c>
      <c r="Q47" s="38">
        <f>'SE-EGM-GL'!Q47+'SE-LRC-GL'!Q47</f>
        <v>-118281.72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'SE-EGM-GL'!AL47+'SE-LRC-GL'!AL47</f>
        <v>0</v>
      </c>
      <c r="AG47" s="38">
        <f>'SE-EGM-GL'!AM47+'SE-LRC-GL'!AM47</f>
        <v>0</v>
      </c>
      <c r="AH47" s="60">
        <f>'SE-EGM-GL'!AP47+'SE-LRC-GL'!AP47</f>
        <v>0</v>
      </c>
      <c r="AI47" s="38">
        <f>'SE-EGM-GL'!AQ47+'SE-LRC-GL'!AQ47</f>
        <v>0</v>
      </c>
      <c r="AJ47" s="60">
        <f>'SE-EGM-GL'!AT47+'SE-LRC-GL'!AT47</f>
        <v>0</v>
      </c>
      <c r="AK47" s="38">
        <f>'SE-EGM-GL'!AU47+'SE-LRC-GL'!AU47</f>
        <v>0</v>
      </c>
      <c r="AL47" s="60">
        <f>'SE-EGM-GL'!AV47+'SE-LRC-GL'!AV47</f>
        <v>0</v>
      </c>
      <c r="AM47" s="38">
        <f>'SE-EGM-GL'!AW47+'SE-LRC-GL'!AW47</f>
        <v>0</v>
      </c>
      <c r="AN47" s="60">
        <f>'SE-EGM-GL'!AX47+'SE-LRC-GL'!AX47</f>
        <v>0</v>
      </c>
      <c r="AO47" s="38">
        <f>'SE-EGM-GL'!AY47+'SE-LRC-GL'!AY47</f>
        <v>0</v>
      </c>
      <c r="AP47" s="60">
        <f>'SE-EGM-GL'!AZ47+'SE-LRC-GL'!AZ47</f>
        <v>0</v>
      </c>
      <c r="AQ47" s="38">
        <f>'SE-EGM-GL'!BA47+'SE-LRC-GL'!BA47</f>
        <v>0</v>
      </c>
      <c r="AR47" s="60">
        <f>'SE-EGM-GL'!BB47+'SE-LRC-GL'!BB47</f>
        <v>0</v>
      </c>
      <c r="AS47" s="38">
        <f>'SE-EGM-GL'!BC47+'SE-LRC-GL'!BC47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-45650</v>
      </c>
      <c r="E49" s="38">
        <f>SUM(G49,I49,K49,M49,O49,Q49,S49,U49,W49,Y49,AA49,AC49,AE49,AG49,AI49,AK49,AM49,AO49,AQ49,AS49)</f>
        <v>-73770.403999999893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788368</v>
      </c>
      <c r="I49" s="38">
        <f>+BGC_GL!I49+'SE-LRC-GL'!I49+NE_GL!I49+'SE-EGM-GL'!I49</f>
        <v>1274002.6880000001</v>
      </c>
      <c r="J49" s="60">
        <f>+BGC_GL!J49+'SE-LRC-GL'!J49+NE_GL!J49+'SE-EGM-GL'!J49</f>
        <v>-1001348</v>
      </c>
      <c r="K49" s="38">
        <f>+BGC_GL!K49+'SE-LRC-GL'!K49+NE_GL!K49+'SE-EGM-GL'!K49</f>
        <v>-1618178.372</v>
      </c>
      <c r="L49" s="60">
        <f>'SE-EGM-GL'!L49+'SE-LRC-GL'!L49</f>
        <v>217574</v>
      </c>
      <c r="M49" s="38">
        <f>'SE-EGM-GL'!M49+'SE-LRC-GL'!M49</f>
        <v>351599.58399999997</v>
      </c>
      <c r="N49" s="60">
        <f>'SE-EGM-GL'!N49+'SE-LRC-GL'!N49</f>
        <v>81673</v>
      </c>
      <c r="O49" s="38">
        <f>'SE-EGM-GL'!O49+'SE-LRC-GL'!O49</f>
        <v>131983.568</v>
      </c>
      <c r="P49" s="60">
        <f>'SE-EGM-GL'!P49+'SE-LRC-GL'!P49</f>
        <v>-281360</v>
      </c>
      <c r="Q49" s="38">
        <f>'SE-EGM-GL'!Q49+'SE-LRC-GL'!Q49</f>
        <v>-454677.76000000001</v>
      </c>
      <c r="R49" s="60">
        <f>'SE-EGM-GL'!R49+'SE-LRC-GL'!R49</f>
        <v>109567</v>
      </c>
      <c r="S49" s="38">
        <f>'SE-EGM-GL'!S49+'SE-LRC-GL'!S49</f>
        <v>177060.272</v>
      </c>
      <c r="T49" s="60">
        <f>'SE-EGM-GL'!T49+'SE-LRC-GL'!T49</f>
        <v>-5839</v>
      </c>
      <c r="U49" s="38">
        <f>'SE-EGM-GL'!U49+'SE-LRC-GL'!U49</f>
        <v>-9435.8240000000005</v>
      </c>
      <c r="V49" s="60">
        <f>'SE-EGM-GL'!V49+'SE-LRC-GL'!V49</f>
        <v>9712</v>
      </c>
      <c r="W49" s="38">
        <f>'SE-EGM-GL'!W49+'SE-LRC-GL'!W49</f>
        <v>15694.592000000001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36003</v>
      </c>
      <c r="AE49" s="38">
        <f>'SE-EGM-GL'!AE49+'SE-LRC-GL'!AE49</f>
        <v>58180.847999999998</v>
      </c>
      <c r="AF49" s="60">
        <f>'SE-EGM-GL'!AL49+'SE-LRC-GL'!AL49</f>
        <v>0</v>
      </c>
      <c r="AG49" s="38">
        <f>'SE-EGM-GL'!AM49+'SE-LRC-GL'!AM49</f>
        <v>0</v>
      </c>
      <c r="AH49" s="60">
        <f>'SE-EGM-GL'!AP49+'SE-LRC-GL'!AP49</f>
        <v>0</v>
      </c>
      <c r="AI49" s="38">
        <f>'SE-EGM-GL'!AQ49+'SE-LRC-GL'!AQ49</f>
        <v>0</v>
      </c>
      <c r="AJ49" s="60">
        <f>'SE-EGM-GL'!AT49+'SE-LRC-GL'!AT49</f>
        <v>0</v>
      </c>
      <c r="AK49" s="38">
        <f>'SE-EGM-GL'!AU49+'SE-LRC-GL'!AU49</f>
        <v>0</v>
      </c>
      <c r="AL49" s="60">
        <f>'SE-EGM-GL'!AV49+'SE-LRC-GL'!AV49</f>
        <v>0</v>
      </c>
      <c r="AM49" s="38">
        <f>'SE-EGM-GL'!AW49+'SE-LRC-GL'!AW49</f>
        <v>0</v>
      </c>
      <c r="AN49" s="60">
        <f>'SE-EGM-GL'!AX49+'SE-LRC-GL'!AX49</f>
        <v>0</v>
      </c>
      <c r="AO49" s="38">
        <f>'SE-EGM-GL'!AY49+'SE-LRC-GL'!AY49</f>
        <v>0</v>
      </c>
      <c r="AP49" s="60">
        <f>'SE-EGM-GL'!AZ49+'SE-LRC-GL'!AZ49</f>
        <v>0</v>
      </c>
      <c r="AQ49" s="38">
        <f>'SE-EGM-GL'!BA49+'SE-LRC-GL'!BA49</f>
        <v>0</v>
      </c>
      <c r="AR49" s="60">
        <f>'SE-EGM-GL'!BB49+'SE-LRC-GL'!BB49</f>
        <v>0</v>
      </c>
      <c r="AS49" s="38">
        <f>'SE-EGM-GL'!BC49+'SE-LRC-GL'!BC49</f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-1127947</v>
      </c>
      <c r="E51" s="38">
        <f>SUM(G51,I51,K51,M51,O51,Q51,S51,U51,W51,Y51,AA51,AC51,AE51,AG51,AI51,AK51,AM51,AO51,AQ51,AS51)</f>
        <v>-1827311.1880000001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-1216826</v>
      </c>
      <c r="I51" s="38">
        <f>+BGC_GL!I51+'SE-LRC-GL'!I51+NE_GL!I51+'SE-EGM-GL'!I51</f>
        <v>-1966390.82</v>
      </c>
      <c r="J51" s="60">
        <f>+BGC_GL!J51+'SE-LRC-GL'!J51+NE_GL!J51+'SE-EGM-GL'!J51</f>
        <v>91079</v>
      </c>
      <c r="K51" s="38">
        <f>+BGC_GL!K51+'SE-LRC-GL'!K51+NE_GL!K51+'SE-EGM-GL'!K51</f>
        <v>143341.56200000001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-2200</v>
      </c>
      <c r="W51" s="38">
        <f>'SE-EGM-GL'!W51+'SE-LRC-GL'!W51</f>
        <v>-4261.93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'SE-EGM-GL'!AL51+'SE-LRC-GL'!AL51</f>
        <v>0</v>
      </c>
      <c r="AG51" s="38">
        <f>'SE-EGM-GL'!AM51+'SE-LRC-GL'!AM51</f>
        <v>0</v>
      </c>
      <c r="AH51" s="60">
        <f>'SE-EGM-GL'!AP51+'SE-LRC-GL'!AP51</f>
        <v>0</v>
      </c>
      <c r="AI51" s="38">
        <f>'SE-EGM-GL'!AQ51+'SE-LRC-GL'!AQ51</f>
        <v>0</v>
      </c>
      <c r="AJ51" s="60">
        <f>'SE-EGM-GL'!AT51+'SE-LRC-GL'!AT51</f>
        <v>0</v>
      </c>
      <c r="AK51" s="38">
        <f>'SE-EGM-GL'!AU51+'SE-LRC-GL'!AU51</f>
        <v>0</v>
      </c>
      <c r="AL51" s="60">
        <f>'SE-EGM-GL'!AV51+'SE-LRC-GL'!AV51</f>
        <v>0</v>
      </c>
      <c r="AM51" s="38">
        <f>'SE-EGM-GL'!AW51+'SE-LRC-GL'!AW51</f>
        <v>0</v>
      </c>
      <c r="AN51" s="60">
        <f>'SE-EGM-GL'!AX51+'SE-LRC-GL'!AX51</f>
        <v>0</v>
      </c>
      <c r="AO51" s="38">
        <f>'SE-EGM-GL'!AY51+'SE-LRC-GL'!AY51</f>
        <v>0</v>
      </c>
      <c r="AP51" s="60">
        <f>'SE-EGM-GL'!AZ51+'SE-LRC-GL'!AZ51</f>
        <v>0</v>
      </c>
      <c r="AQ51" s="38">
        <f>'SE-EGM-GL'!BA51+'SE-LRC-GL'!BA51</f>
        <v>0</v>
      </c>
      <c r="AR51" s="60">
        <f>'SE-EGM-GL'!BB51+'SE-LRC-GL'!BB51</f>
        <v>0</v>
      </c>
      <c r="AS51" s="38">
        <f>'SE-EGM-GL'!BC51+'SE-LRC-GL'!BC51</f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81"/>
      <c r="I52" s="82"/>
      <c r="J52" s="81"/>
      <c r="K52" s="82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-53829254</v>
      </c>
      <c r="E54" s="38">
        <f>SUM(G54,I54,K54,M54,O54,Q54,S54,U54,W54,Y54,AA54,AC54,AE54,AG54,AI54,AK54,AM54,AO54,AQ54,AS54)</f>
        <v>-1760237.2199999997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-57391825</v>
      </c>
      <c r="I54" s="68">
        <f>+BGC_GL!I54+'SE-LRC-GL'!I54+NE_GL!I54+'SE-EGM-GL'!I54</f>
        <v>-2199952.4699999997</v>
      </c>
      <c r="J54" s="64">
        <f>+BGC_GL!J54+'SE-LRC-GL'!J54+NE_GL!J54+'SE-EGM-GL'!J54</f>
        <v>3562571</v>
      </c>
      <c r="K54" s="68">
        <f>+BGC_GL!K54+'SE-LRC-GL'!K54+NE_GL!K54+'SE-EGM-GL'!K54</f>
        <v>434554.52999999997</v>
      </c>
      <c r="L54" s="60">
        <f>'SE-EGM-GL'!L54+'SE-LRC-GL'!L54</f>
        <v>0</v>
      </c>
      <c r="M54" s="38">
        <f>'SE-EGM-GL'!M54+'SE-LRC-GL'!M54</f>
        <v>5160.72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'SE-EGM-GL'!AL54+'SE-LRC-GL'!AL54</f>
        <v>0</v>
      </c>
      <c r="AG54" s="38">
        <f>'SE-EGM-GL'!AM54+'SE-LRC-GL'!AM54</f>
        <v>0</v>
      </c>
      <c r="AH54" s="60">
        <f>'SE-EGM-GL'!AP54+'SE-LRC-GL'!AP54</f>
        <v>0</v>
      </c>
      <c r="AI54" s="38">
        <f>'SE-EGM-GL'!AQ54+'SE-LRC-GL'!AQ54</f>
        <v>0</v>
      </c>
      <c r="AJ54" s="60">
        <f>'SE-EGM-GL'!AT54+'SE-LRC-GL'!AT54</f>
        <v>0</v>
      </c>
      <c r="AK54" s="38">
        <f>'SE-EGM-GL'!AU54+'SE-LRC-GL'!AU54</f>
        <v>0</v>
      </c>
      <c r="AL54" s="60">
        <f>'SE-EGM-GL'!AV54+'SE-LRC-GL'!AV54</f>
        <v>0</v>
      </c>
      <c r="AM54" s="38">
        <f>'SE-EGM-GL'!AW54+'SE-LRC-GL'!AW54</f>
        <v>0</v>
      </c>
      <c r="AN54" s="60">
        <f>'SE-EGM-GL'!AX54+'SE-LRC-GL'!AX54</f>
        <v>0</v>
      </c>
      <c r="AO54" s="38">
        <f>'SE-EGM-GL'!AY54+'SE-LRC-GL'!AY54</f>
        <v>0</v>
      </c>
      <c r="AP54" s="60">
        <f>'SE-EGM-GL'!AZ54+'SE-LRC-GL'!AZ54</f>
        <v>0</v>
      </c>
      <c r="AQ54" s="38">
        <f>'SE-EGM-GL'!BA54+'SE-LRC-GL'!BA54</f>
        <v>0</v>
      </c>
      <c r="AR54" s="60">
        <f>'SE-EGM-GL'!BB54+'SE-LRC-GL'!BB54</f>
        <v>0</v>
      </c>
      <c r="AS54" s="38">
        <f>'SE-EGM-GL'!BC54+'SE-LRC-GL'!BC54</f>
        <v>0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-15115171.93</v>
      </c>
      <c r="F55" s="81">
        <f>+BGC_GL!F55+'SE-LRC-GL'!F55+NE_GL!F55+'SE-EGM-GL'!F55</f>
        <v>0</v>
      </c>
      <c r="G55" s="82">
        <f>+BGC_GL!G55+'SE-LRC-GL'!G55+NE_GL!G55+'SE-EGM-GL'!G55</f>
        <v>647054</v>
      </c>
      <c r="H55" s="81">
        <f>+BGC_GL!H55+'SE-LRC-GL'!H55+NE_GL!H55+'SE-EGM-GL'!H55</f>
        <v>0</v>
      </c>
      <c r="I55" s="82">
        <f>+BGC_GL!I55+'SE-LRC-GL'!I55+NE_GL!I55+'SE-EGM-GL'!I55</f>
        <v>-16014653.59</v>
      </c>
      <c r="J55" s="81">
        <f>+BGC_GL!J55+'SE-LRC-GL'!J55+NE_GL!J55+'SE-EGM-GL'!J55</f>
        <v>0</v>
      </c>
      <c r="K55" s="82">
        <f>+BGC_GL!K55+'SE-LRC-GL'!K55+NE_GL!K55+'SE-EGM-GL'!K55</f>
        <v>252427.66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'SE-EGM-GL'!AL55+'SE-LRC-GL'!AL55</f>
        <v>0</v>
      </c>
      <c r="AG55" s="38">
        <f>'SE-EGM-GL'!AM55+'SE-LRC-GL'!AM55</f>
        <v>0</v>
      </c>
      <c r="AH55" s="60">
        <f>'SE-EGM-GL'!AP55+'SE-LRC-GL'!AP55</f>
        <v>0</v>
      </c>
      <c r="AI55" s="38">
        <f>'SE-EGM-GL'!AQ55+'SE-LRC-GL'!AQ55</f>
        <v>0</v>
      </c>
      <c r="AJ55" s="60">
        <f>'SE-EGM-GL'!AT55+'SE-LRC-GL'!AT55</f>
        <v>0</v>
      </c>
      <c r="AK55" s="38">
        <f>'SE-EGM-GL'!AU55+'SE-LRC-GL'!AU55</f>
        <v>0</v>
      </c>
      <c r="AL55" s="60">
        <f>'SE-EGM-GL'!AV55+'SE-LRC-GL'!AV55</f>
        <v>0</v>
      </c>
      <c r="AM55" s="38">
        <f>'SE-EGM-GL'!AW55+'SE-LRC-GL'!AW55</f>
        <v>0</v>
      </c>
      <c r="AN55" s="60">
        <f>'SE-EGM-GL'!AX55+'SE-LRC-GL'!AX55</f>
        <v>0</v>
      </c>
      <c r="AO55" s="38">
        <f>'SE-EGM-GL'!AY55+'SE-LRC-GL'!AY55</f>
        <v>0</v>
      </c>
      <c r="AP55" s="60">
        <f>'SE-EGM-GL'!AZ55+'SE-LRC-GL'!AZ55</f>
        <v>0</v>
      </c>
      <c r="AQ55" s="38">
        <f>'SE-EGM-GL'!BA55+'SE-LRC-GL'!BA55</f>
        <v>0</v>
      </c>
      <c r="AR55" s="60">
        <f>'SE-EGM-GL'!BB55+'SE-LRC-GL'!BB55</f>
        <v>0</v>
      </c>
      <c r="AS55" s="38">
        <f>'SE-EGM-GL'!BC55+'SE-LRC-GL'!BC55</f>
        <v>0</v>
      </c>
    </row>
    <row r="56" spans="1:45" x14ac:dyDescent="0.2">
      <c r="A56" s="9"/>
      <c r="B56" s="7" t="s">
        <v>61</v>
      </c>
      <c r="C56" s="6"/>
      <c r="D56" s="61">
        <f>SUM(D54:D55)</f>
        <v>-53829254</v>
      </c>
      <c r="E56" s="39">
        <f>SUM(E54:E55)</f>
        <v>-16875409.149999999</v>
      </c>
      <c r="F56" s="61">
        <f t="shared" ref="F56:AC56" si="23">SUM(F54:F55)</f>
        <v>0</v>
      </c>
      <c r="G56" s="39">
        <f t="shared" si="23"/>
        <v>647054</v>
      </c>
      <c r="H56" s="61">
        <f>SUM(H54:H55)</f>
        <v>-57391825</v>
      </c>
      <c r="I56" s="39">
        <f>SUM(I54:I55)</f>
        <v>-18214606.059999999</v>
      </c>
      <c r="J56" s="61">
        <f>SUM(J54:J55)</f>
        <v>3562571</v>
      </c>
      <c r="K56" s="39">
        <f>SUM(K54:K55)</f>
        <v>686982.19</v>
      </c>
      <c r="L56" s="61">
        <f t="shared" si="23"/>
        <v>0</v>
      </c>
      <c r="M56" s="39">
        <f t="shared" si="23"/>
        <v>5160.72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ref="AJ56:AO56" si="25">SUM(AJ54:AJ55)</f>
        <v>0</v>
      </c>
      <c r="AK56" s="39">
        <f t="shared" si="25"/>
        <v>0</v>
      </c>
      <c r="AL56" s="61">
        <f t="shared" si="25"/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3063827</v>
      </c>
      <c r="E59" s="38">
        <f>SUM(G59,I59,K59,M59,O59,Q59,S59,U59,W59,Y59,AA59,AC59,AE59,AG59,AI59,AK59,AM59,AO59,AQ59,AS59)</f>
        <v>61405.760000000002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3301788</v>
      </c>
      <c r="I59" s="68">
        <f>+BGC_GL!I59+'SE-LRC-GL'!I59+NE_GL!I59+'SE-EGM-GL'!I59</f>
        <v>51770.98</v>
      </c>
      <c r="J59" s="64">
        <f>+BGC_GL!J59+'SE-LRC-GL'!J59+NE_GL!J59+'SE-EGM-GL'!J59</f>
        <v>-106007</v>
      </c>
      <c r="K59" s="68">
        <f>+BGC_GL!K59+'SE-LRC-GL'!K59+NE_GL!K59+'SE-EGM-GL'!K59</f>
        <v>9725.02</v>
      </c>
      <c r="L59" s="60">
        <f>'SE-EGM-GL'!L59+'SE-LRC-GL'!L59</f>
        <v>-136741</v>
      </c>
      <c r="M59" s="38">
        <f>'SE-EGM-GL'!M59+'SE-LRC-GL'!M59</f>
        <v>0</v>
      </c>
      <c r="N59" s="60">
        <f>'SE-EGM-GL'!N59+'SE-LRC-GL'!N59</f>
        <v>-20201</v>
      </c>
      <c r="O59" s="38">
        <f>'SE-EGM-GL'!O59+'SE-LRC-GL'!O59</f>
        <v>-90.24</v>
      </c>
      <c r="P59" s="60">
        <f>'SE-EGM-GL'!P59+'SE-LRC-GL'!P59</f>
        <v>24717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271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'SE-EGM-GL'!AL59+'SE-LRC-GL'!AL59</f>
        <v>0</v>
      </c>
      <c r="AG59" s="38">
        <f>'SE-EGM-GL'!AM59+'SE-LRC-GL'!AM59</f>
        <v>0</v>
      </c>
      <c r="AH59" s="60">
        <f>'SE-EGM-GL'!AP59+'SE-LRC-GL'!AP59</f>
        <v>0</v>
      </c>
      <c r="AI59" s="38">
        <f>'SE-EGM-GL'!AQ59+'SE-LRC-GL'!AQ59</f>
        <v>0</v>
      </c>
      <c r="AJ59" s="60">
        <f>'SE-EGM-GL'!AT59+'SE-LRC-GL'!AT59</f>
        <v>0</v>
      </c>
      <c r="AK59" s="38">
        <f>'SE-EGM-GL'!AU59+'SE-LRC-GL'!AU59</f>
        <v>0</v>
      </c>
      <c r="AL59" s="60">
        <f>'SE-EGM-GL'!AV59+'SE-LRC-GL'!AV59</f>
        <v>0</v>
      </c>
      <c r="AM59" s="38">
        <f>'SE-EGM-GL'!AW59+'SE-LRC-GL'!AW59</f>
        <v>0</v>
      </c>
      <c r="AN59" s="60">
        <f>'SE-EGM-GL'!AX59+'SE-LRC-GL'!AX59</f>
        <v>0</v>
      </c>
      <c r="AO59" s="38">
        <f>'SE-EGM-GL'!AY59+'SE-LRC-GL'!AY59</f>
        <v>0</v>
      </c>
      <c r="AP59" s="60">
        <f>'SE-EGM-GL'!AZ59+'SE-LRC-GL'!AZ59</f>
        <v>0</v>
      </c>
      <c r="AQ59" s="38">
        <f>'SE-EGM-GL'!BA59+'SE-LRC-GL'!BA59</f>
        <v>0</v>
      </c>
      <c r="AR59" s="60">
        <f>'SE-EGM-GL'!BB59+'SE-LRC-GL'!BB59</f>
        <v>0</v>
      </c>
      <c r="AS59" s="38">
        <f>'SE-EGM-GL'!BC59+'SE-LRC-GL'!BC59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0</v>
      </c>
      <c r="J60" s="81">
        <f>+BGC_GL!J60+'SE-LRC-GL'!J60+NE_GL!J60+'SE-EGM-GL'!J60</f>
        <v>0</v>
      </c>
      <c r="K60" s="82">
        <f>+BGC_GL!K60+'SE-LRC-GL'!K60+NE_GL!K60+'SE-EGM-GL'!K60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'SE-EGM-GL'!AL60+'SE-LRC-GL'!AL60</f>
        <v>0</v>
      </c>
      <c r="AG60" s="38">
        <f>'SE-EGM-GL'!AM60+'SE-LRC-GL'!AM60</f>
        <v>0</v>
      </c>
      <c r="AH60" s="60">
        <f>'SE-EGM-GL'!AP60+'SE-LRC-GL'!AP60</f>
        <v>0</v>
      </c>
      <c r="AI60" s="38">
        <f>'SE-EGM-GL'!AQ60+'SE-LRC-GL'!AQ60</f>
        <v>0</v>
      </c>
      <c r="AJ60" s="60">
        <f>'SE-EGM-GL'!AT60+'SE-LRC-GL'!AT60</f>
        <v>0</v>
      </c>
      <c r="AK60" s="38">
        <f>'SE-EGM-GL'!AU60+'SE-LRC-GL'!AU60</f>
        <v>0</v>
      </c>
      <c r="AL60" s="60">
        <f>'SE-EGM-GL'!AV60+'SE-LRC-GL'!AV60</f>
        <v>0</v>
      </c>
      <c r="AM60" s="38">
        <f>'SE-EGM-GL'!AW60+'SE-LRC-GL'!AW60</f>
        <v>0</v>
      </c>
      <c r="AN60" s="60">
        <f>'SE-EGM-GL'!AX60+'SE-LRC-GL'!AX60</f>
        <v>0</v>
      </c>
      <c r="AO60" s="38">
        <f>'SE-EGM-GL'!AY60+'SE-LRC-GL'!AY60</f>
        <v>0</v>
      </c>
      <c r="AP60" s="60">
        <f>'SE-EGM-GL'!AZ60+'SE-LRC-GL'!AZ60</f>
        <v>0</v>
      </c>
      <c r="AQ60" s="38">
        <f>'SE-EGM-GL'!BA60+'SE-LRC-GL'!BA60</f>
        <v>0</v>
      </c>
      <c r="AR60" s="60">
        <f>'SE-EGM-GL'!BB60+'SE-LRC-GL'!BB60</f>
        <v>0</v>
      </c>
      <c r="AS60" s="38">
        <f>'SE-EGM-GL'!BC60+'SE-LRC-GL'!BC60</f>
        <v>0</v>
      </c>
    </row>
    <row r="61" spans="1:45" x14ac:dyDescent="0.2">
      <c r="A61" s="9"/>
      <c r="B61" s="62" t="s">
        <v>65</v>
      </c>
      <c r="C61" s="6"/>
      <c r="D61" s="61">
        <f>SUM(D59:D60)</f>
        <v>3063827</v>
      </c>
      <c r="E61" s="39">
        <f>SUM(E59:E60)</f>
        <v>61405.760000000002</v>
      </c>
      <c r="F61" s="61">
        <f t="shared" ref="F61:AC61" si="26">SUM(F59:F60)</f>
        <v>0</v>
      </c>
      <c r="G61" s="39">
        <f t="shared" si="26"/>
        <v>0</v>
      </c>
      <c r="H61" s="61">
        <f>SUM(H59:H60)</f>
        <v>3301788</v>
      </c>
      <c r="I61" s="39">
        <f>SUM(I59:I60)</f>
        <v>51770.98</v>
      </c>
      <c r="J61" s="61">
        <f>SUM(J59:J60)</f>
        <v>-106007</v>
      </c>
      <c r="K61" s="39">
        <f>SUM(K59:K60)</f>
        <v>9725.02</v>
      </c>
      <c r="L61" s="61">
        <f t="shared" si="26"/>
        <v>-136741</v>
      </c>
      <c r="M61" s="39">
        <f t="shared" si="26"/>
        <v>0</v>
      </c>
      <c r="N61" s="61">
        <f t="shared" si="26"/>
        <v>-20201</v>
      </c>
      <c r="O61" s="39">
        <f t="shared" si="26"/>
        <v>-90.24</v>
      </c>
      <c r="P61" s="61">
        <f t="shared" si="26"/>
        <v>24717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271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ref="AJ61:AO61" si="28">SUM(AJ59:AJ60)</f>
        <v>0</v>
      </c>
      <c r="AK61" s="39">
        <f t="shared" si="28"/>
        <v>0</v>
      </c>
      <c r="AL61" s="61">
        <f t="shared" si="28"/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SUM(F63,H63,J63,L63,N63,P63,R63,T63,V63,X63,Z63,AB63,AD63,AF63,AH63,AJ63,AL63,AN63,AP63,AR63)</f>
        <v>0</v>
      </c>
      <c r="E63" s="38">
        <f t="shared" si="29"/>
        <v>0</v>
      </c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29"/>
        <v>-20486833</v>
      </c>
      <c r="E64" s="38">
        <f t="shared" si="29"/>
        <v>-2695795.85</v>
      </c>
      <c r="F64" s="64">
        <f>+BGC_GL!F64+'SE-LRC-GL'!F64+NE_GL!F64+'SE-EGM-GL'!F64</f>
        <v>0</v>
      </c>
      <c r="G64" s="68">
        <f>+BGC_GL!G64+'SE-LRC-GL'!G64+NE_GL!G64+'SE-EGM-GL'!G64</f>
        <v>27083</v>
      </c>
      <c r="H64" s="64">
        <f>+BGC_GL!H64+'SE-LRC-GL'!H64+NE_GL!H64+'SE-EGM-GL'!H64</f>
        <v>-13844588</v>
      </c>
      <c r="I64" s="68">
        <f>+BGC_GL!I64+'SE-LRC-GL'!I64+NE_GL!I64+'SE-EGM-GL'!I64</f>
        <v>-2074179.05</v>
      </c>
      <c r="J64" s="64">
        <f>+BGC_GL!J64+'SE-LRC-GL'!J64+NE_GL!J64+'SE-EGM-GL'!J64</f>
        <v>-6642245</v>
      </c>
      <c r="K64" s="68">
        <f>+BGC_GL!K64+'SE-LRC-GL'!K64+NE_GL!K64+'SE-EGM-GL'!K64</f>
        <v>-648699.80000000005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</row>
    <row r="65" spans="1:45" x14ac:dyDescent="0.2">
      <c r="A65" s="9">
        <v>29</v>
      </c>
      <c r="B65" s="11"/>
      <c r="C65" s="18" t="s">
        <v>67</v>
      </c>
      <c r="D65" s="60">
        <f t="shared" si="29"/>
        <v>20750992</v>
      </c>
      <c r="E65" s="38">
        <f t="shared" si="29"/>
        <v>2090065.17</v>
      </c>
      <c r="F65" s="81">
        <f>+BGC_GL!F65+'SE-LRC-GL'!F65+NE_GL!F65+'SE-EGM-GL'!F65</f>
        <v>0</v>
      </c>
      <c r="G65" s="82">
        <f>+BGC_GL!G65+'SE-LRC-GL'!G65+NE_GL!G65+'SE-EGM-GL'!G65</f>
        <v>-410000</v>
      </c>
      <c r="H65" s="81">
        <f>+BGC_GL!H65+'SE-LRC-GL'!H65+NE_GL!H65+'SE-EGM-GL'!H65</f>
        <v>13684688</v>
      </c>
      <c r="I65" s="82">
        <f>+BGC_GL!I65+'SE-LRC-GL'!I65+NE_GL!I65+'SE-EGM-GL'!I65</f>
        <v>1852221</v>
      </c>
      <c r="J65" s="81">
        <f>+BGC_GL!J65+'SE-LRC-GL'!J65+NE_GL!J65+'SE-EGM-GL'!J65</f>
        <v>7066304</v>
      </c>
      <c r="K65" s="82">
        <f>+BGC_GL!K65+'SE-LRC-GL'!K65+NE_GL!K65+'SE-EGM-GL'!K65</f>
        <v>647844.17000000004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</row>
    <row r="66" spans="1:45" x14ac:dyDescent="0.2">
      <c r="A66" s="9"/>
      <c r="B66" s="7" t="s">
        <v>68</v>
      </c>
      <c r="C66" s="6"/>
      <c r="D66" s="61">
        <f>SUM(D64:D65)</f>
        <v>264159</v>
      </c>
      <c r="E66" s="39">
        <f>SUM(E64:E65)</f>
        <v>-605730.68000000017</v>
      </c>
      <c r="F66" s="61">
        <f t="shared" ref="F66:AC66" si="30">SUM(F64:F65)</f>
        <v>0</v>
      </c>
      <c r="G66" s="39">
        <f t="shared" si="30"/>
        <v>-382917</v>
      </c>
      <c r="H66" s="61">
        <f>SUM(H64:H65)</f>
        <v>-159900</v>
      </c>
      <c r="I66" s="39">
        <f>SUM(I64:I65)</f>
        <v>-221958.05000000005</v>
      </c>
      <c r="J66" s="61">
        <f>SUM(J64:J65)</f>
        <v>424059</v>
      </c>
      <c r="K66" s="39">
        <f>SUM(K64:K65)</f>
        <v>-855.63000000000466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ref="AD66:AI66" si="31">SUM(AD64:AD65)</f>
        <v>0</v>
      </c>
      <c r="AE66" s="39">
        <f t="shared" si="31"/>
        <v>0</v>
      </c>
      <c r="AF66" s="61">
        <f t="shared" si="31"/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ref="AJ66:AO66" si="32">SUM(AJ64:AJ65)</f>
        <v>0</v>
      </c>
      <c r="AK66" s="39">
        <f t="shared" si="32"/>
        <v>0</v>
      </c>
      <c r="AL66" s="61">
        <f t="shared" si="32"/>
        <v>0</v>
      </c>
      <c r="AM66" s="39">
        <f t="shared" si="32"/>
        <v>0</v>
      </c>
      <c r="AN66" s="61">
        <f t="shared" si="32"/>
        <v>0</v>
      </c>
      <c r="AO66" s="39">
        <f t="shared" si="32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8611112.8300000001</v>
      </c>
      <c r="F70" s="64">
        <f>+BGC_GL!F70+'SE-LRC-GL'!F70+NE_GL!F70+'SE-EGM-GL'!F70</f>
        <v>0</v>
      </c>
      <c r="G70" s="68">
        <f>+BGC_GL!G70+'SE-LRC-GL'!G70+NE_GL!G70+'SE-EGM-GL'!G70</f>
        <v>8611112.8300000001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'SE-EGM-GL'!AL70+'SE-LRC-GL'!AL70</f>
        <v>0</v>
      </c>
      <c r="AG70" s="38">
        <f>'SE-EGM-GL'!AM70+'SE-LRC-GL'!AM70</f>
        <v>0</v>
      </c>
      <c r="AH70" s="60">
        <f>'SE-EGM-GL'!AP70+'SE-LRC-GL'!AP70</f>
        <v>0</v>
      </c>
      <c r="AI70" s="38">
        <f>'SE-EGM-GL'!AQ70+'SE-LRC-GL'!AQ70</f>
        <v>0</v>
      </c>
      <c r="AJ70" s="60">
        <f>'SE-EGM-GL'!AT70+'SE-LRC-GL'!AT70</f>
        <v>0</v>
      </c>
      <c r="AK70" s="38">
        <f>'SE-EGM-GL'!AU70+'SE-LRC-GL'!AU70</f>
        <v>0</v>
      </c>
      <c r="AL70" s="60">
        <f>'SE-EGM-GL'!AV70+'SE-LRC-GL'!AV70</f>
        <v>0</v>
      </c>
      <c r="AM70" s="38">
        <f>'SE-EGM-GL'!AW70+'SE-LRC-GL'!AW70</f>
        <v>0</v>
      </c>
      <c r="AN70" s="60">
        <f>'SE-EGM-GL'!AX70+'SE-LRC-GL'!AX70</f>
        <v>0</v>
      </c>
      <c r="AO70" s="38">
        <f>'SE-EGM-GL'!AY70+'SE-LRC-GL'!AY70</f>
        <v>0</v>
      </c>
      <c r="AP70" s="60">
        <f>'SE-EGM-GL'!AZ70+'SE-LRC-GL'!AZ70</f>
        <v>0</v>
      </c>
      <c r="AQ70" s="38">
        <f>'SE-EGM-GL'!BA70+'SE-LRC-GL'!BA70</f>
        <v>0</v>
      </c>
      <c r="AR70" s="60">
        <f>'SE-EGM-GL'!BB70+'SE-LRC-GL'!BB70</f>
        <v>0</v>
      </c>
      <c r="AS70" s="38">
        <f>'SE-EGM-GL'!BC70+'SE-LRC-GL'!BC70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'SE-EGM-GL'!AL71+'SE-LRC-GL'!AL71</f>
        <v>0</v>
      </c>
      <c r="AG71" s="38">
        <f>'SE-EGM-GL'!AM71+'SE-LRC-GL'!AM71</f>
        <v>0</v>
      </c>
      <c r="AH71" s="60">
        <f>'SE-EGM-GL'!AP71+'SE-LRC-GL'!AP71</f>
        <v>0</v>
      </c>
      <c r="AI71" s="38">
        <f>'SE-EGM-GL'!AQ71+'SE-LRC-GL'!AQ71</f>
        <v>0</v>
      </c>
      <c r="AJ71" s="60">
        <f>'SE-EGM-GL'!AT71+'SE-LRC-GL'!AT71</f>
        <v>0</v>
      </c>
      <c r="AK71" s="38">
        <f>'SE-EGM-GL'!AU71+'SE-LRC-GL'!AU71</f>
        <v>0</v>
      </c>
      <c r="AL71" s="60">
        <f>'SE-EGM-GL'!AV71+'SE-LRC-GL'!AV71</f>
        <v>0</v>
      </c>
      <c r="AM71" s="38">
        <f>'SE-EGM-GL'!AW71+'SE-LRC-GL'!AW71</f>
        <v>0</v>
      </c>
      <c r="AN71" s="60">
        <f>'SE-EGM-GL'!AX71+'SE-LRC-GL'!AX71</f>
        <v>0</v>
      </c>
      <c r="AO71" s="38">
        <f>'SE-EGM-GL'!AY71+'SE-LRC-GL'!AY71</f>
        <v>0</v>
      </c>
      <c r="AP71" s="60">
        <f>'SE-EGM-GL'!AZ71+'SE-LRC-GL'!AZ71</f>
        <v>0</v>
      </c>
      <c r="AQ71" s="38">
        <f>'SE-EGM-GL'!BA71+'SE-LRC-GL'!BA71</f>
        <v>0</v>
      </c>
      <c r="AR71" s="60">
        <f>'SE-EGM-GL'!BB71+'SE-LRC-GL'!BB71</f>
        <v>0</v>
      </c>
      <c r="AS71" s="38">
        <f>'SE-EGM-GL'!BC71+'SE-LRC-GL'!BC71</f>
        <v>0</v>
      </c>
    </row>
    <row r="72" spans="1:4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8611112.8300000001</v>
      </c>
      <c r="F72" s="61">
        <f t="shared" ref="F72:AC72" si="33">SUM(F70:F71)</f>
        <v>0</v>
      </c>
      <c r="G72" s="39">
        <f t="shared" si="33"/>
        <v>8611112.8300000001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ref="AD72:AI72" si="34">SUM(AD70:AD71)</f>
        <v>0</v>
      </c>
      <c r="AE72" s="39">
        <f t="shared" si="34"/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ref="AJ72:AO72" si="35">SUM(AJ70:AJ71)</f>
        <v>0</v>
      </c>
      <c r="AK72" s="39">
        <f t="shared" si="35"/>
        <v>0</v>
      </c>
      <c r="AL72" s="61">
        <f t="shared" si="35"/>
        <v>0</v>
      </c>
      <c r="AM72" s="39">
        <f t="shared" si="35"/>
        <v>0</v>
      </c>
      <c r="AN72" s="61">
        <f t="shared" si="35"/>
        <v>0</v>
      </c>
      <c r="AO72" s="39">
        <f t="shared" si="3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SUM(F73,H73,J73,L73,N73,P73,R73,T73,V73,X73,Z73,AB73,AD73,AF73,AH73,AJ73,AL73,AN73,AP73,AR73)</f>
        <v>0</v>
      </c>
      <c r="E73" s="38">
        <f t="shared" ref="E73:E81" si="37">SUM(G73,I73,K73,M73,O73,Q73,S73,U73,W73,Y73,AA73,AC73,AE73,AG73,AI73,AK73,AM73,AO73,AQ73,AS73)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'SE-EGM-GL'!AL73+'SE-LRC-GL'!AL73</f>
        <v>0</v>
      </c>
      <c r="AG73" s="38">
        <f>'SE-EGM-GL'!AM73+'SE-LRC-GL'!AM73</f>
        <v>0</v>
      </c>
      <c r="AH73" s="60">
        <f>'SE-EGM-GL'!AP73+'SE-LRC-GL'!AP73</f>
        <v>0</v>
      </c>
      <c r="AI73" s="38">
        <f>'SE-EGM-GL'!AQ73+'SE-LRC-GL'!AQ73</f>
        <v>0</v>
      </c>
      <c r="AJ73" s="60">
        <f>'SE-EGM-GL'!AT73+'SE-LRC-GL'!AT73</f>
        <v>0</v>
      </c>
      <c r="AK73" s="38">
        <f>'SE-EGM-GL'!AU73+'SE-LRC-GL'!AU73</f>
        <v>0</v>
      </c>
      <c r="AL73" s="60">
        <f>'SE-EGM-GL'!AV73+'SE-LRC-GL'!AV73</f>
        <v>0</v>
      </c>
      <c r="AM73" s="38">
        <f>'SE-EGM-GL'!AW73+'SE-LRC-GL'!AW73</f>
        <v>0</v>
      </c>
      <c r="AN73" s="60">
        <f>'SE-EGM-GL'!AX73+'SE-LRC-GL'!AX73</f>
        <v>0</v>
      </c>
      <c r="AO73" s="38">
        <f>'SE-EGM-GL'!AY73+'SE-LRC-GL'!AY73</f>
        <v>0</v>
      </c>
      <c r="AP73" s="60">
        <f>'SE-EGM-GL'!AZ73+'SE-LRC-GL'!AZ73</f>
        <v>0</v>
      </c>
      <c r="AQ73" s="38">
        <f>'SE-EGM-GL'!BA73+'SE-LRC-GL'!BA73</f>
        <v>0</v>
      </c>
      <c r="AR73" s="60">
        <f>'SE-EGM-GL'!BB73+'SE-LRC-GL'!BB73</f>
        <v>0</v>
      </c>
      <c r="AS73" s="38">
        <f>'SE-EGM-GL'!BC73+'SE-LRC-GL'!BC73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-15269716</v>
      </c>
      <c r="F74" s="60">
        <f>+BGC_GL!F74+'SE-LRC-GL'!F74+NE_GL!F74+'SE-EGM-GL'!F74</f>
        <v>0</v>
      </c>
      <c r="G74" s="60">
        <f>+BGC_GL!G74+'SE-LRC-GL'!G74+NE_GL!G74+'SE-EGM-GL'!G74</f>
        <v>-8217094</v>
      </c>
      <c r="H74" s="60">
        <f>+BGC_GL!H74+'SE-LRC-GL'!H74+NE_GL!H74+'SE-EGM-GL'!H74</f>
        <v>0</v>
      </c>
      <c r="I74" s="60">
        <f>+BGC_GL!I74+'SE-LRC-GL'!I74+NE_GL!I74+'SE-EGM-GL'!I74</f>
        <v>-7052622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'SE-EGM-GL'!AL74+'SE-LRC-GL'!AL74</f>
        <v>0</v>
      </c>
      <c r="AG74" s="38">
        <f>'SE-EGM-GL'!AM74+'SE-LRC-GL'!AM74</f>
        <v>0</v>
      </c>
      <c r="AH74" s="60">
        <f>'SE-EGM-GL'!AP74+'SE-LRC-GL'!AP74</f>
        <v>0</v>
      </c>
      <c r="AI74" s="38">
        <f>'SE-EGM-GL'!AQ74+'SE-LRC-GL'!AQ74</f>
        <v>0</v>
      </c>
      <c r="AJ74" s="60">
        <f>'SE-EGM-GL'!AT74+'SE-LRC-GL'!AT74</f>
        <v>0</v>
      </c>
      <c r="AK74" s="38">
        <f>'SE-EGM-GL'!AU74+'SE-LRC-GL'!AU74</f>
        <v>0</v>
      </c>
      <c r="AL74" s="60">
        <f>'SE-EGM-GL'!AV74+'SE-LRC-GL'!AV74</f>
        <v>0</v>
      </c>
      <c r="AM74" s="38">
        <f>'SE-EGM-GL'!AW74+'SE-LRC-GL'!AW74</f>
        <v>0</v>
      </c>
      <c r="AN74" s="60">
        <f>'SE-EGM-GL'!AX74+'SE-LRC-GL'!AX74</f>
        <v>0</v>
      </c>
      <c r="AO74" s="38">
        <f>'SE-EGM-GL'!AY74+'SE-LRC-GL'!AY74</f>
        <v>0</v>
      </c>
      <c r="AP74" s="60">
        <f>'SE-EGM-GL'!AZ74+'SE-LRC-GL'!AZ74</f>
        <v>0</v>
      </c>
      <c r="AQ74" s="38">
        <f>'SE-EGM-GL'!BA74+'SE-LRC-GL'!BA74</f>
        <v>0</v>
      </c>
      <c r="AR74" s="60">
        <f>'SE-EGM-GL'!BB74+'SE-LRC-GL'!BB74</f>
        <v>0</v>
      </c>
      <c r="AS74" s="38">
        <f>'SE-EGM-GL'!BC74+'SE-LRC-GL'!BC74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166000</v>
      </c>
      <c r="F75" s="60">
        <f>+BGC_GL!F75+'SE-LRC-GL'!F75+NE_GL!F75+'SE-EGM-GL'!F75</f>
        <v>0</v>
      </c>
      <c r="G75" s="60">
        <f>+BGC_GL!G75+'SE-LRC-GL'!G75+NE_GL!G75+'SE-EGM-GL'!G75</f>
        <v>166000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'SE-EGM-GL'!AL75+'SE-LRC-GL'!AL75</f>
        <v>0</v>
      </c>
      <c r="AG75" s="38">
        <f>'SE-EGM-GL'!AM75+'SE-LRC-GL'!AM75</f>
        <v>0</v>
      </c>
      <c r="AH75" s="60">
        <f>'SE-EGM-GL'!AP75+'SE-LRC-GL'!AP75</f>
        <v>0</v>
      </c>
      <c r="AI75" s="38">
        <f>'SE-EGM-GL'!AQ75+'SE-LRC-GL'!AQ75</f>
        <v>0</v>
      </c>
      <c r="AJ75" s="60">
        <f>'SE-EGM-GL'!AT75+'SE-LRC-GL'!AT75</f>
        <v>0</v>
      </c>
      <c r="AK75" s="38">
        <f>'SE-EGM-GL'!AU75+'SE-LRC-GL'!AU75</f>
        <v>0</v>
      </c>
      <c r="AL75" s="60">
        <f>'SE-EGM-GL'!AV75+'SE-LRC-GL'!AV75</f>
        <v>0</v>
      </c>
      <c r="AM75" s="38">
        <f>'SE-EGM-GL'!AW75+'SE-LRC-GL'!AW75</f>
        <v>0</v>
      </c>
      <c r="AN75" s="60">
        <f>'SE-EGM-GL'!AX75+'SE-LRC-GL'!AX75</f>
        <v>0</v>
      </c>
      <c r="AO75" s="38">
        <f>'SE-EGM-GL'!AY75+'SE-LRC-GL'!AY75</f>
        <v>0</v>
      </c>
      <c r="AP75" s="60">
        <f>'SE-EGM-GL'!AZ75+'SE-LRC-GL'!AZ75</f>
        <v>0</v>
      </c>
      <c r="AQ75" s="38">
        <f>'SE-EGM-GL'!BA75+'SE-LRC-GL'!BA75</f>
        <v>0</v>
      </c>
      <c r="AR75" s="60">
        <f>'SE-EGM-GL'!BB75+'SE-LRC-GL'!BB75</f>
        <v>0</v>
      </c>
      <c r="AS75" s="38">
        <f>'SE-EGM-GL'!BC75+'SE-LRC-GL'!BC75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-206717.31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-27984.82</v>
      </c>
      <c r="J76" s="60">
        <f>+BGC_GL!J76+'SE-LRC-GL'!J76+NE_GL!J76+'SE-EGM-GL'!J76</f>
        <v>0</v>
      </c>
      <c r="K76" s="169">
        <f>+BGC_GL!K76+'SE-LRC-GL'!K76+NE_GL!K76+'SE-EGM-GL'!K76</f>
        <v>-178732.49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'SE-EGM-GL'!AL76+'SE-LRC-GL'!AL76</f>
        <v>0</v>
      </c>
      <c r="AG76" s="38">
        <f>'SE-EGM-GL'!AM76+'SE-LRC-GL'!AM76</f>
        <v>0</v>
      </c>
      <c r="AH76" s="60">
        <f>'SE-EGM-GL'!AP76+'SE-LRC-GL'!AP76</f>
        <v>0</v>
      </c>
      <c r="AI76" s="38">
        <f>'SE-EGM-GL'!AQ76+'SE-LRC-GL'!AQ76</f>
        <v>0</v>
      </c>
      <c r="AJ76" s="60">
        <f>'SE-EGM-GL'!AT76+'SE-LRC-GL'!AT76</f>
        <v>0</v>
      </c>
      <c r="AK76" s="38">
        <f>'SE-EGM-GL'!AU76+'SE-LRC-GL'!AU76</f>
        <v>0</v>
      </c>
      <c r="AL76" s="60">
        <f>'SE-EGM-GL'!AV76+'SE-LRC-GL'!AV76</f>
        <v>0</v>
      </c>
      <c r="AM76" s="38">
        <f>'SE-EGM-GL'!AW76+'SE-LRC-GL'!AW76</f>
        <v>0</v>
      </c>
      <c r="AN76" s="60">
        <f>'SE-EGM-GL'!AX76+'SE-LRC-GL'!AX76</f>
        <v>0</v>
      </c>
      <c r="AO76" s="38">
        <f>'SE-EGM-GL'!AY76+'SE-LRC-GL'!AY76</f>
        <v>0</v>
      </c>
      <c r="AP76" s="60">
        <f>'SE-EGM-GL'!AZ76+'SE-LRC-GL'!AZ76</f>
        <v>0</v>
      </c>
      <c r="AQ76" s="38">
        <f>'SE-EGM-GL'!BA76+'SE-LRC-GL'!BA76</f>
        <v>0</v>
      </c>
      <c r="AR76" s="60">
        <f>'SE-EGM-GL'!BB76+'SE-LRC-GL'!BB76</f>
        <v>0</v>
      </c>
      <c r="AS76" s="38">
        <f>'SE-EGM-GL'!BC76+'SE-LRC-GL'!BC76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-3046809</v>
      </c>
      <c r="F77" s="60">
        <f>+BGC_GL!F77+'SE-LRC-GL'!F77+NE_GL!F77+'SE-EGM-GL'!F77</f>
        <v>0</v>
      </c>
      <c r="G77" s="60">
        <f>+BGC_GL!G77+'SE-LRC-GL'!G77+NE_GL!G77+'SE-EGM-GL'!G77</f>
        <v>-3046809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'SE-EGM-GL'!AL77+'SE-LRC-GL'!AL77</f>
        <v>0</v>
      </c>
      <c r="AG77" s="38">
        <f>'SE-EGM-GL'!AM77+'SE-LRC-GL'!AM77</f>
        <v>0</v>
      </c>
      <c r="AH77" s="60">
        <f>'SE-EGM-GL'!AP77+'SE-LRC-GL'!AP77</f>
        <v>0</v>
      </c>
      <c r="AI77" s="38">
        <f>'SE-EGM-GL'!AQ77+'SE-LRC-GL'!AQ77</f>
        <v>0</v>
      </c>
      <c r="AJ77" s="60">
        <f>'SE-EGM-GL'!AT77+'SE-LRC-GL'!AT77</f>
        <v>0</v>
      </c>
      <c r="AK77" s="38">
        <f>'SE-EGM-GL'!AU77+'SE-LRC-GL'!AU77</f>
        <v>0</v>
      </c>
      <c r="AL77" s="60">
        <f>'SE-EGM-GL'!AV77+'SE-LRC-GL'!AV77</f>
        <v>0</v>
      </c>
      <c r="AM77" s="38">
        <f>'SE-EGM-GL'!AW77+'SE-LRC-GL'!AW77</f>
        <v>0</v>
      </c>
      <c r="AN77" s="60">
        <f>'SE-EGM-GL'!AX77+'SE-LRC-GL'!AX77</f>
        <v>0</v>
      </c>
      <c r="AO77" s="38">
        <f>'SE-EGM-GL'!AY77+'SE-LRC-GL'!AY77</f>
        <v>0</v>
      </c>
      <c r="AP77" s="60">
        <f>'SE-EGM-GL'!AZ77+'SE-LRC-GL'!AZ77</f>
        <v>0</v>
      </c>
      <c r="AQ77" s="38">
        <f>'SE-EGM-GL'!BA77+'SE-LRC-GL'!BA77</f>
        <v>0</v>
      </c>
      <c r="AR77" s="60">
        <f>'SE-EGM-GL'!BB77+'SE-LRC-GL'!BB77</f>
        <v>0</v>
      </c>
      <c r="AS77" s="38">
        <f>'SE-EGM-GL'!BC77+'SE-LRC-GL'!BC77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'SE-EGM-GL'!AL78+'SE-LRC-GL'!AL78</f>
        <v>0</v>
      </c>
      <c r="AG78" s="38">
        <f>'SE-EGM-GL'!AM78+'SE-LRC-GL'!AM78</f>
        <v>0</v>
      </c>
      <c r="AH78" s="60">
        <f>'SE-EGM-GL'!AP78+'SE-LRC-GL'!AP78</f>
        <v>0</v>
      </c>
      <c r="AI78" s="38">
        <f>'SE-EGM-GL'!AQ78+'SE-LRC-GL'!AQ78</f>
        <v>0</v>
      </c>
      <c r="AJ78" s="60">
        <f>'SE-EGM-GL'!AT78+'SE-LRC-GL'!AT78</f>
        <v>0</v>
      </c>
      <c r="AK78" s="38">
        <f>'SE-EGM-GL'!AU78+'SE-LRC-GL'!AU78</f>
        <v>0</v>
      </c>
      <c r="AL78" s="60">
        <f>'SE-EGM-GL'!AV78+'SE-LRC-GL'!AV78</f>
        <v>0</v>
      </c>
      <c r="AM78" s="38">
        <f>'SE-EGM-GL'!AW78+'SE-LRC-GL'!AW78</f>
        <v>0</v>
      </c>
      <c r="AN78" s="60">
        <f>'SE-EGM-GL'!AX78+'SE-LRC-GL'!AX78</f>
        <v>0</v>
      </c>
      <c r="AO78" s="38">
        <f>'SE-EGM-GL'!AY78+'SE-LRC-GL'!AY78</f>
        <v>0</v>
      </c>
      <c r="AP78" s="60">
        <f>'SE-EGM-GL'!AZ78+'SE-LRC-GL'!AZ78</f>
        <v>0</v>
      </c>
      <c r="AQ78" s="38">
        <f>'SE-EGM-GL'!BA78+'SE-LRC-GL'!BA78</f>
        <v>0</v>
      </c>
      <c r="AR78" s="60">
        <f>'SE-EGM-GL'!BB78+'SE-LRC-GL'!BB78</f>
        <v>0</v>
      </c>
      <c r="AS78" s="38">
        <f>'SE-EGM-GL'!BC78+'SE-LRC-GL'!BC78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'SE-EGM-GL'!AL79+'SE-LRC-GL'!AL79</f>
        <v>0</v>
      </c>
      <c r="AG79" s="38">
        <f>'SE-EGM-GL'!AM79+'SE-LRC-GL'!AM79</f>
        <v>0</v>
      </c>
      <c r="AH79" s="60">
        <f>'SE-EGM-GL'!AP79+'SE-LRC-GL'!AP79</f>
        <v>0</v>
      </c>
      <c r="AI79" s="38">
        <f>'SE-EGM-GL'!AQ79+'SE-LRC-GL'!AQ79</f>
        <v>0</v>
      </c>
      <c r="AJ79" s="60">
        <f>'SE-EGM-GL'!AT79+'SE-LRC-GL'!AT79</f>
        <v>0</v>
      </c>
      <c r="AK79" s="38">
        <f>'SE-EGM-GL'!AU79+'SE-LRC-GL'!AU79</f>
        <v>0</v>
      </c>
      <c r="AL79" s="60">
        <f>'SE-EGM-GL'!AV79+'SE-LRC-GL'!AV79</f>
        <v>0</v>
      </c>
      <c r="AM79" s="38">
        <f>'SE-EGM-GL'!AW79+'SE-LRC-GL'!AW79</f>
        <v>0</v>
      </c>
      <c r="AN79" s="60">
        <f>'SE-EGM-GL'!AX79+'SE-LRC-GL'!AX79</f>
        <v>0</v>
      </c>
      <c r="AO79" s="38">
        <f>'SE-EGM-GL'!AY79+'SE-LRC-GL'!AY79</f>
        <v>0</v>
      </c>
      <c r="AP79" s="60">
        <f>'SE-EGM-GL'!AZ79+'SE-LRC-GL'!AZ79</f>
        <v>0</v>
      </c>
      <c r="AQ79" s="38">
        <f>'SE-EGM-GL'!BA79+'SE-LRC-GL'!BA79</f>
        <v>0</v>
      </c>
      <c r="AR79" s="60">
        <f>'SE-EGM-GL'!BB79+'SE-LRC-GL'!BB79</f>
        <v>0</v>
      </c>
      <c r="AS79" s="38">
        <f>'SE-EGM-GL'!BC79+'SE-LRC-GL'!BC79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'SE-EGM-GL'!AL80+'SE-LRC-GL'!AL80</f>
        <v>0</v>
      </c>
      <c r="AG80" s="38">
        <f>'SE-EGM-GL'!AM80+'SE-LRC-GL'!AM80</f>
        <v>0</v>
      </c>
      <c r="AH80" s="60">
        <f>'SE-EGM-GL'!AP80+'SE-LRC-GL'!AP80</f>
        <v>0</v>
      </c>
      <c r="AI80" s="38">
        <f>'SE-EGM-GL'!AQ80+'SE-LRC-GL'!AQ80</f>
        <v>0</v>
      </c>
      <c r="AJ80" s="60">
        <f>'SE-EGM-GL'!AT80+'SE-LRC-GL'!AT80</f>
        <v>0</v>
      </c>
      <c r="AK80" s="38">
        <f>'SE-EGM-GL'!AU80+'SE-LRC-GL'!AU80</f>
        <v>0</v>
      </c>
      <c r="AL80" s="60">
        <f>'SE-EGM-GL'!AV80+'SE-LRC-GL'!AV80</f>
        <v>0</v>
      </c>
      <c r="AM80" s="38">
        <f>'SE-EGM-GL'!AW80+'SE-LRC-GL'!AW80</f>
        <v>0</v>
      </c>
      <c r="AN80" s="60">
        <f>'SE-EGM-GL'!AX80+'SE-LRC-GL'!AX80</f>
        <v>0</v>
      </c>
      <c r="AO80" s="38">
        <f>'SE-EGM-GL'!AY80+'SE-LRC-GL'!AY80</f>
        <v>0</v>
      </c>
      <c r="AP80" s="60">
        <f>'SE-EGM-GL'!AZ80+'SE-LRC-GL'!AZ80</f>
        <v>0</v>
      </c>
      <c r="AQ80" s="38">
        <f>'SE-EGM-GL'!BA80+'SE-LRC-GL'!BA80</f>
        <v>0</v>
      </c>
      <c r="AR80" s="60">
        <f>'SE-EGM-GL'!BB80+'SE-LRC-GL'!BB80</f>
        <v>0</v>
      </c>
      <c r="AS80" s="38">
        <f>'SE-EGM-GL'!BC80+'SE-LRC-GL'!BC80</f>
        <v>0</v>
      </c>
    </row>
    <row r="81" spans="1:45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1098678.8899999999</v>
      </c>
      <c r="F81" s="60">
        <f>+BGC_GL!F81+'SE-LRC-GL'!F81+NE_GL!F81+'SE-EGM-GL'!F81</f>
        <v>0</v>
      </c>
      <c r="G81" s="60">
        <f>+BGC_GL!G81+'SE-LRC-GL'!G81+NE_GL!G81+'SE-EGM-GL'!G81</f>
        <v>0</v>
      </c>
      <c r="H81" s="60">
        <f>+BGC_GL!H81+'SE-LRC-GL'!H81+NE_GL!H81+'SE-EGM-GL'!H81</f>
        <v>0</v>
      </c>
      <c r="I81" s="60">
        <f>+BGC_GL!I81+'SE-LRC-GL'!I81+NE_GL!I81+'SE-EGM-GL'!I81</f>
        <v>1053029.19</v>
      </c>
      <c r="J81" s="60">
        <f>+BGC_GL!J81+'SE-LRC-GL'!J81+NE_GL!J81+'SE-EGM-GL'!J81</f>
        <v>0</v>
      </c>
      <c r="K81" s="170">
        <f>+BGC_GL!K81+'SE-LRC-GL'!K81+NE_GL!K81+'SE-EGM-GL'!K81</f>
        <v>45649.7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'SE-EGM-GL'!AL81+'SE-LRC-GL'!AL81</f>
        <v>0</v>
      </c>
      <c r="AG81" s="38">
        <f>'SE-EGM-GL'!AM81+'SE-LRC-GL'!AM81</f>
        <v>0</v>
      </c>
      <c r="AH81" s="60">
        <f>'SE-EGM-GL'!AP81+'SE-LRC-GL'!AP81</f>
        <v>0</v>
      </c>
      <c r="AI81" s="38">
        <f>'SE-EGM-GL'!AQ81+'SE-LRC-GL'!AQ81</f>
        <v>0</v>
      </c>
      <c r="AJ81" s="60">
        <f>'SE-EGM-GL'!AT81+'SE-LRC-GL'!AT81</f>
        <v>0</v>
      </c>
      <c r="AK81" s="38">
        <f>'SE-EGM-GL'!AU81+'SE-LRC-GL'!AU81</f>
        <v>0</v>
      </c>
      <c r="AL81" s="60">
        <f>'SE-EGM-GL'!AV81+'SE-LRC-GL'!AV81</f>
        <v>0</v>
      </c>
      <c r="AM81" s="38">
        <f>'SE-EGM-GL'!AW81+'SE-LRC-GL'!AW81</f>
        <v>0</v>
      </c>
      <c r="AN81" s="60">
        <f>'SE-EGM-GL'!AX81+'SE-LRC-GL'!AX81</f>
        <v>0</v>
      </c>
      <c r="AO81" s="38">
        <f>'SE-EGM-GL'!AY81+'SE-LRC-GL'!AY81</f>
        <v>0</v>
      </c>
      <c r="AP81" s="60">
        <f>'SE-EGM-GL'!AZ81+'SE-LRC-GL'!AZ81</f>
        <v>0</v>
      </c>
      <c r="AQ81" s="38">
        <f>'SE-EGM-GL'!BA81+'SE-LRC-GL'!BA81</f>
        <v>0</v>
      </c>
      <c r="AR81" s="60">
        <f>'SE-EGM-GL'!BB81+'SE-LRC-GL'!BB81</f>
        <v>0</v>
      </c>
      <c r="AS81" s="38">
        <f>'SE-EGM-GL'!BC81+'SE-LRC-GL'!BC81</f>
        <v>0</v>
      </c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-20498166.878999945</v>
      </c>
      <c r="F82" s="92">
        <f>F16+F24+F29+F36+F43+F45+F47+F49</f>
        <v>0</v>
      </c>
      <c r="G82" s="93">
        <f>SUM(G72:G81)+G16+G24+G29+G36+G43+G45+G47+G49+G51+G56+G61+G66</f>
        <v>-9074325.7099999972</v>
      </c>
      <c r="H82" s="92">
        <f>H16+H24+H29+H36+H43+H45+H47+H49</f>
        <v>0</v>
      </c>
      <c r="I82" s="93">
        <f>SUM(I72:I81)+I16+I24+I29+I36+I43+I45+I47+I49+I51+I56+I61+I66</f>
        <v>-3557966.2619999908</v>
      </c>
      <c r="J82" s="92">
        <f>J16+J24+J29+J36+J43+J45+J47+J49</f>
        <v>0</v>
      </c>
      <c r="K82" s="93">
        <f>SUM(K72:K81)+K16+K24+K29+K36+K43+K45+K47+K49+K51+K56+K61+K66</f>
        <v>-8372969.4540000008</v>
      </c>
      <c r="L82" s="92">
        <f>L16+L24+L29+L36+L43+L45+L47+L49</f>
        <v>0</v>
      </c>
      <c r="M82" s="93">
        <f>SUM(M72:M81)+M16+M24+M29+M36+M43+M45+M47+M49+M51+M56+M61+M66</f>
        <v>481886.04399999982</v>
      </c>
      <c r="N82" s="92">
        <f>N16+N24+N29+N36+N43+N45+N47+N49</f>
        <v>0</v>
      </c>
      <c r="O82" s="93">
        <f>SUM(O72:O81)+O16+O24+O29+O36+O43+O45+O47+O49+O51+O56+O61+O66</f>
        <v>-56547.342000000011</v>
      </c>
      <c r="P82" s="92">
        <f>P16+P24+P29+P36+P43+P45+P47+P49</f>
        <v>0</v>
      </c>
      <c r="Q82" s="93">
        <f>SUM(Q72:Q81)+Q16+Q24+Q29+Q36+Q43+Q45+Q47+Q49+Q51+Q56+Q61+Q66</f>
        <v>122050.89199999999</v>
      </c>
      <c r="R82" s="92">
        <f>R16+R24+R29+R36+R43+R45+R47+R49</f>
        <v>0</v>
      </c>
      <c r="S82" s="93">
        <f>SUM(S72:S81)+S16+S24+S29+S36+S43+S45+S47+S49+S51+S56+S61+S66</f>
        <v>-70143.35500000001</v>
      </c>
      <c r="T82" s="92">
        <f>T16+T24+T29+T36+T43+T45+T47+T49</f>
        <v>0</v>
      </c>
      <c r="U82" s="93">
        <f>SUM(U72:U81)+U16+U24+U29+U36+U43+U45+U47+U49+U51+U56+U61+U66</f>
        <v>-52925.089999999989</v>
      </c>
      <c r="V82" s="92">
        <f>V16+V24+V29+V36+V43+V45+V47+V49</f>
        <v>0</v>
      </c>
      <c r="W82" s="93">
        <f>SUM(W72:W81)+W16+W24+W29+W36+W43+W45+W47+W49+W51+W56+W61+W66</f>
        <v>-24492.434000000034</v>
      </c>
      <c r="X82" s="92">
        <f>X16+X24+X29+X36+X43+X45+X47+X49</f>
        <v>0</v>
      </c>
      <c r="Y82" s="93">
        <f>SUM(Y72:Y81)+Y16+Y24+Y29+Y36+Y43+Y45+Y47+Y49+Y51+Y56+Y61+Y66</f>
        <v>106211.62800000001</v>
      </c>
      <c r="Z82" s="92">
        <f>Z16+Z24+Z29+Z36+Z43+Z45+Z47+Z49</f>
        <v>0</v>
      </c>
      <c r="AA82" s="93">
        <f>SUM(AA72:AA81)+AA16+AA24+AA29+AA36+AA43+AA45+AA47+AA49+AA51+AA56+AA61+AA66</f>
        <v>2.0000000018626451E-2</v>
      </c>
      <c r="AB82" s="92">
        <f>AB16+AB24+AB29+AB36+AB43+AB45+AB47+AB49</f>
        <v>0</v>
      </c>
      <c r="AC82" s="93">
        <f>SUM(AC72:AC81)+AC16+AC24+AC29+AC36+AC43+AC45+AC47+AC49+AC51+AC56+AC61+AC66</f>
        <v>36.104000000000042</v>
      </c>
      <c r="AD82" s="92">
        <f>AD16+AD24+AD29+AD36+AD43+AD45+AD47+AD49</f>
        <v>0</v>
      </c>
      <c r="AE82" s="93">
        <f>SUM(AE72:AE81)+AE16+AE24+AE29+AE36+AE43+AE45+AE47+AE49+AE51+AE56+AE61+AE66</f>
        <v>653.09999999999854</v>
      </c>
      <c r="AF82" s="92">
        <f>AF16+AF24+AF29+AF36+AF43+AF45+AF47+AF49</f>
        <v>0</v>
      </c>
      <c r="AG82" s="93">
        <f>SUM(AG72:AG81)+AG16+AG24+AG29+AG36+AG43+AG45+AG47+AG49+AG51+AG56+AG61+AG66</f>
        <v>364.98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5" thickTop="1" x14ac:dyDescent="0.2">
      <c r="A83" s="4"/>
      <c r="B83" s="3"/>
    </row>
    <row r="84" spans="1:45" x14ac:dyDescent="0.2">
      <c r="A84" s="4"/>
      <c r="B84" s="3"/>
      <c r="E84" s="167">
        <f>+'SE-LRC-GL'!E82+'SE-EGM-GL'!E82+NE_GL!E82+BGC_GL!E82</f>
        <v>-3659227.8520000312</v>
      </c>
      <c r="G84" s="167">
        <f>+'SE-LRC-GL'!G82+'SE-EGM-GL'!G82+NE_GL!G82+BGC_GL!G82</f>
        <v>-9074325.7099999972</v>
      </c>
      <c r="I84" s="167">
        <f>+'SE-LRC-GL'!I82+'SE-EGM-GL'!I82+NE_GL!I82+BGC_GL!I82</f>
        <v>-3557966.2620000024</v>
      </c>
      <c r="K84" s="167">
        <f>+'SE-LRC-GL'!K82+'SE-EGM-GL'!K82+NE_GL!K82+BGC_GL!K82</f>
        <v>-8372969.4540000008</v>
      </c>
    </row>
    <row r="85" spans="1:45" x14ac:dyDescent="0.2">
      <c r="A85" s="4" t="s">
        <v>194</v>
      </c>
      <c r="B85" s="3"/>
      <c r="F85" s="31"/>
      <c r="G85" s="31"/>
      <c r="H85" s="31"/>
      <c r="I85" s="31"/>
      <c r="L85" s="45"/>
    </row>
    <row r="86" spans="1:45" s="3" customFormat="1" x14ac:dyDescent="0.2">
      <c r="A86" s="182"/>
      <c r="C86" s="10" t="s">
        <v>191</v>
      </c>
      <c r="D86" s="183">
        <f t="shared" ref="D86:E88" si="38">SUM(F86,H86,J86,L86,N86,P86,R86,T86,V86,X86,Z86,AB86,AD86)</f>
        <v>0</v>
      </c>
      <c r="E86" s="183">
        <f t="shared" si="38"/>
        <v>47204.17</v>
      </c>
      <c r="F86" s="183">
        <f>+BGC_GL!F86+'SE-LRC-GL'!F86+NE_GL!F86+'SE-EGM-GL'!F86</f>
        <v>0</v>
      </c>
      <c r="G86" s="183">
        <f>+BGC_GL!G86+'SE-LRC-GL'!G86+NE_GL!G86+'SE-EGM-GL'!G86</f>
        <v>47204.17</v>
      </c>
      <c r="H86" s="183">
        <f>+BGC_GL!H86+'SE-LRC-GL'!H86+NE_GL!H86+'SE-EGM-GL'!H86</f>
        <v>0</v>
      </c>
      <c r="I86" s="183">
        <f>+BGC_GL!I86+'SE-LRC-GL'!I86+NE_GL!I86+'SE-EGM-GL'!I86</f>
        <v>0</v>
      </c>
      <c r="J86" s="183">
        <f>+BGC_GL!J86+'SE-LRC-GL'!J86+NE_GL!J86+'SE-EGM-GL'!J86</f>
        <v>0</v>
      </c>
      <c r="K86" s="183">
        <f>+BGC_GL!K86+'SE-LRC-GL'!K86+NE_GL!K86+'SE-EGM-GL'!K86</f>
        <v>0</v>
      </c>
      <c r="L86" s="183">
        <f>'SE-EGM-GL'!L86+'SE-LRC-GL'!L86</f>
        <v>0</v>
      </c>
      <c r="M86" s="183">
        <f>'SE-EGM-GL'!M86+'SE-LRC-GL'!M86</f>
        <v>0</v>
      </c>
      <c r="N86" s="183">
        <f>'SE-EGM-GL'!N86+'SE-LRC-GL'!N86</f>
        <v>0</v>
      </c>
      <c r="O86" s="183">
        <f>'SE-EGM-GL'!O86+'SE-LRC-GL'!O86</f>
        <v>0</v>
      </c>
      <c r="P86" s="183">
        <f>'SE-EGM-GL'!P86+'SE-LRC-GL'!P86</f>
        <v>0</v>
      </c>
      <c r="Q86" s="183">
        <f>'SE-EGM-GL'!Q86+'SE-LRC-GL'!Q86</f>
        <v>0</v>
      </c>
      <c r="R86" s="183">
        <f>'SE-EGM-GL'!R86+'SE-LRC-GL'!R86</f>
        <v>0</v>
      </c>
      <c r="S86" s="183">
        <f>'SE-EGM-GL'!S86+'SE-LRC-GL'!S86</f>
        <v>0</v>
      </c>
      <c r="T86" s="183">
        <f>'SE-EGM-GL'!T86+'SE-LRC-GL'!T86</f>
        <v>0</v>
      </c>
      <c r="U86" s="183">
        <f>'SE-EGM-GL'!U86+'SE-LRC-GL'!U86</f>
        <v>0</v>
      </c>
      <c r="V86" s="183">
        <f>'SE-EGM-GL'!V86+'SE-LRC-GL'!V86</f>
        <v>0</v>
      </c>
      <c r="W86" s="183">
        <f>'SE-EGM-GL'!W86+'SE-LRC-GL'!W86</f>
        <v>0</v>
      </c>
      <c r="X86" s="183">
        <f>'SE-EGM-GL'!X86+'SE-LRC-GL'!X86</f>
        <v>0</v>
      </c>
      <c r="Y86" s="183">
        <f>'SE-EGM-GL'!Y86+'SE-LRC-GL'!Y86</f>
        <v>0</v>
      </c>
      <c r="Z86" s="183">
        <f>'SE-EGM-GL'!Z86+'SE-LRC-GL'!Z86</f>
        <v>0</v>
      </c>
      <c r="AA86" s="183">
        <f>'SE-EGM-GL'!AA86+'SE-LRC-GL'!AA86</f>
        <v>0</v>
      </c>
      <c r="AB86" s="183">
        <f>'SE-EGM-GL'!AB86+'SE-LRC-GL'!AB86</f>
        <v>0</v>
      </c>
      <c r="AC86" s="183">
        <f>'SE-EGM-GL'!AC86+'SE-LRC-GL'!AC86</f>
        <v>0</v>
      </c>
      <c r="AD86" s="183">
        <f>'SE-EGM-GL'!AD86+'SE-LRC-GL'!AD86</f>
        <v>0</v>
      </c>
      <c r="AE86" s="183">
        <f>'SE-EGM-GL'!AE86+'SE-LRC-GL'!AE86</f>
        <v>0</v>
      </c>
      <c r="AF86" s="183">
        <f>'SE-EGM-GL'!AL86+'SE-LRC-GL'!AL86</f>
        <v>0</v>
      </c>
      <c r="AG86" s="183">
        <f>'SE-EGM-GL'!AM86+'SE-LRC-GL'!AM86</f>
        <v>0</v>
      </c>
      <c r="AH86" s="183">
        <f>'SE-EGM-GL'!AP86+'SE-LRC-GL'!AP86</f>
        <v>0</v>
      </c>
      <c r="AI86" s="183">
        <f>'SE-EGM-GL'!AQ86+'SE-LRC-GL'!AQ86</f>
        <v>0</v>
      </c>
      <c r="AJ86" s="183">
        <f>'SE-EGM-GL'!AT86+'SE-LRC-GL'!AT86</f>
        <v>0</v>
      </c>
      <c r="AK86" s="183">
        <f>'SE-EGM-GL'!AU86+'SE-LRC-GL'!AU86</f>
        <v>0</v>
      </c>
      <c r="AL86" s="183">
        <f>'SE-EGM-GL'!AV86+'SE-LRC-GL'!AV86</f>
        <v>0</v>
      </c>
      <c r="AM86" s="183">
        <f>'SE-EGM-GL'!AW86+'SE-LRC-GL'!AW86</f>
        <v>0</v>
      </c>
      <c r="AN86" s="183">
        <f>'SE-EGM-GL'!AX86+'SE-LRC-GL'!AX86</f>
        <v>0</v>
      </c>
      <c r="AO86" s="183">
        <f>'SE-EGM-GL'!AY86+'SE-LRC-GL'!AY86</f>
        <v>0</v>
      </c>
      <c r="AP86" s="183">
        <f>'SE-EGM-GL'!AZ86+'SE-LRC-GL'!AZ86</f>
        <v>0</v>
      </c>
      <c r="AQ86" s="183">
        <f>'SE-EGM-GL'!BA86+'SE-LRC-GL'!BA86</f>
        <v>0</v>
      </c>
      <c r="AR86" s="183">
        <f>'SE-EGM-GL'!BB86+'SE-LRC-GL'!BB86</f>
        <v>0</v>
      </c>
      <c r="AS86" s="183">
        <f>'SE-EGM-GL'!BC86+'SE-LRC-GL'!BC86</f>
        <v>0</v>
      </c>
    </row>
    <row r="87" spans="1:45" s="3" customFormat="1" x14ac:dyDescent="0.2">
      <c r="A87" s="182"/>
      <c r="C87" s="10" t="s">
        <v>75</v>
      </c>
      <c r="D87" s="184">
        <f t="shared" si="38"/>
        <v>0</v>
      </c>
      <c r="E87" s="184">
        <f t="shared" si="38"/>
        <v>0</v>
      </c>
      <c r="F87" s="184">
        <f>+BGC_GL!F87+'SE-LRC-GL'!F87+NE_GL!F87+'SE-EGM-GL'!F87</f>
        <v>0</v>
      </c>
      <c r="G87" s="184">
        <f>+BGC_GL!G87+'SE-LRC-GL'!G87+NE_GL!G87+'SE-EGM-GL'!G87</f>
        <v>0</v>
      </c>
      <c r="H87" s="184">
        <f>+BGC_GL!H87+'SE-LRC-GL'!H87+NE_GL!H87+'SE-EGM-GL'!H87</f>
        <v>0</v>
      </c>
      <c r="I87" s="184">
        <f>+BGC_GL!I87+'SE-LRC-GL'!I87+NE_GL!I87+'SE-EGM-GL'!I87</f>
        <v>0</v>
      </c>
      <c r="J87" s="184">
        <f>+BGC_GL!J87+'SE-LRC-GL'!J87+NE_GL!J87+'SE-EGM-GL'!J87</f>
        <v>0</v>
      </c>
      <c r="K87" s="184">
        <f>+BGC_GL!K87+'SE-LRC-GL'!K87+NE_GL!K87+'SE-EGM-GL'!K87</f>
        <v>0</v>
      </c>
      <c r="L87" s="184">
        <f>'SE-EGM-GL'!L87+'SE-LRC-GL'!L87</f>
        <v>0</v>
      </c>
      <c r="M87" s="184">
        <f>'SE-EGM-GL'!M87+'SE-LRC-GL'!M87</f>
        <v>0</v>
      </c>
      <c r="N87" s="184">
        <f>'SE-EGM-GL'!N87+'SE-LRC-GL'!N87</f>
        <v>0</v>
      </c>
      <c r="O87" s="184">
        <f>'SE-EGM-GL'!O87+'SE-LRC-GL'!O87</f>
        <v>0</v>
      </c>
      <c r="P87" s="184">
        <f>'SE-EGM-GL'!P87+'SE-LRC-GL'!P87</f>
        <v>0</v>
      </c>
      <c r="Q87" s="184">
        <f>'SE-EGM-GL'!Q87+'SE-LRC-GL'!Q87</f>
        <v>0</v>
      </c>
      <c r="R87" s="184">
        <f>'SE-EGM-GL'!R87+'SE-LRC-GL'!R87</f>
        <v>0</v>
      </c>
      <c r="S87" s="184">
        <f>'SE-EGM-GL'!S87+'SE-LRC-GL'!S87</f>
        <v>0</v>
      </c>
      <c r="T87" s="184">
        <f>'SE-EGM-GL'!T87+'SE-LRC-GL'!T87</f>
        <v>0</v>
      </c>
      <c r="U87" s="184">
        <f>'SE-EGM-GL'!U87+'SE-LRC-GL'!U87</f>
        <v>0</v>
      </c>
      <c r="V87" s="184">
        <f>'SE-EGM-GL'!V87+'SE-LRC-GL'!V87</f>
        <v>0</v>
      </c>
      <c r="W87" s="184">
        <f>'SE-EGM-GL'!W87+'SE-LRC-GL'!W87</f>
        <v>0</v>
      </c>
      <c r="X87" s="184">
        <f>'SE-EGM-GL'!X87+'SE-LRC-GL'!X87</f>
        <v>0</v>
      </c>
      <c r="Y87" s="184">
        <f>'SE-EGM-GL'!Y87+'SE-LRC-GL'!Y87</f>
        <v>0</v>
      </c>
      <c r="Z87" s="184">
        <f>'SE-EGM-GL'!Z87+'SE-LRC-GL'!Z87</f>
        <v>0</v>
      </c>
      <c r="AA87" s="184">
        <f>'SE-EGM-GL'!AA87+'SE-LRC-GL'!AA87</f>
        <v>0</v>
      </c>
      <c r="AB87" s="184">
        <f>'SE-EGM-GL'!AB87+'SE-LRC-GL'!AB87</f>
        <v>0</v>
      </c>
      <c r="AC87" s="184">
        <f>'SE-EGM-GL'!AC87+'SE-LRC-GL'!AC87</f>
        <v>0</v>
      </c>
      <c r="AD87" s="184">
        <f>'SE-EGM-GL'!AD87+'SE-LRC-GL'!AD87</f>
        <v>0</v>
      </c>
      <c r="AE87" s="184">
        <f>'SE-EGM-GL'!AE87+'SE-LRC-GL'!AE87</f>
        <v>0</v>
      </c>
      <c r="AF87" s="184">
        <f>'SE-EGM-GL'!AL87+'SE-LRC-GL'!AL87</f>
        <v>0</v>
      </c>
      <c r="AG87" s="184">
        <f>'SE-EGM-GL'!AM87+'SE-LRC-GL'!AM87</f>
        <v>0</v>
      </c>
      <c r="AH87" s="184">
        <f>'SE-EGM-GL'!AP87+'SE-LRC-GL'!AP87</f>
        <v>0</v>
      </c>
      <c r="AI87" s="184">
        <f>'SE-EGM-GL'!AQ87+'SE-LRC-GL'!AQ87</f>
        <v>0</v>
      </c>
      <c r="AJ87" s="184">
        <f>'SE-EGM-GL'!AT87+'SE-LRC-GL'!AT87</f>
        <v>0</v>
      </c>
      <c r="AK87" s="184">
        <f>'SE-EGM-GL'!AU87+'SE-LRC-GL'!AU87</f>
        <v>0</v>
      </c>
      <c r="AL87" s="184">
        <f>'SE-EGM-GL'!AV87+'SE-LRC-GL'!AV87</f>
        <v>0</v>
      </c>
      <c r="AM87" s="184">
        <f>'SE-EGM-GL'!AW87+'SE-LRC-GL'!AW87</f>
        <v>0</v>
      </c>
      <c r="AN87" s="184">
        <f>'SE-EGM-GL'!AX87+'SE-LRC-GL'!AX87</f>
        <v>0</v>
      </c>
      <c r="AO87" s="184">
        <f>'SE-EGM-GL'!AY87+'SE-LRC-GL'!AY87</f>
        <v>0</v>
      </c>
      <c r="AP87" s="184">
        <f>'SE-EGM-GL'!AZ87+'SE-LRC-GL'!AZ87</f>
        <v>0</v>
      </c>
      <c r="AQ87" s="184">
        <f>'SE-EGM-GL'!BA87+'SE-LRC-GL'!BA87</f>
        <v>0</v>
      </c>
      <c r="AR87" s="184">
        <f>'SE-EGM-GL'!BB87+'SE-LRC-GL'!BB87</f>
        <v>0</v>
      </c>
      <c r="AS87" s="184">
        <f>'SE-EGM-GL'!BC87+'SE-LRC-GL'!BC87</f>
        <v>0</v>
      </c>
    </row>
    <row r="88" spans="1:45" s="3" customFormat="1" x14ac:dyDescent="0.2">
      <c r="A88" s="182"/>
      <c r="C88" s="10" t="s">
        <v>76</v>
      </c>
      <c r="D88" s="185">
        <f t="shared" si="38"/>
        <v>0</v>
      </c>
      <c r="E88" s="185">
        <f t="shared" si="38"/>
        <v>0</v>
      </c>
      <c r="F88" s="185">
        <f>+BGC_GL!F88+'SE-LRC-GL'!F88+NE_GL!F88+'SE-EGM-GL'!F88</f>
        <v>0</v>
      </c>
      <c r="G88" s="185">
        <f>+BGC_GL!G88+'SE-LRC-GL'!G88+NE_GL!G88+'SE-EGM-GL'!G88</f>
        <v>0</v>
      </c>
      <c r="H88" s="185">
        <f>+BGC_GL!H88+'SE-LRC-GL'!H88+NE_GL!H88+'SE-EGM-GL'!H88</f>
        <v>0</v>
      </c>
      <c r="I88" s="185">
        <f>+BGC_GL!I88+'SE-LRC-GL'!I88+NE_GL!I88+'SE-EGM-GL'!I88</f>
        <v>0</v>
      </c>
      <c r="J88" s="185">
        <f>+BGC_GL!J88+'SE-LRC-GL'!J88+NE_GL!J88+'SE-EGM-GL'!J88</f>
        <v>0</v>
      </c>
      <c r="K88" s="185">
        <f>+BGC_GL!K88+'SE-LRC-GL'!K88+NE_GL!K88+'SE-EGM-GL'!K88</f>
        <v>0</v>
      </c>
      <c r="L88" s="185">
        <f>'SE-EGM-GL'!L88+'SE-LRC-GL'!L88</f>
        <v>0</v>
      </c>
      <c r="M88" s="185">
        <f>'SE-EGM-GL'!M88+'SE-LRC-GL'!M88</f>
        <v>0</v>
      </c>
      <c r="N88" s="185">
        <f>'SE-EGM-GL'!N88+'SE-LRC-GL'!N88</f>
        <v>0</v>
      </c>
      <c r="O88" s="185">
        <f>'SE-EGM-GL'!O88+'SE-LRC-GL'!O88</f>
        <v>0</v>
      </c>
      <c r="P88" s="185">
        <f>'SE-EGM-GL'!P88+'SE-LRC-GL'!P88</f>
        <v>0</v>
      </c>
      <c r="Q88" s="185">
        <f>'SE-EGM-GL'!Q88+'SE-LRC-GL'!Q88</f>
        <v>0</v>
      </c>
      <c r="R88" s="185">
        <f>'SE-EGM-GL'!R88+'SE-LRC-GL'!R88</f>
        <v>0</v>
      </c>
      <c r="S88" s="185">
        <f>'SE-EGM-GL'!S88+'SE-LRC-GL'!S88</f>
        <v>0</v>
      </c>
      <c r="T88" s="185">
        <f>'SE-EGM-GL'!T88+'SE-LRC-GL'!T88</f>
        <v>0</v>
      </c>
      <c r="U88" s="185">
        <f>'SE-EGM-GL'!U88+'SE-LRC-GL'!U88</f>
        <v>0</v>
      </c>
      <c r="V88" s="185">
        <f>'SE-EGM-GL'!V88+'SE-LRC-GL'!V88</f>
        <v>0</v>
      </c>
      <c r="W88" s="185">
        <f>'SE-EGM-GL'!W88+'SE-LRC-GL'!W88</f>
        <v>0</v>
      </c>
      <c r="X88" s="185">
        <f>'SE-EGM-GL'!X88+'SE-LRC-GL'!X88</f>
        <v>0</v>
      </c>
      <c r="Y88" s="185">
        <f>'SE-EGM-GL'!Y88+'SE-LRC-GL'!Y88</f>
        <v>0</v>
      </c>
      <c r="Z88" s="185">
        <f>'SE-EGM-GL'!Z88+'SE-LRC-GL'!Z88</f>
        <v>0</v>
      </c>
      <c r="AA88" s="185">
        <f>'SE-EGM-GL'!AA88+'SE-LRC-GL'!AA88</f>
        <v>0</v>
      </c>
      <c r="AB88" s="185">
        <f>'SE-EGM-GL'!AB88+'SE-LRC-GL'!AB88</f>
        <v>0</v>
      </c>
      <c r="AC88" s="185">
        <f>'SE-EGM-GL'!AC88+'SE-LRC-GL'!AC88</f>
        <v>0</v>
      </c>
      <c r="AD88" s="185">
        <f>'SE-EGM-GL'!AD88+'SE-LRC-GL'!AD88</f>
        <v>0</v>
      </c>
      <c r="AE88" s="185">
        <f>'SE-EGM-GL'!AE88+'SE-LRC-GL'!AE88</f>
        <v>0</v>
      </c>
      <c r="AF88" s="185">
        <f>'SE-EGM-GL'!AL88+'SE-LRC-GL'!AL88</f>
        <v>0</v>
      </c>
      <c r="AG88" s="185">
        <f>'SE-EGM-GL'!AM88+'SE-LRC-GL'!AM88</f>
        <v>0</v>
      </c>
      <c r="AH88" s="185">
        <f>'SE-EGM-GL'!AP88+'SE-LRC-GL'!AP88</f>
        <v>0</v>
      </c>
      <c r="AI88" s="185">
        <f>'SE-EGM-GL'!AQ88+'SE-LRC-GL'!AQ88</f>
        <v>0</v>
      </c>
      <c r="AJ88" s="185">
        <f>'SE-EGM-GL'!AT88+'SE-LRC-GL'!AT88</f>
        <v>0</v>
      </c>
      <c r="AK88" s="185">
        <f>'SE-EGM-GL'!AU88+'SE-LRC-GL'!AU88</f>
        <v>0</v>
      </c>
      <c r="AL88" s="185">
        <f>'SE-EGM-GL'!AV88+'SE-LRC-GL'!AV88</f>
        <v>0</v>
      </c>
      <c r="AM88" s="185">
        <f>'SE-EGM-GL'!AW88+'SE-LRC-GL'!AW88</f>
        <v>0</v>
      </c>
      <c r="AN88" s="185">
        <f>'SE-EGM-GL'!AX88+'SE-LRC-GL'!AX88</f>
        <v>0</v>
      </c>
      <c r="AO88" s="185">
        <f>'SE-EGM-GL'!AY88+'SE-LRC-GL'!AY88</f>
        <v>0</v>
      </c>
      <c r="AP88" s="185">
        <f>'SE-EGM-GL'!AZ88+'SE-LRC-GL'!AZ88</f>
        <v>0</v>
      </c>
      <c r="AQ88" s="185">
        <f>'SE-EGM-GL'!BA88+'SE-LRC-GL'!BA88</f>
        <v>0</v>
      </c>
      <c r="AR88" s="185">
        <f>'SE-EGM-GL'!BB88+'SE-LRC-GL'!BB88</f>
        <v>0</v>
      </c>
      <c r="AS88" s="185">
        <f>'SE-EGM-GL'!BC88+'SE-LRC-GL'!BC88</f>
        <v>0</v>
      </c>
    </row>
    <row r="89" spans="1:45" s="149" customFormat="1" ht="20.25" customHeight="1" x14ac:dyDescent="0.2">
      <c r="A89" s="186"/>
      <c r="B89" s="187"/>
      <c r="C89" s="188" t="s">
        <v>192</v>
      </c>
      <c r="D89" s="189">
        <f>SUM(D86:D88)</f>
        <v>0</v>
      </c>
      <c r="E89" s="189">
        <f t="shared" ref="E89:AE89" si="39">SUM(E86:E88)</f>
        <v>47204.17</v>
      </c>
      <c r="F89" s="189">
        <f t="shared" si="39"/>
        <v>0</v>
      </c>
      <c r="G89" s="189">
        <f t="shared" si="39"/>
        <v>47204.17</v>
      </c>
      <c r="H89" s="189">
        <f t="shared" si="39"/>
        <v>0</v>
      </c>
      <c r="I89" s="189">
        <f t="shared" si="39"/>
        <v>0</v>
      </c>
      <c r="J89" s="189">
        <f t="shared" si="39"/>
        <v>0</v>
      </c>
      <c r="K89" s="189">
        <f t="shared" si="39"/>
        <v>0</v>
      </c>
      <c r="L89" s="189">
        <f t="shared" si="39"/>
        <v>0</v>
      </c>
      <c r="M89" s="189">
        <f t="shared" si="39"/>
        <v>0</v>
      </c>
      <c r="N89" s="189">
        <f t="shared" si="39"/>
        <v>0</v>
      </c>
      <c r="O89" s="189">
        <f t="shared" si="39"/>
        <v>0</v>
      </c>
      <c r="P89" s="189">
        <f t="shared" si="39"/>
        <v>0</v>
      </c>
      <c r="Q89" s="189">
        <f t="shared" si="39"/>
        <v>0</v>
      </c>
      <c r="R89" s="189">
        <f t="shared" si="39"/>
        <v>0</v>
      </c>
      <c r="S89" s="189">
        <f t="shared" si="39"/>
        <v>0</v>
      </c>
      <c r="T89" s="189">
        <f t="shared" si="39"/>
        <v>0</v>
      </c>
      <c r="U89" s="189">
        <f t="shared" si="39"/>
        <v>0</v>
      </c>
      <c r="V89" s="189">
        <f t="shared" si="39"/>
        <v>0</v>
      </c>
      <c r="W89" s="189">
        <f t="shared" si="39"/>
        <v>0</v>
      </c>
      <c r="X89" s="189">
        <f t="shared" si="39"/>
        <v>0</v>
      </c>
      <c r="Y89" s="189">
        <f t="shared" si="39"/>
        <v>0</v>
      </c>
      <c r="Z89" s="189">
        <f t="shared" si="39"/>
        <v>0</v>
      </c>
      <c r="AA89" s="189">
        <f t="shared" si="39"/>
        <v>0</v>
      </c>
      <c r="AB89" s="189">
        <f t="shared" si="39"/>
        <v>0</v>
      </c>
      <c r="AC89" s="189">
        <f t="shared" si="39"/>
        <v>0</v>
      </c>
      <c r="AD89" s="189">
        <f t="shared" si="39"/>
        <v>0</v>
      </c>
      <c r="AE89" s="189">
        <f t="shared" si="39"/>
        <v>0</v>
      </c>
      <c r="AF89" s="189">
        <f t="shared" ref="AF89:AK89" si="40">SUM(AF86:AF88)</f>
        <v>0</v>
      </c>
      <c r="AG89" s="189">
        <f t="shared" si="40"/>
        <v>0</v>
      </c>
      <c r="AH89" s="189">
        <f t="shared" si="40"/>
        <v>0</v>
      </c>
      <c r="AI89" s="189">
        <f t="shared" si="40"/>
        <v>0</v>
      </c>
      <c r="AJ89" s="189">
        <f t="shared" si="40"/>
        <v>0</v>
      </c>
      <c r="AK89" s="189">
        <f t="shared" si="40"/>
        <v>0</v>
      </c>
      <c r="AL89" s="189">
        <f t="shared" ref="AL89:AQ89" si="41">SUM(AL86:AL88)</f>
        <v>0</v>
      </c>
      <c r="AM89" s="189">
        <f t="shared" si="41"/>
        <v>0</v>
      </c>
      <c r="AN89" s="189">
        <f t="shared" si="41"/>
        <v>0</v>
      </c>
      <c r="AO89" s="189">
        <f t="shared" si="41"/>
        <v>0</v>
      </c>
      <c r="AP89" s="189">
        <f t="shared" si="41"/>
        <v>0</v>
      </c>
      <c r="AQ89" s="189">
        <f t="shared" si="41"/>
        <v>0</v>
      </c>
      <c r="AR89" s="189">
        <f>SUM(AR86:AR88)</f>
        <v>0</v>
      </c>
      <c r="AS89" s="189">
        <f>SUM(AS86:AS88)</f>
        <v>0</v>
      </c>
    </row>
    <row r="90" spans="1:45" x14ac:dyDescent="0.2">
      <c r="A90" s="4"/>
      <c r="B90" s="3"/>
      <c r="F90" s="31"/>
      <c r="G90" s="31"/>
      <c r="H90" s="31"/>
      <c r="I90" s="31"/>
    </row>
    <row r="91" spans="1:45" s="149" customFormat="1" ht="20.25" customHeight="1" x14ac:dyDescent="0.2">
      <c r="A91" s="186"/>
      <c r="B91" s="187"/>
      <c r="C91" s="188" t="s">
        <v>193</v>
      </c>
      <c r="D91" s="189">
        <f>+D82+D89</f>
        <v>0</v>
      </c>
      <c r="E91" s="189">
        <f t="shared" ref="E91:AE91" si="42">+E82+E89</f>
        <v>-20450962.708999943</v>
      </c>
      <c r="F91" s="189">
        <f t="shared" si="42"/>
        <v>0</v>
      </c>
      <c r="G91" s="189">
        <f t="shared" si="42"/>
        <v>-9027121.5399999972</v>
      </c>
      <c r="H91" s="189">
        <f t="shared" si="42"/>
        <v>0</v>
      </c>
      <c r="I91" s="189">
        <f t="shared" si="42"/>
        <v>-3557966.2619999908</v>
      </c>
      <c r="J91" s="189">
        <f t="shared" si="42"/>
        <v>0</v>
      </c>
      <c r="K91" s="189">
        <f t="shared" si="42"/>
        <v>-8372969.4540000008</v>
      </c>
      <c r="L91" s="189">
        <f t="shared" si="42"/>
        <v>0</v>
      </c>
      <c r="M91" s="189">
        <f t="shared" si="42"/>
        <v>481886.04399999982</v>
      </c>
      <c r="N91" s="189">
        <f t="shared" si="42"/>
        <v>0</v>
      </c>
      <c r="O91" s="189">
        <f t="shared" si="42"/>
        <v>-56547.342000000011</v>
      </c>
      <c r="P91" s="189">
        <f t="shared" si="42"/>
        <v>0</v>
      </c>
      <c r="Q91" s="189">
        <f t="shared" si="42"/>
        <v>122050.89199999999</v>
      </c>
      <c r="R91" s="189">
        <f t="shared" si="42"/>
        <v>0</v>
      </c>
      <c r="S91" s="189">
        <f t="shared" si="42"/>
        <v>-70143.35500000001</v>
      </c>
      <c r="T91" s="189">
        <f t="shared" si="42"/>
        <v>0</v>
      </c>
      <c r="U91" s="189">
        <f t="shared" si="42"/>
        <v>-52925.089999999989</v>
      </c>
      <c r="V91" s="189">
        <f t="shared" si="42"/>
        <v>0</v>
      </c>
      <c r="W91" s="189">
        <f t="shared" si="42"/>
        <v>-24492.434000000034</v>
      </c>
      <c r="X91" s="189">
        <f t="shared" si="42"/>
        <v>0</v>
      </c>
      <c r="Y91" s="189">
        <f t="shared" si="42"/>
        <v>106211.62800000001</v>
      </c>
      <c r="Z91" s="189">
        <f t="shared" si="42"/>
        <v>0</v>
      </c>
      <c r="AA91" s="189">
        <f t="shared" si="42"/>
        <v>2.0000000018626451E-2</v>
      </c>
      <c r="AB91" s="189">
        <f t="shared" si="42"/>
        <v>0</v>
      </c>
      <c r="AC91" s="189">
        <f t="shared" si="42"/>
        <v>36.104000000000042</v>
      </c>
      <c r="AD91" s="189">
        <f t="shared" si="42"/>
        <v>0</v>
      </c>
      <c r="AE91" s="189">
        <f t="shared" si="42"/>
        <v>653.09999999999854</v>
      </c>
      <c r="AF91" s="189">
        <f t="shared" ref="AF91:AK91" si="43">+AF82+AF89</f>
        <v>0</v>
      </c>
      <c r="AG91" s="189">
        <f t="shared" si="43"/>
        <v>364.98</v>
      </c>
      <c r="AH91" s="189">
        <f t="shared" si="43"/>
        <v>0</v>
      </c>
      <c r="AI91" s="189">
        <f t="shared" si="43"/>
        <v>0</v>
      </c>
      <c r="AJ91" s="189">
        <f t="shared" si="43"/>
        <v>0</v>
      </c>
      <c r="AK91" s="189">
        <f t="shared" si="43"/>
        <v>0</v>
      </c>
      <c r="AL91" s="189">
        <f t="shared" ref="AL91:AQ91" si="44">+AL82+AL89</f>
        <v>0</v>
      </c>
      <c r="AM91" s="189">
        <f t="shared" si="44"/>
        <v>0</v>
      </c>
      <c r="AN91" s="189">
        <f t="shared" si="44"/>
        <v>0</v>
      </c>
      <c r="AO91" s="189">
        <f t="shared" si="44"/>
        <v>0</v>
      </c>
      <c r="AP91" s="189">
        <f t="shared" si="44"/>
        <v>0</v>
      </c>
      <c r="AQ91" s="189">
        <f t="shared" si="44"/>
        <v>0</v>
      </c>
      <c r="AR91" s="189">
        <f>+AR82+AR89</f>
        <v>0</v>
      </c>
      <c r="AS91" s="189">
        <f>+AS82+AS89</f>
        <v>0</v>
      </c>
    </row>
    <row r="92" spans="1:45" x14ac:dyDescent="0.2">
      <c r="A92" s="4"/>
      <c r="B92" s="3"/>
    </row>
    <row r="93" spans="1:45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Y187"/>
  <sheetViews>
    <sheetView zoomScale="75" workbookViewId="0">
      <pane xSplit="3" ySplit="9" topLeftCell="AK79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R89" sqref="AR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35828426</v>
      </c>
      <c r="E11" s="38">
        <f t="shared" si="0"/>
        <v>67476275.920000002</v>
      </c>
      <c r="F11" s="60">
        <f>'TIE-OUT'!R11+RECLASS!R11</f>
        <v>0</v>
      </c>
      <c r="G11" s="38">
        <f>'TIE-OUT'!S11+RECLASS!S11</f>
        <v>1866200</v>
      </c>
      <c r="H11" s="133">
        <f>+Actuals!E244</f>
        <v>34884625</v>
      </c>
      <c r="I11" s="134">
        <f>+Actuals!F244</f>
        <v>64009223</v>
      </c>
      <c r="J11" s="133">
        <f>+Actuals!G244</f>
        <v>665031</v>
      </c>
      <c r="K11" s="153">
        <f>+Actuals!H244</f>
        <v>819568.33999999927</v>
      </c>
      <c r="L11" s="133">
        <f>+Actuals!I244</f>
        <v>-32494</v>
      </c>
      <c r="M11" s="134">
        <f>+Actuals!J244</f>
        <v>243100.53</v>
      </c>
      <c r="N11" s="133">
        <f>+Actuals!K244</f>
        <v>58090</v>
      </c>
      <c r="O11" s="134">
        <f>+Actuals!L244</f>
        <v>139576.76</v>
      </c>
      <c r="P11" s="133">
        <f>+Actuals!M244</f>
        <v>-50053</v>
      </c>
      <c r="Q11" s="134">
        <f>+Actuals!N244</f>
        <v>-113411.9</v>
      </c>
      <c r="R11" s="133">
        <f>+Actuals!O244</f>
        <v>-809282</v>
      </c>
      <c r="S11" s="134">
        <f>+Actuals!P244</f>
        <v>-1834855.55</v>
      </c>
      <c r="T11" s="133">
        <f>+Actuals!Q244</f>
        <v>822590</v>
      </c>
      <c r="U11" s="134">
        <f>+Actuals!R244</f>
        <v>1894026.95</v>
      </c>
      <c r="V11" s="133">
        <f>+Actuals!S244</f>
        <v>-16936</v>
      </c>
      <c r="W11" s="134">
        <f>+Actuals!T244</f>
        <v>-31119.87</v>
      </c>
      <c r="X11" s="133">
        <f>+Actuals!U244</f>
        <v>83420</v>
      </c>
      <c r="Y11" s="134">
        <f>+Actuals!V244</f>
        <v>118159.92</v>
      </c>
      <c r="Z11" s="133">
        <f>+Actuals!W244</f>
        <v>127400</v>
      </c>
      <c r="AA11" s="134">
        <f>+Actuals!X244</f>
        <v>209573</v>
      </c>
      <c r="AB11" s="133">
        <f>+Actuals!Y444</f>
        <v>-127400</v>
      </c>
      <c r="AC11" s="134">
        <f>+Actuals!Z444</f>
        <v>-209573</v>
      </c>
      <c r="AD11" s="133">
        <f>+Actuals!AA444</f>
        <v>0</v>
      </c>
      <c r="AE11" s="134">
        <f>+Actuals!AB444</f>
        <v>0</v>
      </c>
      <c r="AF11" s="133">
        <f>+Actuals!AC444</f>
        <v>5957</v>
      </c>
      <c r="AG11" s="134">
        <f>+Actuals!AD444</f>
        <v>10914.32</v>
      </c>
      <c r="AH11" s="133">
        <f>+Actuals!AE444</f>
        <v>-6376</v>
      </c>
      <c r="AI11" s="134">
        <f>+Actuals!AF444</f>
        <v>17980.16</v>
      </c>
      <c r="AJ11" s="133">
        <f>+Actuals!AG444</f>
        <v>263905</v>
      </c>
      <c r="AK11" s="134">
        <f>+Actuals!AH444</f>
        <v>409186.79</v>
      </c>
      <c r="AL11" s="133">
        <f>+Actuals!AI444</f>
        <v>-40051</v>
      </c>
      <c r="AM11" s="134">
        <f>+Actuals!AJ444</f>
        <v>-72273.53</v>
      </c>
      <c r="AN11" s="133">
        <v>-838</v>
      </c>
      <c r="AO11" s="134">
        <v>0</v>
      </c>
      <c r="AP11" s="133">
        <v>838</v>
      </c>
      <c r="AQ11" s="134">
        <v>0</v>
      </c>
      <c r="AR11" s="133"/>
      <c r="AS11" s="134"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-9350521.7200000007</v>
      </c>
      <c r="F12" s="60">
        <f>'TIE-OUT'!R12+RECLASS!R12</f>
        <v>0</v>
      </c>
      <c r="G12" s="38">
        <f>'TIE-OUT'!S12+RECLASS!S12</f>
        <v>-9350521.7200000007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+Actuals!Y445</f>
        <v>0</v>
      </c>
      <c r="AC12" s="134">
        <f>+Actuals!Z445</f>
        <v>0</v>
      </c>
      <c r="AD12" s="133">
        <f>+Actuals!AA445</f>
        <v>0</v>
      </c>
      <c r="AE12" s="134">
        <f>+Actuals!AB445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  <c r="AJ12" s="133">
        <f>+Actuals!AG445</f>
        <v>0</v>
      </c>
      <c r="AK12" s="134">
        <f>+Actuals!AH445</f>
        <v>0</v>
      </c>
      <c r="AL12" s="133">
        <f>+Actuals!AI445</f>
        <v>0</v>
      </c>
      <c r="AM12" s="134">
        <f>+Actuals!AJ445</f>
        <v>0</v>
      </c>
      <c r="AN12" s="133">
        <f>+Actuals!AK445</f>
        <v>0</v>
      </c>
      <c r="AO12" s="134">
        <f>+Actuals!AL445</f>
        <v>0</v>
      </c>
      <c r="AP12" s="133">
        <f>+Actuals!AM445</f>
        <v>0</v>
      </c>
      <c r="AQ12" s="134">
        <f>+Actuals!AN445</f>
        <v>0</v>
      </c>
      <c r="AR12" s="133">
        <f>+Actuals!AO445</f>
        <v>0</v>
      </c>
      <c r="AS12" s="134">
        <f>+Actuals!AP445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1249214</v>
      </c>
      <c r="E13" s="38">
        <f t="shared" si="0"/>
        <v>2160702</v>
      </c>
      <c r="F13" s="60">
        <f>'TIE-OUT'!R13+RECLASS!R13</f>
        <v>0</v>
      </c>
      <c r="G13" s="38">
        <f>'TIE-OUT'!S13+RECLASS!S13</f>
        <v>0</v>
      </c>
      <c r="H13" s="133">
        <f>+Actuals!E246-30941648</f>
        <v>1249214</v>
      </c>
      <c r="I13" s="134">
        <f>+Actuals!F246-53562654</f>
        <v>2160702</v>
      </c>
      <c r="J13" s="133">
        <f>+Actuals!G246</f>
        <v>-255812</v>
      </c>
      <c r="K13" s="153">
        <f>+Actuals!H246</f>
        <v>-438529</v>
      </c>
      <c r="L13" s="133">
        <f>+Actuals!I246</f>
        <v>0</v>
      </c>
      <c r="M13" s="134">
        <f>+Actuals!J246</f>
        <v>0</v>
      </c>
      <c r="N13" s="133">
        <f>+Actuals!K246</f>
        <v>0</v>
      </c>
      <c r="O13" s="134">
        <f>+Actuals!L246</f>
        <v>0</v>
      </c>
      <c r="P13" s="133">
        <f>+Actuals!M246</f>
        <v>0</v>
      </c>
      <c r="Q13" s="134">
        <f>+Actuals!N246</f>
        <v>0</v>
      </c>
      <c r="R13" s="133">
        <f>+Actuals!O246</f>
        <v>0</v>
      </c>
      <c r="S13" s="134">
        <f>+Actuals!P246</f>
        <v>0</v>
      </c>
      <c r="T13" s="133">
        <f>+Actuals!Q246</f>
        <v>0</v>
      </c>
      <c r="U13" s="134">
        <f>+Actuals!R246</f>
        <v>0</v>
      </c>
      <c r="V13" s="133">
        <f>+Actuals!S246</f>
        <v>979321</v>
      </c>
      <c r="W13" s="134">
        <f>+Actuals!T246</f>
        <v>1699228</v>
      </c>
      <c r="X13" s="133">
        <f>+Actuals!U246</f>
        <v>979321</v>
      </c>
      <c r="Y13" s="134">
        <f>+Actuals!V246</f>
        <v>1699228</v>
      </c>
      <c r="Z13" s="133">
        <f>+Actuals!W246</f>
        <v>-1702830</v>
      </c>
      <c r="AA13" s="134">
        <f>+Actuals!X246</f>
        <v>-2959927</v>
      </c>
      <c r="AB13" s="133">
        <f>+Actuals!Y446</f>
        <v>1702830</v>
      </c>
      <c r="AC13" s="134">
        <f>+Actuals!Z446</f>
        <v>2959927</v>
      </c>
      <c r="AD13" s="133">
        <f>+Actuals!AA446</f>
        <v>0</v>
      </c>
      <c r="AE13" s="134">
        <f>+Actuals!AB446</f>
        <v>0</v>
      </c>
      <c r="AF13" s="133">
        <f>+Actuals!AC446</f>
        <v>-1702830</v>
      </c>
      <c r="AG13" s="134">
        <f>+Actuals!AD446</f>
        <v>-2959927</v>
      </c>
      <c r="AH13" s="133">
        <f>+Actuals!AE446</f>
        <v>0</v>
      </c>
      <c r="AI13" s="134">
        <f>+Actuals!AF446</f>
        <v>0</v>
      </c>
      <c r="AJ13" s="133">
        <f>+Actuals!AG446</f>
        <v>0</v>
      </c>
      <c r="AK13" s="134">
        <f>+Actuals!AH446</f>
        <v>0</v>
      </c>
      <c r="AL13" s="133">
        <f>+Actuals!AI446</f>
        <v>0</v>
      </c>
      <c r="AM13" s="134">
        <f>+Actuals!AJ446</f>
        <v>0</v>
      </c>
      <c r="AN13" s="133">
        <f>+Actuals!AK446</f>
        <v>0</v>
      </c>
      <c r="AO13" s="134">
        <f>+Actuals!AL446</f>
        <v>0</v>
      </c>
      <c r="AP13" s="133">
        <f>+Actuals!AM446</f>
        <v>0</v>
      </c>
      <c r="AQ13" s="134">
        <f>+Actuals!AN446</f>
        <v>0</v>
      </c>
      <c r="AR13" s="133">
        <f>+Actuals!AO446</f>
        <v>0</v>
      </c>
      <c r="AS13" s="134">
        <f>+Actuals!AP446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+Actuals!Y447</f>
        <v>0</v>
      </c>
      <c r="AC14" s="134">
        <f>+Actuals!Z447</f>
        <v>0</v>
      </c>
      <c r="AD14" s="133">
        <f>+Actuals!AA447</f>
        <v>0</v>
      </c>
      <c r="AE14" s="134">
        <f>+Actuals!AB447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  <c r="AJ14" s="133">
        <f>+Actuals!AG447</f>
        <v>0</v>
      </c>
      <c r="AK14" s="134">
        <f>+Actuals!AH447</f>
        <v>0</v>
      </c>
      <c r="AL14" s="133">
        <f>+Actuals!AI447</f>
        <v>0</v>
      </c>
      <c r="AM14" s="134">
        <f>+Actuals!AJ447</f>
        <v>0</v>
      </c>
      <c r="AN14" s="133">
        <f>+Actuals!AK447</f>
        <v>0</v>
      </c>
      <c r="AO14" s="134">
        <f>+Actuals!AL447</f>
        <v>0</v>
      </c>
      <c r="AP14" s="133">
        <f>+Actuals!AM447</f>
        <v>0</v>
      </c>
      <c r="AQ14" s="134">
        <f>+Actuals!AN447</f>
        <v>0</v>
      </c>
      <c r="AR14" s="133">
        <f>+Actuals!AO447</f>
        <v>0</v>
      </c>
      <c r="AS14" s="134">
        <f>+Actuals!AP447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+Actuals!Y448</f>
        <v>0</v>
      </c>
      <c r="AC15" s="134">
        <f>+Actuals!Z448</f>
        <v>0</v>
      </c>
      <c r="AD15" s="133">
        <f>+Actuals!AA448</f>
        <v>0</v>
      </c>
      <c r="AE15" s="134">
        <f>+Actuals!AB448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  <c r="AJ15" s="133">
        <f>+Actuals!AG448</f>
        <v>0</v>
      </c>
      <c r="AK15" s="134">
        <f>+Actuals!AH448</f>
        <v>0</v>
      </c>
      <c r="AL15" s="133">
        <f>+Actuals!AI448</f>
        <v>0</v>
      </c>
      <c r="AM15" s="134">
        <f>+Actuals!AJ448</f>
        <v>0</v>
      </c>
      <c r="AN15" s="133">
        <f>+Actuals!AK448</f>
        <v>0</v>
      </c>
      <c r="AO15" s="134">
        <f>+Actuals!AL448</f>
        <v>0</v>
      </c>
      <c r="AP15" s="133">
        <f>+Actuals!AM448</f>
        <v>0</v>
      </c>
      <c r="AQ15" s="134">
        <f>+Actuals!AN448</f>
        <v>0</v>
      </c>
      <c r="AR15" s="133">
        <f>+Actuals!AO448</f>
        <v>0</v>
      </c>
      <c r="AS15" s="134">
        <f>+Actuals!AP448</f>
        <v>0</v>
      </c>
    </row>
    <row r="16" spans="1:45" x14ac:dyDescent="0.2">
      <c r="A16" s="9"/>
      <c r="B16" s="7" t="s">
        <v>34</v>
      </c>
      <c r="C16" s="6"/>
      <c r="D16" s="61">
        <f t="shared" ref="D16:AC16" si="1">SUM(D11:D15)</f>
        <v>37077640</v>
      </c>
      <c r="E16" s="39">
        <f t="shared" si="1"/>
        <v>60286456.200000003</v>
      </c>
      <c r="F16" s="61">
        <f t="shared" si="1"/>
        <v>0</v>
      </c>
      <c r="G16" s="39">
        <f t="shared" si="1"/>
        <v>-7484321.7200000007</v>
      </c>
      <c r="H16" s="61">
        <f t="shared" si="1"/>
        <v>36133839</v>
      </c>
      <c r="I16" s="39">
        <f t="shared" si="1"/>
        <v>66169925</v>
      </c>
      <c r="J16" s="61">
        <f t="shared" si="1"/>
        <v>409219</v>
      </c>
      <c r="K16" s="154">
        <f t="shared" si="1"/>
        <v>381039.33999999927</v>
      </c>
      <c r="L16" s="61">
        <f t="shared" si="1"/>
        <v>-32494</v>
      </c>
      <c r="M16" s="39">
        <f t="shared" si="1"/>
        <v>243100.53</v>
      </c>
      <c r="N16" s="61">
        <f t="shared" si="1"/>
        <v>58090</v>
      </c>
      <c r="O16" s="39">
        <f t="shared" si="1"/>
        <v>139576.76</v>
      </c>
      <c r="P16" s="61">
        <f t="shared" si="1"/>
        <v>-50053</v>
      </c>
      <c r="Q16" s="39">
        <f t="shared" si="1"/>
        <v>-113411.9</v>
      </c>
      <c r="R16" s="61">
        <f t="shared" si="1"/>
        <v>-809282</v>
      </c>
      <c r="S16" s="39">
        <f t="shared" si="1"/>
        <v>-1834855.55</v>
      </c>
      <c r="T16" s="61">
        <f t="shared" si="1"/>
        <v>822590</v>
      </c>
      <c r="U16" s="39">
        <f t="shared" si="1"/>
        <v>1894026.95</v>
      </c>
      <c r="V16" s="61">
        <f t="shared" si="1"/>
        <v>962385</v>
      </c>
      <c r="W16" s="39">
        <f t="shared" si="1"/>
        <v>1668108.13</v>
      </c>
      <c r="X16" s="61">
        <f t="shared" si="1"/>
        <v>1062741</v>
      </c>
      <c r="Y16" s="39">
        <f t="shared" si="1"/>
        <v>1817387.92</v>
      </c>
      <c r="Z16" s="61">
        <f t="shared" si="1"/>
        <v>-1575430</v>
      </c>
      <c r="AA16" s="39">
        <f t="shared" si="1"/>
        <v>-2750354</v>
      </c>
      <c r="AB16" s="61">
        <f t="shared" si="1"/>
        <v>1575430</v>
      </c>
      <c r="AC16" s="39">
        <f t="shared" si="1"/>
        <v>2750354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-1696873</v>
      </c>
      <c r="AG16" s="39">
        <f t="shared" si="2"/>
        <v>-2949012.68</v>
      </c>
      <c r="AH16" s="61">
        <f t="shared" si="2"/>
        <v>-6376</v>
      </c>
      <c r="AI16" s="39">
        <f t="shared" si="2"/>
        <v>17980.16</v>
      </c>
      <c r="AJ16" s="61">
        <f t="shared" ref="AJ16:AO16" si="3">SUM(AJ11:AJ15)</f>
        <v>263905</v>
      </c>
      <c r="AK16" s="39">
        <f t="shared" si="3"/>
        <v>409186.79</v>
      </c>
      <c r="AL16" s="61">
        <f t="shared" si="3"/>
        <v>-40051</v>
      </c>
      <c r="AM16" s="39">
        <f t="shared" si="3"/>
        <v>-72273.53</v>
      </c>
      <c r="AN16" s="61">
        <f t="shared" si="3"/>
        <v>-838</v>
      </c>
      <c r="AO16" s="39">
        <f t="shared" si="3"/>
        <v>0</v>
      </c>
      <c r="AP16" s="61">
        <f>SUM(AP11:AP15)</f>
        <v>838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SUM(F19,H19,J19,L19,N19,P19,R19,T19,V19,X19,Z19,AB19,AD19,AF19,AH19,AJ19,AL19,AN19,AP19,AR19)</f>
        <v>-25206144</v>
      </c>
      <c r="E19" s="38">
        <f t="shared" si="4"/>
        <v>-41291125.760000005</v>
      </c>
      <c r="F19" s="64">
        <f>'TIE-OUT'!R19+RECLASS!R19</f>
        <v>0</v>
      </c>
      <c r="G19" s="68">
        <f>'TIE-OUT'!S19+RECLASS!S19</f>
        <v>0</v>
      </c>
      <c r="H19" s="133">
        <f>+Actuals!E249</f>
        <v>-25154705</v>
      </c>
      <c r="I19" s="134">
        <f>+Actuals!F249</f>
        <v>-41232310.310000002</v>
      </c>
      <c r="J19" s="133">
        <f>+Actuals!G249</f>
        <v>12955225</v>
      </c>
      <c r="K19" s="153">
        <f>+Actuals!H249</f>
        <v>21191967.199999999</v>
      </c>
      <c r="L19" s="133">
        <f>+Actuals!I249</f>
        <v>91169</v>
      </c>
      <c r="M19" s="134">
        <f>+Actuals!J249</f>
        <v>157861.92000000001</v>
      </c>
      <c r="N19" s="133">
        <f>+Actuals!K249</f>
        <v>-13061054</v>
      </c>
      <c r="O19" s="134">
        <f>+Actuals!L249</f>
        <v>-21371019.140000001</v>
      </c>
      <c r="P19" s="133">
        <f>+Actuals!M249</f>
        <v>-2036</v>
      </c>
      <c r="Q19" s="134">
        <f>+Actuals!N249</f>
        <v>-1363.6</v>
      </c>
      <c r="R19" s="133">
        <f>+Actuals!O249</f>
        <v>6129</v>
      </c>
      <c r="S19" s="134">
        <f>+Actuals!P249</f>
        <v>22221.86</v>
      </c>
      <c r="T19" s="133">
        <f>+Actuals!Q249</f>
        <v>114228</v>
      </c>
      <c r="U19" s="134">
        <f>+Actuals!R249</f>
        <v>196549.83</v>
      </c>
      <c r="V19" s="133">
        <f>+Actuals!S249</f>
        <v>-17068</v>
      </c>
      <c r="W19" s="134">
        <f>+Actuals!T249</f>
        <v>-29783.49</v>
      </c>
      <c r="X19" s="133">
        <f>+Actuals!U249</f>
        <v>-139505</v>
      </c>
      <c r="Y19" s="134">
        <f>+Actuals!V249</f>
        <v>-225738.71</v>
      </c>
      <c r="Z19" s="133">
        <f>+Actuals!W249</f>
        <v>-39838</v>
      </c>
      <c r="AA19" s="134">
        <f>+Actuals!X249</f>
        <v>-71493.87</v>
      </c>
      <c r="AB19" s="133">
        <f>+Actuals!Y449</f>
        <v>0</v>
      </c>
      <c r="AC19" s="134">
        <f>+Actuals!Z449</f>
        <v>0</v>
      </c>
      <c r="AD19" s="133">
        <f>+Actuals!AA449</f>
        <v>0</v>
      </c>
      <c r="AE19" s="134">
        <f>+Actuals!AB449</f>
        <v>0</v>
      </c>
      <c r="AF19" s="133">
        <f>+Actuals!AC449</f>
        <v>-5957</v>
      </c>
      <c r="AG19" s="134">
        <f>+Actuals!AD449</f>
        <v>-9114.2099999999991</v>
      </c>
      <c r="AH19" s="133">
        <f>+Actuals!AE449</f>
        <v>6376</v>
      </c>
      <c r="AI19" s="134">
        <f>+Actuals!AF449</f>
        <v>10105.959999999999</v>
      </c>
      <c r="AJ19" s="133">
        <f>+Actuals!AG449</f>
        <v>0</v>
      </c>
      <c r="AK19" s="134">
        <f>+Actuals!AH449</f>
        <v>0</v>
      </c>
      <c r="AL19" s="133">
        <f>+Actuals!AI449</f>
        <v>39474</v>
      </c>
      <c r="AM19" s="134">
        <f>+Actuals!AJ449</f>
        <v>69054.36</v>
      </c>
      <c r="AN19" s="133">
        <v>1104</v>
      </c>
      <c r="AO19" s="134">
        <v>1656</v>
      </c>
      <c r="AP19" s="133">
        <f>22486+1602</f>
        <v>24088</v>
      </c>
      <c r="AQ19" s="134">
        <v>38420.36</v>
      </c>
      <c r="AR19" s="133">
        <f>-22150-1624</f>
        <v>-23774</v>
      </c>
      <c r="AS19" s="134">
        <v>-38139.919999999998</v>
      </c>
    </row>
    <row r="20" spans="1:4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926939.21</v>
      </c>
      <c r="F20" s="60">
        <f>'TIE-OUT'!R20+RECLASS!R20</f>
        <v>0</v>
      </c>
      <c r="G20" s="38">
        <f>'TIE-OUT'!S20+RECLASS!S20</f>
        <v>926939.21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53">
        <f>+Actuals!H250</f>
        <v>0</v>
      </c>
      <c r="L20" s="133">
        <f>+Actuals!I250</f>
        <v>0</v>
      </c>
      <c r="M20" s="134">
        <f>+Actuals!J250</f>
        <v>0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34">
        <f>+Actuals!X250</f>
        <v>0</v>
      </c>
      <c r="AB20" s="133">
        <f>+Actuals!Y450</f>
        <v>0</v>
      </c>
      <c r="AC20" s="165">
        <v>0</v>
      </c>
      <c r="AD20" s="133">
        <f>+Actuals!AA450</f>
        <v>0</v>
      </c>
      <c r="AE20" s="134">
        <v>0</v>
      </c>
      <c r="AF20" s="133">
        <f>+Actuals!AC450</f>
        <v>0</v>
      </c>
      <c r="AG20" s="134">
        <v>0</v>
      </c>
      <c r="AH20" s="133">
        <f>+Actuals!AE450</f>
        <v>0</v>
      </c>
      <c r="AI20" s="134">
        <v>0</v>
      </c>
      <c r="AJ20" s="133">
        <f>+Actuals!AG450</f>
        <v>0</v>
      </c>
      <c r="AK20" s="134">
        <v>0</v>
      </c>
      <c r="AL20" s="133">
        <f>+Actuals!AI450</f>
        <v>0</v>
      </c>
      <c r="AM20" s="134">
        <v>0</v>
      </c>
      <c r="AN20" s="133">
        <f>+Actuals!AK450</f>
        <v>0</v>
      </c>
      <c r="AO20" s="134">
        <v>0</v>
      </c>
      <c r="AP20" s="133">
        <f>+Actuals!AM450</f>
        <v>0</v>
      </c>
      <c r="AQ20" s="134">
        <v>0</v>
      </c>
      <c r="AR20" s="133">
        <f>+Actuals!AO450</f>
        <v>0</v>
      </c>
      <c r="AS20" s="134"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4"/>
        <v>-1231813</v>
      </c>
      <c r="E21" s="38">
        <f t="shared" si="4"/>
        <v>-2046081</v>
      </c>
      <c r="F21" s="60">
        <f>'TIE-OUT'!R21+RECLASS!R21</f>
        <v>0</v>
      </c>
      <c r="G21" s="38">
        <f>'TIE-OUT'!S21+RECLASS!S21</f>
        <v>0</v>
      </c>
      <c r="H21" s="133">
        <f>+Actuals!E251+30941648</f>
        <v>-1231813</v>
      </c>
      <c r="I21" s="134">
        <f>+Actuals!F251+53562654</f>
        <v>-2046081</v>
      </c>
      <c r="J21" s="133">
        <f>+Actuals!G251</f>
        <v>141625</v>
      </c>
      <c r="K21" s="153">
        <f>+Actuals!H251</f>
        <v>243254</v>
      </c>
      <c r="L21" s="133">
        <f>+Actuals!I251</f>
        <v>2264</v>
      </c>
      <c r="M21" s="134">
        <f>+Actuals!J251</f>
        <v>3588</v>
      </c>
      <c r="N21" s="133">
        <f>+Actuals!K251</f>
        <v>0</v>
      </c>
      <c r="O21" s="134">
        <f>+Actuals!L251</f>
        <v>0</v>
      </c>
      <c r="P21" s="133">
        <f>+Actuals!M251</f>
        <v>0</v>
      </c>
      <c r="Q21" s="134">
        <f>+Actuals!N251</f>
        <v>0</v>
      </c>
      <c r="R21" s="133">
        <f>+Actuals!O251</f>
        <v>2343</v>
      </c>
      <c r="S21" s="134">
        <f>+Actuals!P251</f>
        <v>3713</v>
      </c>
      <c r="T21" s="133">
        <f>+Actuals!Q251</f>
        <v>0</v>
      </c>
      <c r="U21" s="134">
        <f>+Actuals!R251</f>
        <v>0</v>
      </c>
      <c r="V21" s="133">
        <f>+Actuals!S251</f>
        <v>-979321</v>
      </c>
      <c r="W21" s="134">
        <f>+Actuals!T251</f>
        <v>-1699228</v>
      </c>
      <c r="X21" s="133">
        <f>+Actuals!U251</f>
        <v>-979321</v>
      </c>
      <c r="Y21" s="134">
        <f>+Actuals!V251</f>
        <v>-1699228</v>
      </c>
      <c r="Z21" s="133">
        <f>+Actuals!W251</f>
        <v>1812410</v>
      </c>
      <c r="AA21" s="134">
        <f>+Actuals!X251</f>
        <v>3147901</v>
      </c>
      <c r="AB21" s="133">
        <f>+Actuals!Y451</f>
        <v>-1812410</v>
      </c>
      <c r="AC21" s="134">
        <f>+Actuals!Z451</f>
        <v>-3147901</v>
      </c>
      <c r="AD21" s="133">
        <f>+Actuals!AA451</f>
        <v>0</v>
      </c>
      <c r="AE21" s="134">
        <f>+Actuals!AB451</f>
        <v>0</v>
      </c>
      <c r="AF21" s="133">
        <f>+Actuals!AC451</f>
        <v>1812410</v>
      </c>
      <c r="AG21" s="134">
        <f>+Actuals!AD451</f>
        <v>3147901</v>
      </c>
      <c r="AH21" s="133">
        <f>+Actuals!AE451</f>
        <v>0</v>
      </c>
      <c r="AI21" s="134">
        <f>+Actuals!AF451</f>
        <v>0</v>
      </c>
      <c r="AJ21" s="133">
        <f>+Actuals!AG451</f>
        <v>0</v>
      </c>
      <c r="AK21" s="134">
        <f>+Actuals!AH451</f>
        <v>0</v>
      </c>
      <c r="AL21" s="133">
        <f>+Actuals!AI451</f>
        <v>0</v>
      </c>
      <c r="AM21" s="134">
        <f>+Actuals!AJ451</f>
        <v>0</v>
      </c>
      <c r="AN21" s="133">
        <f>+Actuals!AK451</f>
        <v>0</v>
      </c>
      <c r="AO21" s="134">
        <f>+Actuals!AL451</f>
        <v>0</v>
      </c>
      <c r="AP21" s="133">
        <f>+Actuals!AM451</f>
        <v>0</v>
      </c>
      <c r="AQ21" s="134">
        <f>+Actuals!AN451</f>
        <v>0</v>
      </c>
      <c r="AR21" s="133">
        <f>+Actuals!AO451</f>
        <v>0</v>
      </c>
      <c r="AS21" s="134">
        <f>+Actuals!AP451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+Actuals!Y452</f>
        <v>0</v>
      </c>
      <c r="AC22" s="134">
        <f>+Actuals!Z452</f>
        <v>0</v>
      </c>
      <c r="AD22" s="133">
        <f>+Actuals!AA452</f>
        <v>0</v>
      </c>
      <c r="AE22" s="134">
        <f>+Actuals!AB452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  <c r="AJ22" s="133">
        <f>+Actuals!AG452</f>
        <v>0</v>
      </c>
      <c r="AK22" s="134">
        <f>+Actuals!AH452</f>
        <v>0</v>
      </c>
      <c r="AL22" s="133">
        <f>+Actuals!AI452</f>
        <v>0</v>
      </c>
      <c r="AM22" s="134">
        <f>+Actuals!AJ452</f>
        <v>0</v>
      </c>
      <c r="AN22" s="133">
        <f>+Actuals!AK452</f>
        <v>0</v>
      </c>
      <c r="AO22" s="134">
        <f>+Actuals!AL452</f>
        <v>0</v>
      </c>
      <c r="AP22" s="133">
        <f>+Actuals!AM452</f>
        <v>0</v>
      </c>
      <c r="AQ22" s="134">
        <f>+Actuals!AN452</f>
        <v>0</v>
      </c>
      <c r="AR22" s="133">
        <f>+Actuals!AO452</f>
        <v>0</v>
      </c>
      <c r="AS22" s="134">
        <f>+Actuals!AP452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4"/>
        <v>2400</v>
      </c>
      <c r="E23" s="38">
        <f t="shared" si="4"/>
        <v>3691.55</v>
      </c>
      <c r="F23" s="81">
        <f>'TIE-OUT'!R23+RECLASS!R23</f>
        <v>0</v>
      </c>
      <c r="G23" s="82">
        <f>'TIE-OUT'!S23+RECLASS!S23</f>
        <v>0</v>
      </c>
      <c r="H23" s="133">
        <f>+Actuals!E253</f>
        <v>-1904</v>
      </c>
      <c r="I23" s="134">
        <f>+Actuals!F253</f>
        <v>-2928</v>
      </c>
      <c r="J23" s="133">
        <f>+Actuals!G253</f>
        <v>4304</v>
      </c>
      <c r="K23" s="153">
        <f>+Actuals!H253</f>
        <v>6619.55</v>
      </c>
      <c r="L23" s="133">
        <f>+Actuals!I253</f>
        <v>0</v>
      </c>
      <c r="M23" s="134">
        <f>+Actuals!J253</f>
        <v>0</v>
      </c>
      <c r="N23" s="133">
        <f>+Actuals!K253</f>
        <v>0</v>
      </c>
      <c r="O23" s="134">
        <f>+Actuals!L253</f>
        <v>0</v>
      </c>
      <c r="P23" s="133">
        <f>+Actuals!M253</f>
        <v>0</v>
      </c>
      <c r="Q23" s="134">
        <f>+Actuals!N253</f>
        <v>0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+Actuals!Y453</f>
        <v>0</v>
      </c>
      <c r="AC23" s="134">
        <f>+Actuals!Z453</f>
        <v>0</v>
      </c>
      <c r="AD23" s="133">
        <f>+Actuals!AA453</f>
        <v>0</v>
      </c>
      <c r="AE23" s="134">
        <f>+Actuals!AB453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  <c r="AJ23" s="133">
        <f>+Actuals!AG453</f>
        <v>0</v>
      </c>
      <c r="AK23" s="134">
        <f>+Actuals!AH453</f>
        <v>0</v>
      </c>
      <c r="AL23" s="133">
        <f>+Actuals!AI453</f>
        <v>0</v>
      </c>
      <c r="AM23" s="134">
        <f>+Actuals!AJ453</f>
        <v>0</v>
      </c>
      <c r="AN23" s="133">
        <f>+Actuals!AK453</f>
        <v>0</v>
      </c>
      <c r="AO23" s="134">
        <f>+Actuals!AL453</f>
        <v>0</v>
      </c>
      <c r="AP23" s="133">
        <f>+Actuals!AM453</f>
        <v>0</v>
      </c>
      <c r="AQ23" s="134">
        <f>+Actuals!AN453</f>
        <v>0</v>
      </c>
      <c r="AR23" s="133">
        <f>+Actuals!AO453</f>
        <v>0</v>
      </c>
      <c r="AS23" s="134">
        <f>+Actuals!AP453</f>
        <v>0</v>
      </c>
    </row>
    <row r="24" spans="1:45" x14ac:dyDescent="0.2">
      <c r="A24" s="9"/>
      <c r="B24" s="7" t="s">
        <v>37</v>
      </c>
      <c r="C24" s="6"/>
      <c r="D24" s="61">
        <f t="shared" ref="D24:AC24" si="5">SUM(D19:D23)</f>
        <v>-26435557</v>
      </c>
      <c r="E24" s="39">
        <f t="shared" si="5"/>
        <v>-42406576.000000007</v>
      </c>
      <c r="F24" s="61">
        <f t="shared" si="5"/>
        <v>0</v>
      </c>
      <c r="G24" s="39">
        <f t="shared" si="5"/>
        <v>926939.21</v>
      </c>
      <c r="H24" s="61">
        <f t="shared" si="5"/>
        <v>-26388422</v>
      </c>
      <c r="I24" s="39">
        <f t="shared" si="5"/>
        <v>-43281319.310000002</v>
      </c>
      <c r="J24" s="61">
        <f t="shared" si="5"/>
        <v>13101154</v>
      </c>
      <c r="K24" s="154">
        <f t="shared" si="5"/>
        <v>21441840.75</v>
      </c>
      <c r="L24" s="61">
        <f t="shared" si="5"/>
        <v>93433</v>
      </c>
      <c r="M24" s="39">
        <f t="shared" si="5"/>
        <v>161449.92000000001</v>
      </c>
      <c r="N24" s="61">
        <f t="shared" si="5"/>
        <v>-13061054</v>
      </c>
      <c r="O24" s="39">
        <f t="shared" si="5"/>
        <v>-21371019.140000001</v>
      </c>
      <c r="P24" s="61">
        <f t="shared" si="5"/>
        <v>-2036</v>
      </c>
      <c r="Q24" s="39">
        <f t="shared" si="5"/>
        <v>-1363.6</v>
      </c>
      <c r="R24" s="61">
        <f t="shared" si="5"/>
        <v>8472</v>
      </c>
      <c r="S24" s="39">
        <f t="shared" si="5"/>
        <v>25934.86</v>
      </c>
      <c r="T24" s="61">
        <f t="shared" si="5"/>
        <v>114228</v>
      </c>
      <c r="U24" s="39">
        <f t="shared" si="5"/>
        <v>196549.83</v>
      </c>
      <c r="V24" s="61">
        <f t="shared" si="5"/>
        <v>-996389</v>
      </c>
      <c r="W24" s="39">
        <f t="shared" si="5"/>
        <v>-1729011.49</v>
      </c>
      <c r="X24" s="61">
        <f t="shared" si="5"/>
        <v>-1118826</v>
      </c>
      <c r="Y24" s="39">
        <f t="shared" si="5"/>
        <v>-1924966.71</v>
      </c>
      <c r="Z24" s="61">
        <f t="shared" si="5"/>
        <v>1772572</v>
      </c>
      <c r="AA24" s="39">
        <f t="shared" si="5"/>
        <v>3076407.13</v>
      </c>
      <c r="AB24" s="61">
        <f t="shared" si="5"/>
        <v>-1812410</v>
      </c>
      <c r="AC24" s="39">
        <f t="shared" si="5"/>
        <v>-3147901</v>
      </c>
      <c r="AD24" s="61">
        <f t="shared" ref="AD24:AI24" si="6">SUM(AD19:AD23)</f>
        <v>0</v>
      </c>
      <c r="AE24" s="39">
        <f t="shared" si="6"/>
        <v>0</v>
      </c>
      <c r="AF24" s="61">
        <f t="shared" si="6"/>
        <v>1806453</v>
      </c>
      <c r="AG24" s="39">
        <f t="shared" si="6"/>
        <v>3138786.79</v>
      </c>
      <c r="AH24" s="61">
        <f t="shared" si="6"/>
        <v>6376</v>
      </c>
      <c r="AI24" s="39">
        <f t="shared" si="6"/>
        <v>10105.959999999999</v>
      </c>
      <c r="AJ24" s="61">
        <f t="shared" ref="AJ24:AO24" si="7">SUM(AJ19:AJ23)</f>
        <v>0</v>
      </c>
      <c r="AK24" s="39">
        <f t="shared" si="7"/>
        <v>0</v>
      </c>
      <c r="AL24" s="61">
        <f t="shared" si="7"/>
        <v>39474</v>
      </c>
      <c r="AM24" s="39">
        <f t="shared" si="7"/>
        <v>69054.36</v>
      </c>
      <c r="AN24" s="61">
        <f t="shared" si="7"/>
        <v>1104</v>
      </c>
      <c r="AO24" s="39">
        <f t="shared" si="7"/>
        <v>1656</v>
      </c>
      <c r="AP24" s="61">
        <f>SUM(AP19:AP23)</f>
        <v>24088</v>
      </c>
      <c r="AQ24" s="39">
        <f>SUM(AQ19:AQ23)</f>
        <v>38420.36</v>
      </c>
      <c r="AR24" s="61">
        <f>SUM(AR19:AR23)</f>
        <v>-23774</v>
      </c>
      <c r="AS24" s="39">
        <f>SUM(AS19:AS23)</f>
        <v>-38139.919999999998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8167368</v>
      </c>
      <c r="E27" s="38">
        <f>SUM(G27,I27,K27,M27,O27,Q27,S27,U27,W27,Y27,AA27,AC27,AE27,AG27,AI27,AK27,AM27,AO27,AQ27,AS27)</f>
        <v>13474639.699999997</v>
      </c>
      <c r="F27" s="64">
        <f>'TIE-OUT'!R27+RECLASS!R27</f>
        <v>0</v>
      </c>
      <c r="G27" s="68">
        <f>'TIE-OUT'!S27+RECLASS!S27</f>
        <v>0</v>
      </c>
      <c r="H27" s="133">
        <f>+Actuals!E254</f>
        <v>7231771</v>
      </c>
      <c r="I27" s="134">
        <f>+Actuals!F254</f>
        <v>11926631.399999999</v>
      </c>
      <c r="J27" s="133">
        <f>+Actuals!G254</f>
        <v>967393</v>
      </c>
      <c r="K27" s="153">
        <f>+Actuals!H254</f>
        <v>1600471.2</v>
      </c>
      <c r="L27" s="133">
        <f>+Actuals!I254</f>
        <v>-74290</v>
      </c>
      <c r="M27" s="134">
        <f>+Actuals!J254</f>
        <v>-122578.5</v>
      </c>
      <c r="N27" s="133">
        <f>+Actuals!K254</f>
        <v>-7275</v>
      </c>
      <c r="O27" s="134">
        <f>+Actuals!L254</f>
        <v>-12003.75</v>
      </c>
      <c r="P27" s="133">
        <f>+Actuals!M254</f>
        <v>8339</v>
      </c>
      <c r="Q27" s="134">
        <f>+Actuals!N254</f>
        <v>13759</v>
      </c>
      <c r="R27" s="133">
        <f>+Actuals!O254</f>
        <v>-37549</v>
      </c>
      <c r="S27" s="134">
        <f>+Actuals!P254</f>
        <v>-61955</v>
      </c>
      <c r="T27" s="133">
        <f>+Actuals!Q254</f>
        <v>0</v>
      </c>
      <c r="U27" s="134">
        <f>+Actuals!R254</f>
        <v>0</v>
      </c>
      <c r="V27" s="133">
        <f>+Actuals!S254</f>
        <v>17173</v>
      </c>
      <c r="W27" s="134">
        <f>+Actuals!T254</f>
        <v>28335.45</v>
      </c>
      <c r="X27" s="133">
        <f>+Actuals!U254</f>
        <v>46971</v>
      </c>
      <c r="Y27" s="134">
        <f>+Actuals!V254</f>
        <v>77502.149999999994</v>
      </c>
      <c r="Z27" s="133">
        <f>+Actuals!W254</f>
        <v>0</v>
      </c>
      <c r="AA27" s="134">
        <f>+Actuals!X254</f>
        <v>0</v>
      </c>
      <c r="AB27" s="133">
        <f>+Actuals!Y454</f>
        <v>0</v>
      </c>
      <c r="AC27" s="134">
        <f>+Actuals!Z454</f>
        <v>0</v>
      </c>
      <c r="AD27" s="133">
        <f>+Actuals!AA454</f>
        <v>0</v>
      </c>
      <c r="AE27" s="134">
        <f>+Actuals!AB454</f>
        <v>0</v>
      </c>
      <c r="AF27" s="133">
        <f>+Actuals!AC454</f>
        <v>4261</v>
      </c>
      <c r="AG27" s="134">
        <f>+Actuals!AD454</f>
        <v>7030.65</v>
      </c>
      <c r="AH27" s="133">
        <f>+Actuals!AE454</f>
        <v>0</v>
      </c>
      <c r="AI27" s="134">
        <f>+Actuals!AF454</f>
        <v>0</v>
      </c>
      <c r="AJ27" s="133">
        <f>+Actuals!AG454</f>
        <v>10574</v>
      </c>
      <c r="AK27" s="134">
        <f>+Actuals!AH454</f>
        <v>17447.099999999999</v>
      </c>
      <c r="AL27" s="133">
        <f>+Actuals!AI454</f>
        <v>0</v>
      </c>
      <c r="AM27" s="134">
        <f>+Actuals!AJ454</f>
        <v>0</v>
      </c>
      <c r="AN27" s="133">
        <f>+Actuals!AK454</f>
        <v>0</v>
      </c>
      <c r="AO27" s="134">
        <f>+Actuals!AL454</f>
        <v>0</v>
      </c>
      <c r="AP27" s="133">
        <f>+Actuals!AM454</f>
        <v>0</v>
      </c>
      <c r="AQ27" s="134">
        <f>+Actuals!AN454</f>
        <v>0</v>
      </c>
      <c r="AR27" s="133">
        <f>+Actuals!AO454</f>
        <v>0</v>
      </c>
      <c r="AS27" s="134">
        <f>+Actuals!AP454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-12854730</v>
      </c>
      <c r="E28" s="38">
        <f>SUM(G28,I28,K28,M28,O28,Q28,S28,U28,W28,Y28,AA28,AC28,AE28,AG28,AI28,AK28,AM28,AO28,AQ28,AS28)</f>
        <v>-21032866.559999995</v>
      </c>
      <c r="F28" s="81">
        <f>'TIE-OUT'!R28+RECLASS!R28</f>
        <v>0</v>
      </c>
      <c r="G28" s="82">
        <f>'TIE-OUT'!S28+RECLASS!S28</f>
        <v>0</v>
      </c>
      <c r="H28" s="133">
        <f>+Actuals!E255</f>
        <v>-12831867</v>
      </c>
      <c r="I28" s="134">
        <f>+Actuals!F255</f>
        <v>-20994637.219999999</v>
      </c>
      <c r="J28" s="133">
        <f>+Actuals!G255</f>
        <v>-12892558</v>
      </c>
      <c r="K28" s="153">
        <f>+Actuals!H255</f>
        <v>-21092735.219999999</v>
      </c>
      <c r="L28" s="133">
        <f>+Actuals!I255</f>
        <v>15748</v>
      </c>
      <c r="M28" s="134">
        <f>+Actuals!J255</f>
        <v>25368.560000000001</v>
      </c>
      <c r="N28" s="133">
        <f>+Actuals!K255</f>
        <v>12981830</v>
      </c>
      <c r="O28" s="134">
        <f>+Actuals!L255</f>
        <v>21240144.57</v>
      </c>
      <c r="P28" s="133">
        <f>+Actuals!M255</f>
        <v>-96581</v>
      </c>
      <c r="Q28" s="134">
        <f>+Actuals!N255</f>
        <v>-159359</v>
      </c>
      <c r="R28" s="133">
        <f>+Actuals!O255</f>
        <v>-28517</v>
      </c>
      <c r="S28" s="134">
        <f>+Actuals!P255</f>
        <v>-47053</v>
      </c>
      <c r="T28" s="133">
        <f>+Actuals!Q255</f>
        <v>0</v>
      </c>
      <c r="U28" s="134">
        <f>+Actuals!R255</f>
        <v>0</v>
      </c>
      <c r="V28" s="133">
        <f>+Actuals!S255</f>
        <v>20116</v>
      </c>
      <c r="W28" s="134">
        <f>+Actuals!T255</f>
        <v>33191.4</v>
      </c>
      <c r="X28" s="133">
        <f>+Actuals!U255</f>
        <v>-22901</v>
      </c>
      <c r="Y28" s="134">
        <f>+Actuals!V255</f>
        <v>-37786.65</v>
      </c>
      <c r="Z28" s="133">
        <f>+Actuals!W255</f>
        <v>0</v>
      </c>
      <c r="AA28" s="134">
        <f>+Actuals!X255</f>
        <v>0</v>
      </c>
      <c r="AB28" s="133">
        <f>+Actuals!Y455</f>
        <v>0</v>
      </c>
      <c r="AC28" s="134">
        <f>+Actuals!Z455</f>
        <v>0</v>
      </c>
      <c r="AD28" s="133">
        <f>+Actuals!AA455</f>
        <v>0</v>
      </c>
      <c r="AE28" s="134">
        <f>+Actuals!AB455</f>
        <v>0</v>
      </c>
      <c r="AF28" s="133">
        <f>+Actuals!AC455</f>
        <v>0</v>
      </c>
      <c r="AG28" s="134">
        <f>+Actuals!AD455</f>
        <v>0</v>
      </c>
      <c r="AH28" s="133">
        <f>+Actuals!AE455</f>
        <v>0</v>
      </c>
      <c r="AI28" s="134">
        <f>+Actuals!AF455</f>
        <v>0</v>
      </c>
      <c r="AJ28" s="133">
        <f>+Actuals!AG455</f>
        <v>0</v>
      </c>
      <c r="AK28" s="134">
        <f>+Actuals!AH455</f>
        <v>0</v>
      </c>
      <c r="AL28" s="133">
        <f>+Actuals!AI455</f>
        <v>0</v>
      </c>
      <c r="AM28" s="134">
        <f>+Actuals!AJ455</f>
        <v>0</v>
      </c>
      <c r="AN28" s="133">
        <f>+Actuals!AK455</f>
        <v>0</v>
      </c>
      <c r="AO28" s="134">
        <f>+Actuals!AL455</f>
        <v>0</v>
      </c>
      <c r="AP28" s="133">
        <f>+Actuals!AM455</f>
        <v>0</v>
      </c>
      <c r="AQ28" s="134">
        <f>+Actuals!AN455</f>
        <v>0</v>
      </c>
      <c r="AR28" s="133">
        <f>+Actuals!AO455</f>
        <v>0</v>
      </c>
      <c r="AS28" s="134">
        <f>+Actuals!AP455</f>
        <v>0</v>
      </c>
    </row>
    <row r="29" spans="1:45" x14ac:dyDescent="0.2">
      <c r="A29" s="9"/>
      <c r="B29" s="7" t="s">
        <v>41</v>
      </c>
      <c r="C29" s="18"/>
      <c r="D29" s="61">
        <f t="shared" ref="D29:AC29" si="8">SUM(D27:D28)</f>
        <v>-4687362</v>
      </c>
      <c r="E29" s="39">
        <f t="shared" si="8"/>
        <v>-7558226.8599999975</v>
      </c>
      <c r="F29" s="61">
        <f t="shared" si="8"/>
        <v>0</v>
      </c>
      <c r="G29" s="39">
        <f t="shared" si="8"/>
        <v>0</v>
      </c>
      <c r="H29" s="61">
        <f t="shared" si="8"/>
        <v>-5600096</v>
      </c>
      <c r="I29" s="39">
        <f t="shared" si="8"/>
        <v>-9068005.8200000003</v>
      </c>
      <c r="J29" s="61">
        <f t="shared" si="8"/>
        <v>-11925165</v>
      </c>
      <c r="K29" s="154">
        <f t="shared" si="8"/>
        <v>-19492264.02</v>
      </c>
      <c r="L29" s="61">
        <f t="shared" si="8"/>
        <v>-58542</v>
      </c>
      <c r="M29" s="39">
        <f t="shared" si="8"/>
        <v>-97209.94</v>
      </c>
      <c r="N29" s="61">
        <f t="shared" si="8"/>
        <v>12974555</v>
      </c>
      <c r="O29" s="39">
        <f t="shared" si="8"/>
        <v>21228140.82</v>
      </c>
      <c r="P29" s="61">
        <f t="shared" si="8"/>
        <v>-88242</v>
      </c>
      <c r="Q29" s="39">
        <f t="shared" si="8"/>
        <v>-145600</v>
      </c>
      <c r="R29" s="61">
        <f t="shared" si="8"/>
        <v>-66066</v>
      </c>
      <c r="S29" s="39">
        <f t="shared" si="8"/>
        <v>-109008</v>
      </c>
      <c r="T29" s="61">
        <f t="shared" si="8"/>
        <v>0</v>
      </c>
      <c r="U29" s="39">
        <f t="shared" si="8"/>
        <v>0</v>
      </c>
      <c r="V29" s="61">
        <f t="shared" si="8"/>
        <v>37289</v>
      </c>
      <c r="W29" s="39">
        <f t="shared" si="8"/>
        <v>61526.850000000006</v>
      </c>
      <c r="X29" s="61">
        <f t="shared" si="8"/>
        <v>24070</v>
      </c>
      <c r="Y29" s="39">
        <f t="shared" si="8"/>
        <v>39715.499999999993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ref="AD29:AI29" si="9">SUM(AD27:AD28)</f>
        <v>0</v>
      </c>
      <c r="AE29" s="39">
        <f t="shared" si="9"/>
        <v>0</v>
      </c>
      <c r="AF29" s="61">
        <f t="shared" si="9"/>
        <v>4261</v>
      </c>
      <c r="AG29" s="39">
        <f t="shared" si="9"/>
        <v>7030.65</v>
      </c>
      <c r="AH29" s="61">
        <f t="shared" si="9"/>
        <v>0</v>
      </c>
      <c r="AI29" s="39">
        <f t="shared" si="9"/>
        <v>0</v>
      </c>
      <c r="AJ29" s="61">
        <f t="shared" ref="AJ29:AO29" si="10">SUM(AJ27:AJ28)</f>
        <v>10574</v>
      </c>
      <c r="AK29" s="39">
        <f t="shared" si="10"/>
        <v>17447.099999999999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SUM(F32,H32,J32,L32,N32,P32,R32,T32,V32,X32,Z32,AB32,AD32,AF32,AH32,AJ32,AL32,AN32,AP32,AR32)</f>
        <v>-533730</v>
      </c>
      <c r="E32" s="38">
        <f t="shared" si="11"/>
        <v>-820877.30400000012</v>
      </c>
      <c r="F32" s="64">
        <f>'TIE-OUT'!R32+RECLASS!R32</f>
        <v>0</v>
      </c>
      <c r="G32" s="68">
        <f>'TIE-OUT'!S32+RECLASS!S32</f>
        <v>0</v>
      </c>
      <c r="H32" s="133">
        <f>+Actuals!E256</f>
        <v>76102</v>
      </c>
      <c r="I32" s="134">
        <f>+Actuals!F256</f>
        <v>117045</v>
      </c>
      <c r="J32" s="133">
        <f>+Actuals!G256</f>
        <v>-88599</v>
      </c>
      <c r="K32" s="153">
        <f>+Actuals!H256</f>
        <v>-139764.54999999999</v>
      </c>
      <c r="L32" s="133">
        <f>+Actuals!I256</f>
        <v>-32911</v>
      </c>
      <c r="M32" s="134">
        <f>+Actuals!J256</f>
        <v>-47117.95</v>
      </c>
      <c r="N32" s="133">
        <f>+Actuals!K256</f>
        <v>-4308</v>
      </c>
      <c r="O32" s="134">
        <f>+Actuals!L256</f>
        <v>-38593.1</v>
      </c>
      <c r="P32" s="133">
        <f>+Actuals!M256</f>
        <v>5585</v>
      </c>
      <c r="Q32" s="134">
        <f>+Actuals!N256</f>
        <v>12566.25</v>
      </c>
      <c r="R32" s="133">
        <f>+Actuals!O256</f>
        <v>32059</v>
      </c>
      <c r="S32" s="134">
        <f>+Actuals!P256</f>
        <v>124307.336</v>
      </c>
      <c r="T32" s="133">
        <f>+Actuals!Q256</f>
        <v>-50271</v>
      </c>
      <c r="U32" s="134">
        <f>+Actuals!R256</f>
        <v>-173088.27</v>
      </c>
      <c r="V32" s="133">
        <f>+Actuals!S256</f>
        <v>-13361</v>
      </c>
      <c r="W32" s="134">
        <f>+Actuals!T256</f>
        <v>-3755.42</v>
      </c>
      <c r="X32" s="133">
        <f>+Actuals!U256</f>
        <v>-492064</v>
      </c>
      <c r="Y32" s="134">
        <f>+Actuals!V256</f>
        <v>-756794.43200000003</v>
      </c>
      <c r="Z32" s="133">
        <f>+Actuals!W256</f>
        <v>0</v>
      </c>
      <c r="AA32" s="134">
        <f>+Actuals!X256</f>
        <v>0</v>
      </c>
      <c r="AB32" s="133">
        <f>+Actuals!Y456</f>
        <v>0</v>
      </c>
      <c r="AC32" s="134">
        <f>+Actuals!Z456</f>
        <v>0</v>
      </c>
      <c r="AD32" s="133">
        <f>+Actuals!AA456</f>
        <v>49716</v>
      </c>
      <c r="AE32" s="134">
        <f>+Actuals!AB456</f>
        <v>108430.6</v>
      </c>
      <c r="AF32" s="133">
        <f>+Actuals!AC456</f>
        <v>12</v>
      </c>
      <c r="AG32" s="134">
        <f>+Actuals!AD456</f>
        <v>18.456</v>
      </c>
      <c r="AH32" s="133">
        <f>+Actuals!AE456</f>
        <v>6571</v>
      </c>
      <c r="AI32" s="134">
        <f>+Actuals!AF456</f>
        <v>10106.198</v>
      </c>
      <c r="AJ32" s="133">
        <f>+Actuals!AG456</f>
        <v>-23164</v>
      </c>
      <c r="AK32" s="134">
        <f>+Actuals!AH456</f>
        <v>-35626.232000000004</v>
      </c>
      <c r="AL32" s="133">
        <f>+Actuals!AI456</f>
        <v>0</v>
      </c>
      <c r="AM32" s="134">
        <f>+Actuals!AJ456</f>
        <v>0</v>
      </c>
      <c r="AN32" s="133">
        <v>901</v>
      </c>
      <c r="AO32" s="134">
        <v>1385.74</v>
      </c>
      <c r="AP32" s="133">
        <v>-2155</v>
      </c>
      <c r="AQ32" s="134">
        <v>-3314.39</v>
      </c>
      <c r="AR32" s="133">
        <v>2157</v>
      </c>
      <c r="AS32" s="134">
        <v>3317.46</v>
      </c>
    </row>
    <row r="33" spans="1:45" x14ac:dyDescent="0.2">
      <c r="A33" s="9">
        <v>14</v>
      </c>
      <c r="B33" s="7"/>
      <c r="C33" s="18" t="s">
        <v>44</v>
      </c>
      <c r="D33" s="60">
        <f t="shared" si="11"/>
        <v>12</v>
      </c>
      <c r="E33" s="38">
        <f t="shared" si="11"/>
        <v>20.88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+Actuals!Y457</f>
        <v>0</v>
      </c>
      <c r="AC33" s="134">
        <f>+Actuals!Z457</f>
        <v>0</v>
      </c>
      <c r="AD33" s="133">
        <f>+Actuals!AA457</f>
        <v>0</v>
      </c>
      <c r="AE33" s="134">
        <f>+Actuals!AB457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  <c r="AJ33" s="133">
        <f>+Actuals!AG457</f>
        <v>0</v>
      </c>
      <c r="AK33" s="134">
        <f>+Actuals!AH457</f>
        <v>0</v>
      </c>
      <c r="AL33" s="133">
        <f>+Actuals!AI457</f>
        <v>0</v>
      </c>
      <c r="AM33" s="134">
        <f>+Actuals!AJ457</f>
        <v>0</v>
      </c>
      <c r="AN33" s="133">
        <f>+Actuals!AK457</f>
        <v>0</v>
      </c>
      <c r="AO33" s="134">
        <f>+Actuals!AL457</f>
        <v>0</v>
      </c>
      <c r="AP33" s="133">
        <v>12</v>
      </c>
      <c r="AQ33" s="134">
        <v>20.88</v>
      </c>
      <c r="AR33" s="133"/>
      <c r="AS33" s="134"/>
    </row>
    <row r="34" spans="1:4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+Actuals!Y458</f>
        <v>0</v>
      </c>
      <c r="AC34" s="134">
        <f>+Actuals!Z458</f>
        <v>0</v>
      </c>
      <c r="AD34" s="133">
        <f>+Actuals!AA458</f>
        <v>0</v>
      </c>
      <c r="AE34" s="134">
        <f>+Actuals!AB458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  <c r="AJ34" s="133">
        <f>+Actuals!AG458</f>
        <v>0</v>
      </c>
      <c r="AK34" s="134">
        <f>+Actuals!AH458</f>
        <v>0</v>
      </c>
      <c r="AL34" s="133">
        <f>+Actuals!AI458</f>
        <v>0</v>
      </c>
      <c r="AM34" s="134">
        <f>+Actuals!AJ458</f>
        <v>0</v>
      </c>
      <c r="AN34" s="133">
        <f>+Actuals!AK458</f>
        <v>0</v>
      </c>
      <c r="AO34" s="134">
        <f>+Actuals!AL458</f>
        <v>0</v>
      </c>
      <c r="AP34" s="133">
        <f>+Actuals!AM458</f>
        <v>0</v>
      </c>
      <c r="AQ34" s="134">
        <f>+Actuals!AN458</f>
        <v>0</v>
      </c>
      <c r="AR34" s="133">
        <f>+Actuals!AO458</f>
        <v>0</v>
      </c>
      <c r="AS34" s="134">
        <f>+Actuals!AP458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0.01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+Actuals!Y459</f>
        <v>0</v>
      </c>
      <c r="AC35" s="134">
        <f>+Actuals!Z459</f>
        <v>0</v>
      </c>
      <c r="AD35" s="133">
        <f>+Actuals!AA459</f>
        <v>0</v>
      </c>
      <c r="AE35" s="134">
        <f>+Actuals!AB459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  <c r="AJ35" s="133">
        <f>+Actuals!AG459</f>
        <v>0</v>
      </c>
      <c r="AK35" s="134">
        <f>+Actuals!AH459</f>
        <v>0</v>
      </c>
      <c r="AL35" s="133">
        <f>+Actuals!AI459</f>
        <v>0</v>
      </c>
      <c r="AM35" s="134">
        <f>+Actuals!AJ459</f>
        <v>0</v>
      </c>
      <c r="AN35" s="133">
        <f>+Actuals!AK459</f>
        <v>0</v>
      </c>
      <c r="AO35" s="134">
        <f>+Actuals!AL459</f>
        <v>0</v>
      </c>
      <c r="AP35" s="133">
        <f>+Actuals!AM459</f>
        <v>0</v>
      </c>
      <c r="AQ35" s="134">
        <f>+Actuals!AN459</f>
        <v>0</v>
      </c>
      <c r="AR35" s="133">
        <f>+Actuals!AO459</f>
        <v>0</v>
      </c>
      <c r="AS35" s="134">
        <f>+Actuals!AP459</f>
        <v>0</v>
      </c>
    </row>
    <row r="36" spans="1:45" x14ac:dyDescent="0.2">
      <c r="A36" s="9"/>
      <c r="B36" s="7" t="s">
        <v>47</v>
      </c>
      <c r="C36" s="6"/>
      <c r="D36" s="61">
        <f t="shared" ref="D36:AC36" si="12">SUM(D32:D35)</f>
        <v>-533718</v>
      </c>
      <c r="E36" s="39">
        <f t="shared" si="12"/>
        <v>-820856.41400000011</v>
      </c>
      <c r="F36" s="61">
        <f t="shared" si="12"/>
        <v>0</v>
      </c>
      <c r="G36" s="39">
        <f t="shared" si="12"/>
        <v>0</v>
      </c>
      <c r="H36" s="61">
        <f t="shared" si="12"/>
        <v>76102</v>
      </c>
      <c r="I36" s="39">
        <f t="shared" si="12"/>
        <v>117045.01</v>
      </c>
      <c r="J36" s="61">
        <f t="shared" si="12"/>
        <v>-88599</v>
      </c>
      <c r="K36" s="154">
        <f t="shared" si="12"/>
        <v>-139764.54999999999</v>
      </c>
      <c r="L36" s="61">
        <f t="shared" si="12"/>
        <v>-32911</v>
      </c>
      <c r="M36" s="39">
        <f t="shared" si="12"/>
        <v>-47117.95</v>
      </c>
      <c r="N36" s="61">
        <f t="shared" si="12"/>
        <v>-4308</v>
      </c>
      <c r="O36" s="39">
        <f t="shared" si="12"/>
        <v>-38593.1</v>
      </c>
      <c r="P36" s="61">
        <f t="shared" si="12"/>
        <v>5585</v>
      </c>
      <c r="Q36" s="39">
        <f t="shared" si="12"/>
        <v>12566.25</v>
      </c>
      <c r="R36" s="61">
        <f t="shared" si="12"/>
        <v>32059</v>
      </c>
      <c r="S36" s="39">
        <f t="shared" si="12"/>
        <v>124307.336</v>
      </c>
      <c r="T36" s="61">
        <f t="shared" si="12"/>
        <v>-50271</v>
      </c>
      <c r="U36" s="39">
        <f t="shared" si="12"/>
        <v>-173088.27</v>
      </c>
      <c r="V36" s="61">
        <f t="shared" si="12"/>
        <v>-13361</v>
      </c>
      <c r="W36" s="39">
        <f t="shared" si="12"/>
        <v>-3755.42</v>
      </c>
      <c r="X36" s="61">
        <f t="shared" si="12"/>
        <v>-492064</v>
      </c>
      <c r="Y36" s="39">
        <f t="shared" si="12"/>
        <v>-756794.43200000003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ref="AD36:AI36" si="13">SUM(AD32:AD35)</f>
        <v>49716</v>
      </c>
      <c r="AE36" s="39">
        <f t="shared" si="13"/>
        <v>108430.6</v>
      </c>
      <c r="AF36" s="61">
        <f t="shared" si="13"/>
        <v>12</v>
      </c>
      <c r="AG36" s="39">
        <f t="shared" si="13"/>
        <v>18.456</v>
      </c>
      <c r="AH36" s="61">
        <f t="shared" si="13"/>
        <v>6571</v>
      </c>
      <c r="AI36" s="39">
        <f t="shared" si="13"/>
        <v>10106.198</v>
      </c>
      <c r="AJ36" s="61">
        <f t="shared" ref="AJ36:AO36" si="14">SUM(AJ32:AJ35)</f>
        <v>-23164</v>
      </c>
      <c r="AK36" s="39">
        <f t="shared" si="14"/>
        <v>-35626.232000000004</v>
      </c>
      <c r="AL36" s="61">
        <f t="shared" si="14"/>
        <v>0</v>
      </c>
      <c r="AM36" s="39">
        <f t="shared" si="14"/>
        <v>0</v>
      </c>
      <c r="AN36" s="61">
        <f t="shared" si="14"/>
        <v>901</v>
      </c>
      <c r="AO36" s="39">
        <f t="shared" si="14"/>
        <v>1385.74</v>
      </c>
      <c r="AP36" s="61">
        <f>SUM(AP32:AP35)</f>
        <v>-2143</v>
      </c>
      <c r="AQ36" s="39">
        <f>SUM(AQ32:AQ35)</f>
        <v>-3293.5099999999998</v>
      </c>
      <c r="AR36" s="61">
        <f>SUM(AR32:AR35)</f>
        <v>2157</v>
      </c>
      <c r="AS36" s="39">
        <f>SUM(AS32:AS35)</f>
        <v>3317.46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SUM(F39,H39,J39,L39,N39,P39,R39,T39,V39,X39,Z39,AB39,AD39,AF39,AH39,AJ39,AL39,AN39,AP39,AR39)</f>
        <v>0</v>
      </c>
      <c r="E39" s="38">
        <f t="shared" si="15"/>
        <v>0</v>
      </c>
      <c r="F39" s="64">
        <f>'TIE-OUT'!R39+RECLASS!R39</f>
        <v>0</v>
      </c>
      <c r="G39" s="68">
        <f>'TIE-OUT'!S39+RECLASS!S39</f>
        <v>0</v>
      </c>
      <c r="H39" s="133">
        <f>+Actuals!E260</f>
        <v>0</v>
      </c>
      <c r="I39" s="134">
        <f>+Actuals!F260</f>
        <v>0</v>
      </c>
      <c r="J39" s="133">
        <f>+Actuals!G260</f>
        <v>0</v>
      </c>
      <c r="K39" s="153">
        <f>+Actuals!H260</f>
        <v>0</v>
      </c>
      <c r="L39" s="133">
        <f>+Actuals!I260</f>
        <v>0</v>
      </c>
      <c r="M39" s="134">
        <f>+Actuals!J260</f>
        <v>0</v>
      </c>
      <c r="N39" s="133">
        <f>+Actuals!K260</f>
        <v>0</v>
      </c>
      <c r="O39" s="134">
        <f>+Actuals!L260</f>
        <v>0</v>
      </c>
      <c r="P39" s="133">
        <f>+Actuals!M260</f>
        <v>0</v>
      </c>
      <c r="Q39" s="134">
        <f>+Actuals!N260</f>
        <v>0</v>
      </c>
      <c r="R39" s="133">
        <f>+Actuals!O260</f>
        <v>0</v>
      </c>
      <c r="S39" s="134">
        <f>+Actuals!P260</f>
        <v>0</v>
      </c>
      <c r="T39" s="133">
        <f>+Actuals!Q260</f>
        <v>0</v>
      </c>
      <c r="U39" s="134">
        <f>+Actuals!R260</f>
        <v>0</v>
      </c>
      <c r="V39" s="133">
        <f>+Actuals!S260</f>
        <v>0</v>
      </c>
      <c r="W39" s="134">
        <f>+Actuals!T260</f>
        <v>0</v>
      </c>
      <c r="X39" s="133">
        <f>+Actuals!U260</f>
        <v>0</v>
      </c>
      <c r="Y39" s="134">
        <f>+Actuals!V260</f>
        <v>0</v>
      </c>
      <c r="Z39" s="133">
        <f>+Actuals!W260</f>
        <v>0</v>
      </c>
      <c r="AA39" s="134">
        <f>+Actuals!X260</f>
        <v>0</v>
      </c>
      <c r="AB39" s="133">
        <f>+Actuals!Y460</f>
        <v>0</v>
      </c>
      <c r="AC39" s="134">
        <f>+Actuals!Z460</f>
        <v>0</v>
      </c>
      <c r="AD39" s="133">
        <f>+Actuals!AA460</f>
        <v>0</v>
      </c>
      <c r="AE39" s="134">
        <f>+Actuals!AB460</f>
        <v>0</v>
      </c>
      <c r="AF39" s="133">
        <f>+Actuals!AC460</f>
        <v>0</v>
      </c>
      <c r="AG39" s="134">
        <f>+Actuals!AD460</f>
        <v>0</v>
      </c>
      <c r="AH39" s="133">
        <f>+Actuals!AE460</f>
        <v>0</v>
      </c>
      <c r="AI39" s="134">
        <f>+Actuals!AF460</f>
        <v>0</v>
      </c>
      <c r="AJ39" s="133">
        <f>+Actuals!AG460</f>
        <v>0</v>
      </c>
      <c r="AK39" s="134">
        <f>+Actuals!AH460</f>
        <v>0</v>
      </c>
      <c r="AL39" s="133">
        <f>+Actuals!AI460</f>
        <v>0</v>
      </c>
      <c r="AM39" s="134">
        <f>+Actuals!AJ460</f>
        <v>0</v>
      </c>
      <c r="AN39" s="133">
        <f>+Actuals!AK460</f>
        <v>0</v>
      </c>
      <c r="AO39" s="134">
        <f>+Actuals!AL460</f>
        <v>0</v>
      </c>
      <c r="AP39" s="133">
        <f>+Actuals!AM460</f>
        <v>0</v>
      </c>
      <c r="AQ39" s="134">
        <f>+Actuals!AN460</f>
        <v>0</v>
      </c>
      <c r="AR39" s="133">
        <f>+Actuals!AO460</f>
        <v>0</v>
      </c>
      <c r="AS39" s="134">
        <f>+Actuals!AP460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5"/>
        <v>-5624607</v>
      </c>
      <c r="E40" s="38">
        <f t="shared" si="15"/>
        <v>-10226237.859999998</v>
      </c>
      <c r="F40" s="60">
        <f>'TIE-OUT'!R40+RECLASS!R40</f>
        <v>0</v>
      </c>
      <c r="G40" s="38">
        <f>'TIE-OUT'!S40+RECLASS!S40</f>
        <v>0</v>
      </c>
      <c r="H40" s="133">
        <f>+Actuals!E261</f>
        <v>-4204391</v>
      </c>
      <c r="I40" s="134">
        <f>+Actuals!F261</f>
        <v>-7739576.7199999997</v>
      </c>
      <c r="J40" s="133">
        <f>+Actuals!G261</f>
        <v>-1157935</v>
      </c>
      <c r="K40" s="153">
        <f>+Actuals!H261</f>
        <v>-2121637.98</v>
      </c>
      <c r="L40" s="133">
        <f>+Actuals!I261</f>
        <v>-15400</v>
      </c>
      <c r="M40" s="134">
        <f>+Actuals!J261</f>
        <v>49295.4</v>
      </c>
      <c r="N40" s="133">
        <f>+Actuals!K261</f>
        <v>-56482</v>
      </c>
      <c r="O40" s="134">
        <f>+Actuals!L261</f>
        <v>-103489.71</v>
      </c>
      <c r="P40" s="133">
        <f>+Actuals!M261</f>
        <v>62233</v>
      </c>
      <c r="Q40" s="134">
        <f>+Actuals!N261</f>
        <v>58231.67</v>
      </c>
      <c r="R40" s="133">
        <f>+Actuals!O261</f>
        <v>-31676</v>
      </c>
      <c r="S40" s="134">
        <f>+Actuals!P261</f>
        <v>-178367.79</v>
      </c>
      <c r="T40" s="133">
        <f>+Actuals!Q261</f>
        <v>-15392</v>
      </c>
      <c r="U40" s="134">
        <f>+Actuals!R261</f>
        <v>-28970.95</v>
      </c>
      <c r="V40" s="133">
        <f>+Actuals!S261</f>
        <v>20850</v>
      </c>
      <c r="W40" s="134">
        <f>+Actuals!T261</f>
        <v>39113.269999999997</v>
      </c>
      <c r="X40" s="133">
        <f>+Actuals!U261</f>
        <v>-16581</v>
      </c>
      <c r="Y40" s="134">
        <f>+Actuals!V261</f>
        <v>-31093.53</v>
      </c>
      <c r="Z40" s="133">
        <f>+Actuals!W261</f>
        <v>53486</v>
      </c>
      <c r="AA40" s="134">
        <f>+Actuals!X261</f>
        <v>428996.82</v>
      </c>
      <c r="AB40" s="133">
        <f>+Actuals!Y461</f>
        <v>0</v>
      </c>
      <c r="AC40" s="134">
        <f>+Actuals!Z461</f>
        <v>0</v>
      </c>
      <c r="AD40" s="133">
        <f>+Actuals!AA461</f>
        <v>0</v>
      </c>
      <c r="AE40" s="134">
        <f>+Actuals!AB461</f>
        <v>0</v>
      </c>
      <c r="AF40" s="133">
        <f>+Actuals!AC461</f>
        <v>-522</v>
      </c>
      <c r="AG40" s="134">
        <f>+Actuals!AD461</f>
        <v>-1036.17</v>
      </c>
      <c r="AH40" s="133">
        <f>+Actuals!AE461</f>
        <v>-10832</v>
      </c>
      <c r="AI40" s="134">
        <f>+Actuals!AF461</f>
        <v>-62114.53</v>
      </c>
      <c r="AJ40" s="133">
        <f>+Actuals!AG461</f>
        <v>-251965</v>
      </c>
      <c r="AK40" s="134">
        <f>+Actuals!AH461</f>
        <v>-535592.51</v>
      </c>
      <c r="AL40" s="133">
        <f>+Actuals!AI461</f>
        <v>0</v>
      </c>
      <c r="AM40" s="134">
        <f>+Actuals!AJ461</f>
        <v>0</v>
      </c>
      <c r="AN40" s="133">
        <f>+Actuals!AK461</f>
        <v>0</v>
      </c>
      <c r="AO40" s="134">
        <f>+Actuals!AL461</f>
        <v>0</v>
      </c>
      <c r="AP40" s="133">
        <f>+Actuals!AM461</f>
        <v>0</v>
      </c>
      <c r="AQ40" s="134">
        <v>-404.13</v>
      </c>
      <c r="AR40" s="133">
        <f>+Actuals!AO461</f>
        <v>0</v>
      </c>
      <c r="AS40" s="134">
        <v>409</v>
      </c>
    </row>
    <row r="41" spans="1:4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-443620</v>
      </c>
      <c r="F41" s="81">
        <f>'TIE-OUT'!R41+RECLASS!R41</f>
        <v>0</v>
      </c>
      <c r="G41" s="82">
        <f>'TIE-OUT'!S41+RECLASS!S41</f>
        <v>-443620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65">
        <f>+Actuals!T262+1002083</f>
        <v>1002083</v>
      </c>
      <c r="X41" s="133">
        <f>+Actuals!U262</f>
        <v>0</v>
      </c>
      <c r="Y41" s="134">
        <f>+Actuals!V262</f>
        <v>0</v>
      </c>
      <c r="Z41" s="133">
        <f>+Actuals!W262</f>
        <v>0</v>
      </c>
      <c r="AA41" s="134">
        <f>+Actuals!X262</f>
        <v>0</v>
      </c>
      <c r="AB41" s="133">
        <f>+Actuals!Y462</f>
        <v>0</v>
      </c>
      <c r="AC41" s="134">
        <f>+Actuals!Z462</f>
        <v>0</v>
      </c>
      <c r="AD41" s="133">
        <f>+Actuals!AA462</f>
        <v>0</v>
      </c>
      <c r="AE41" s="134">
        <f>+Actuals!AB462</f>
        <v>0</v>
      </c>
      <c r="AF41" s="133">
        <f>+Actuals!AC462</f>
        <v>0</v>
      </c>
      <c r="AG41" s="172">
        <f>+Actuals!AD462-1002083</f>
        <v>-1002083</v>
      </c>
      <c r="AH41" s="133">
        <f>+Actuals!AE462</f>
        <v>0</v>
      </c>
      <c r="AI41" s="172">
        <f>+Actuals!AF462</f>
        <v>0</v>
      </c>
      <c r="AJ41" s="133">
        <f>+Actuals!AG462</f>
        <v>0</v>
      </c>
      <c r="AK41" s="172">
        <f>+Actuals!AH462</f>
        <v>0</v>
      </c>
      <c r="AL41" s="133">
        <f>+Actuals!AI462</f>
        <v>0</v>
      </c>
      <c r="AM41" s="172">
        <f>+Actuals!AJ462</f>
        <v>0</v>
      </c>
      <c r="AN41" s="133">
        <f>+Actuals!AK462</f>
        <v>0</v>
      </c>
      <c r="AO41" s="172">
        <f>+Actuals!AL462</f>
        <v>0</v>
      </c>
      <c r="AP41" s="133">
        <f>+Actuals!AM462</f>
        <v>0</v>
      </c>
      <c r="AQ41" s="172">
        <f>+Actuals!AN462</f>
        <v>0</v>
      </c>
      <c r="AR41" s="133">
        <f>+Actuals!AO462</f>
        <v>0</v>
      </c>
      <c r="AS41" s="172">
        <f>+Actuals!AP462</f>
        <v>0</v>
      </c>
    </row>
    <row r="42" spans="1:45" x14ac:dyDescent="0.2">
      <c r="A42" s="9"/>
      <c r="B42" s="7"/>
      <c r="C42" s="53" t="s">
        <v>52</v>
      </c>
      <c r="D42" s="61">
        <f t="shared" ref="D42:AC42" si="16">SUM(D40:D41)</f>
        <v>-5624607</v>
      </c>
      <c r="E42" s="39">
        <f t="shared" si="16"/>
        <v>-10669857.859999998</v>
      </c>
      <c r="F42" s="61">
        <f t="shared" si="16"/>
        <v>0</v>
      </c>
      <c r="G42" s="39">
        <f t="shared" si="16"/>
        <v>-443620</v>
      </c>
      <c r="H42" s="61">
        <f t="shared" si="16"/>
        <v>-4204391</v>
      </c>
      <c r="I42" s="39">
        <f t="shared" si="16"/>
        <v>-7739576.7199999997</v>
      </c>
      <c r="J42" s="61">
        <f t="shared" si="16"/>
        <v>-1157935</v>
      </c>
      <c r="K42" s="154">
        <f t="shared" si="16"/>
        <v>-2121637.98</v>
      </c>
      <c r="L42" s="61">
        <f t="shared" si="16"/>
        <v>-15400</v>
      </c>
      <c r="M42" s="39">
        <f t="shared" si="16"/>
        <v>49295.4</v>
      </c>
      <c r="N42" s="61">
        <f t="shared" si="16"/>
        <v>-56482</v>
      </c>
      <c r="O42" s="39">
        <f t="shared" si="16"/>
        <v>-103489.71</v>
      </c>
      <c r="P42" s="61">
        <f t="shared" si="16"/>
        <v>62233</v>
      </c>
      <c r="Q42" s="39">
        <f t="shared" si="16"/>
        <v>58231.67</v>
      </c>
      <c r="R42" s="61">
        <f t="shared" si="16"/>
        <v>-31676</v>
      </c>
      <c r="S42" s="39">
        <f t="shared" si="16"/>
        <v>-178367.79</v>
      </c>
      <c r="T42" s="61">
        <f t="shared" si="16"/>
        <v>-15392</v>
      </c>
      <c r="U42" s="39">
        <f t="shared" si="16"/>
        <v>-28970.95</v>
      </c>
      <c r="V42" s="61">
        <f t="shared" si="16"/>
        <v>20850</v>
      </c>
      <c r="W42" s="39">
        <f t="shared" si="16"/>
        <v>1041196.27</v>
      </c>
      <c r="X42" s="61">
        <f t="shared" si="16"/>
        <v>-16581</v>
      </c>
      <c r="Y42" s="39">
        <f t="shared" si="16"/>
        <v>-31093.53</v>
      </c>
      <c r="Z42" s="61">
        <f t="shared" si="16"/>
        <v>53486</v>
      </c>
      <c r="AA42" s="39">
        <f t="shared" si="16"/>
        <v>428996.82</v>
      </c>
      <c r="AB42" s="61">
        <f t="shared" si="16"/>
        <v>0</v>
      </c>
      <c r="AC42" s="39">
        <f t="shared" si="16"/>
        <v>0</v>
      </c>
      <c r="AD42" s="61">
        <f t="shared" ref="AD42:AI42" si="17">SUM(AD40:AD41)</f>
        <v>0</v>
      </c>
      <c r="AE42" s="39">
        <f t="shared" si="17"/>
        <v>0</v>
      </c>
      <c r="AF42" s="61">
        <f t="shared" si="17"/>
        <v>-522</v>
      </c>
      <c r="AG42" s="39">
        <f t="shared" si="17"/>
        <v>-1003119.17</v>
      </c>
      <c r="AH42" s="61">
        <f t="shared" si="17"/>
        <v>-10832</v>
      </c>
      <c r="AI42" s="39">
        <f t="shared" si="17"/>
        <v>-62114.53</v>
      </c>
      <c r="AJ42" s="61">
        <f t="shared" ref="AJ42:AO42" si="18">SUM(AJ40:AJ41)</f>
        <v>-251965</v>
      </c>
      <c r="AK42" s="39">
        <f t="shared" si="18"/>
        <v>-535592.51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>SUM(AP40:AP41)</f>
        <v>0</v>
      </c>
      <c r="AQ42" s="39">
        <f>SUM(AQ40:AQ41)</f>
        <v>-404.13</v>
      </c>
      <c r="AR42" s="61">
        <f>SUM(AR40:AR41)</f>
        <v>0</v>
      </c>
      <c r="AS42" s="39">
        <f>SUM(AS40:AS41)</f>
        <v>409</v>
      </c>
    </row>
    <row r="43" spans="1:45" ht="21" customHeight="1" x14ac:dyDescent="0.2">
      <c r="A43" s="9"/>
      <c r="B43" s="7" t="s">
        <v>53</v>
      </c>
      <c r="C43" s="6"/>
      <c r="D43" s="61">
        <f t="shared" ref="D43:AC43" si="19">D42+D39</f>
        <v>-5624607</v>
      </c>
      <c r="E43" s="39">
        <f t="shared" si="19"/>
        <v>-10669857.859999998</v>
      </c>
      <c r="F43" s="61">
        <f t="shared" si="19"/>
        <v>0</v>
      </c>
      <c r="G43" s="39">
        <f t="shared" si="19"/>
        <v>-443620</v>
      </c>
      <c r="H43" s="61">
        <f t="shared" si="19"/>
        <v>-4204391</v>
      </c>
      <c r="I43" s="39">
        <f t="shared" si="19"/>
        <v>-7739576.7199999997</v>
      </c>
      <c r="J43" s="61">
        <f t="shared" si="19"/>
        <v>-1157935</v>
      </c>
      <c r="K43" s="154">
        <f t="shared" si="19"/>
        <v>-2121637.98</v>
      </c>
      <c r="L43" s="61">
        <f t="shared" si="19"/>
        <v>-15400</v>
      </c>
      <c r="M43" s="39">
        <f t="shared" si="19"/>
        <v>49295.4</v>
      </c>
      <c r="N43" s="61">
        <f t="shared" si="19"/>
        <v>-56482</v>
      </c>
      <c r="O43" s="39">
        <f t="shared" si="19"/>
        <v>-103489.71</v>
      </c>
      <c r="P43" s="61">
        <f t="shared" si="19"/>
        <v>62233</v>
      </c>
      <c r="Q43" s="39">
        <f t="shared" si="19"/>
        <v>58231.67</v>
      </c>
      <c r="R43" s="61">
        <f t="shared" si="19"/>
        <v>-31676</v>
      </c>
      <c r="S43" s="39">
        <f t="shared" si="19"/>
        <v>-178367.79</v>
      </c>
      <c r="T43" s="61">
        <f t="shared" si="19"/>
        <v>-15392</v>
      </c>
      <c r="U43" s="39">
        <f t="shared" si="19"/>
        <v>-28970.95</v>
      </c>
      <c r="V43" s="61">
        <f t="shared" si="19"/>
        <v>20850</v>
      </c>
      <c r="W43" s="39">
        <f t="shared" si="19"/>
        <v>1041196.27</v>
      </c>
      <c r="X43" s="61">
        <f t="shared" si="19"/>
        <v>-16581</v>
      </c>
      <c r="Y43" s="39">
        <f t="shared" si="19"/>
        <v>-31093.53</v>
      </c>
      <c r="Z43" s="61">
        <f t="shared" si="19"/>
        <v>53486</v>
      </c>
      <c r="AA43" s="39">
        <f t="shared" si="19"/>
        <v>428996.82</v>
      </c>
      <c r="AB43" s="61">
        <f t="shared" si="19"/>
        <v>0</v>
      </c>
      <c r="AC43" s="39">
        <f t="shared" si="19"/>
        <v>0</v>
      </c>
      <c r="AD43" s="61">
        <f t="shared" ref="AD43:AI43" si="20">AD42+AD39</f>
        <v>0</v>
      </c>
      <c r="AE43" s="39">
        <f t="shared" si="20"/>
        <v>0</v>
      </c>
      <c r="AF43" s="61">
        <f t="shared" si="20"/>
        <v>-522</v>
      </c>
      <c r="AG43" s="39">
        <f t="shared" si="20"/>
        <v>-1003119.17</v>
      </c>
      <c r="AH43" s="61">
        <f t="shared" si="20"/>
        <v>-10832</v>
      </c>
      <c r="AI43" s="39">
        <f t="shared" si="20"/>
        <v>-62114.53</v>
      </c>
      <c r="AJ43" s="61">
        <f t="shared" ref="AJ43:AO43" si="21">AJ42+AJ39</f>
        <v>-251965</v>
      </c>
      <c r="AK43" s="39">
        <f t="shared" si="21"/>
        <v>-535592.51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>AP42+AP39</f>
        <v>0</v>
      </c>
      <c r="AQ43" s="39">
        <f>AQ42+AQ39</f>
        <v>-404.13</v>
      </c>
      <c r="AR43" s="61">
        <f>AR42+AR39</f>
        <v>0</v>
      </c>
      <c r="AS43" s="39">
        <f>AS42+AS39</f>
        <v>409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2">SUM(F45,H45,J45,L45,N45,P45,R45,T45,V45,X45,Z45,AB45,AD45,AF45,AH45,AJ45,AL45,AN45,AP45,AR45)</f>
        <v>0</v>
      </c>
      <c r="E45" s="38">
        <f t="shared" si="22"/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+Actuals!Y463</f>
        <v>0</v>
      </c>
      <c r="AC45" s="134">
        <f>+Actuals!Z463</f>
        <v>0</v>
      </c>
      <c r="AD45" s="133">
        <f>+Actuals!AA463</f>
        <v>0</v>
      </c>
      <c r="AE45" s="134">
        <f>+Actuals!AB463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  <c r="AJ45" s="133">
        <f>+Actuals!AG463</f>
        <v>0</v>
      </c>
      <c r="AK45" s="134">
        <f>+Actuals!AH463</f>
        <v>0</v>
      </c>
      <c r="AL45" s="133">
        <f>+Actuals!AI463</f>
        <v>0</v>
      </c>
      <c r="AM45" s="134">
        <f>+Actuals!AJ463</f>
        <v>0</v>
      </c>
      <c r="AN45" s="133">
        <f>+Actuals!AK463</f>
        <v>0</v>
      </c>
      <c r="AO45" s="134">
        <f>+Actuals!AL463</f>
        <v>0</v>
      </c>
      <c r="AP45" s="133">
        <f>+Actuals!AM463</f>
        <v>0</v>
      </c>
      <c r="AQ45" s="134">
        <f>+Actuals!AN463</f>
        <v>0</v>
      </c>
      <c r="AR45" s="133">
        <f>+Actuals!AO463</f>
        <v>0</v>
      </c>
      <c r="AS45" s="134">
        <f>+Actuals!AP463</f>
        <v>0</v>
      </c>
    </row>
    <row r="46" spans="1:45" x14ac:dyDescent="0.2">
      <c r="A46" s="9"/>
      <c r="B46" s="11"/>
      <c r="C46" s="6"/>
      <c r="D46" s="60">
        <f t="shared" si="22"/>
        <v>0</v>
      </c>
      <c r="E46" s="38">
        <f t="shared" si="22"/>
        <v>0</v>
      </c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2"/>
        <v>0</v>
      </c>
      <c r="E47" s="38">
        <f t="shared" si="22"/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+Actuals!Y464</f>
        <v>0</v>
      </c>
      <c r="AC47" s="134">
        <f>+Actuals!Z464</f>
        <v>0</v>
      </c>
      <c r="AD47" s="133">
        <f>+Actuals!AA464</f>
        <v>0</v>
      </c>
      <c r="AE47" s="134">
        <f>+Actuals!AB464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  <c r="AJ47" s="133">
        <f>+Actuals!AG464</f>
        <v>0</v>
      </c>
      <c r="AK47" s="134">
        <f>+Actuals!AH464</f>
        <v>0</v>
      </c>
      <c r="AL47" s="133">
        <f>+Actuals!AI464</f>
        <v>0</v>
      </c>
      <c r="AM47" s="134">
        <f>+Actuals!AJ464</f>
        <v>0</v>
      </c>
      <c r="AN47" s="133">
        <f>+Actuals!AK464</f>
        <v>0</v>
      </c>
      <c r="AO47" s="134">
        <f>+Actuals!AL464</f>
        <v>0</v>
      </c>
      <c r="AP47" s="133">
        <f>+Actuals!AM464</f>
        <v>0</v>
      </c>
      <c r="AQ47" s="134">
        <f>+Actuals!AN464</f>
        <v>0</v>
      </c>
      <c r="AR47" s="133">
        <f>+Actuals!AO464</f>
        <v>0</v>
      </c>
      <c r="AS47" s="134">
        <f>+Actuals!AP464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203604</v>
      </c>
      <c r="E49" s="38">
        <f>SUM(G49,I49,K49,M49,O49,Q49,S49,U49,W49,Y49,AA49,AC49,AE49,AG49,AI49,AK49,AM49,AO49,AQ49,AS49)</f>
        <v>313125.39600000007</v>
      </c>
      <c r="F49" s="60">
        <f>'TIE-OUT'!R49+RECLASS!R49</f>
        <v>0</v>
      </c>
      <c r="G49" s="38">
        <f>'TIE-OUT'!S49+RECLASS!S49</f>
        <v>0</v>
      </c>
      <c r="H49" s="133">
        <f>+Actuals!E265</f>
        <v>-17032</v>
      </c>
      <c r="I49" s="134">
        <f>+Actuals!F265</f>
        <v>-26195.216</v>
      </c>
      <c r="J49" s="133">
        <f>+Actuals!G265</f>
        <v>-338674</v>
      </c>
      <c r="K49" s="153">
        <f>+Actuals!H265</f>
        <v>-520880.61199999996</v>
      </c>
      <c r="L49" s="133">
        <f>+Actuals!I265</f>
        <v>45914</v>
      </c>
      <c r="M49" s="134">
        <f>+Actuals!J265</f>
        <v>70615.732000000004</v>
      </c>
      <c r="N49" s="133">
        <f>+Actuals!K265</f>
        <v>89199</v>
      </c>
      <c r="O49" s="134">
        <f>+Actuals!L265</f>
        <v>137188.06200000001</v>
      </c>
      <c r="P49" s="133">
        <f>+Actuals!M265</f>
        <v>72513</v>
      </c>
      <c r="Q49" s="134">
        <f>+Actuals!N265</f>
        <v>111524.99400000001</v>
      </c>
      <c r="R49" s="133">
        <f>+Actuals!O265</f>
        <v>866493</v>
      </c>
      <c r="S49" s="134">
        <f>+Actuals!P265</f>
        <v>1332666.2339999999</v>
      </c>
      <c r="T49" s="133">
        <f>+Actuals!Q265</f>
        <v>-871155</v>
      </c>
      <c r="U49" s="134">
        <f>+Actuals!R265</f>
        <v>-1339836.3899999999</v>
      </c>
      <c r="V49" s="133">
        <f>+Actuals!S265</f>
        <v>-10774</v>
      </c>
      <c r="W49" s="134">
        <f>+Actuals!T265</f>
        <v>-16570.412</v>
      </c>
      <c r="X49" s="133">
        <f>+Actuals!U265</f>
        <v>540660</v>
      </c>
      <c r="Y49" s="134">
        <f>+Actuals!V265</f>
        <v>831535.08</v>
      </c>
      <c r="Z49" s="133">
        <f>+Actuals!W265</f>
        <v>-250628</v>
      </c>
      <c r="AA49" s="134">
        <f>+Actuals!X265</f>
        <v>-385465.864</v>
      </c>
      <c r="AB49" s="133">
        <f>+Actuals!Y465</f>
        <v>236980</v>
      </c>
      <c r="AC49" s="134">
        <f>+Actuals!Z465</f>
        <v>364475.24</v>
      </c>
      <c r="AD49" s="133">
        <f>+Actuals!AA465</f>
        <v>-49716</v>
      </c>
      <c r="AE49" s="134">
        <f>+Actuals!AB465</f>
        <v>-76463.207999999999</v>
      </c>
      <c r="AF49" s="133">
        <f>+Actuals!AC465</f>
        <v>-113331</v>
      </c>
      <c r="AG49" s="134">
        <f>+Actuals!AD465</f>
        <v>-174303.07800000001</v>
      </c>
      <c r="AH49" s="133">
        <f>+Actuals!AE465</f>
        <v>4261</v>
      </c>
      <c r="AI49" s="134">
        <f>+Actuals!AF465</f>
        <v>6553.4179999999997</v>
      </c>
      <c r="AJ49" s="133">
        <f>+Actuals!AG465</f>
        <v>650</v>
      </c>
      <c r="AK49" s="134">
        <f>+Actuals!AH465</f>
        <v>999.7</v>
      </c>
      <c r="AL49" s="133">
        <f>+Actuals!AI465</f>
        <v>577</v>
      </c>
      <c r="AM49" s="134">
        <f>+Actuals!AJ465</f>
        <v>887.42600000000004</v>
      </c>
      <c r="AN49" s="133">
        <v>-1167</v>
      </c>
      <c r="AO49" s="134">
        <v>-1809.05</v>
      </c>
      <c r="AP49" s="133">
        <v>-22783</v>
      </c>
      <c r="AQ49" s="134">
        <v>-35259.78</v>
      </c>
      <c r="AR49" s="133">
        <v>21617</v>
      </c>
      <c r="AS49" s="134">
        <v>33463.120000000003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-2400</v>
      </c>
      <c r="E51" s="38">
        <f>SUM(G51,I51,K51,M51,O51,Q51,S51,U51,W51,Y51,AA51,AC51,AE51,AG51,AI51,AK51,AM51,AO51,AQ51,AS51)</f>
        <v>-3691.55</v>
      </c>
      <c r="F51" s="60">
        <f>'TIE-OUT'!R51+RECLASS!R51</f>
        <v>0</v>
      </c>
      <c r="G51" s="38">
        <f>'TIE-OUT'!S51+RECLASS!S51</f>
        <v>0</v>
      </c>
      <c r="H51" s="133">
        <f>+Actuals!E266</f>
        <v>1904</v>
      </c>
      <c r="I51" s="134">
        <f>+Actuals!F266</f>
        <v>2928</v>
      </c>
      <c r="J51" s="133">
        <f>+Actuals!G266</f>
        <v>-4304</v>
      </c>
      <c r="K51" s="153">
        <f>+Actuals!H266</f>
        <v>-6619.55</v>
      </c>
      <c r="L51" s="133">
        <f>+Actuals!I266</f>
        <v>0</v>
      </c>
      <c r="M51" s="134">
        <f>+Actuals!J266</f>
        <v>0</v>
      </c>
      <c r="N51" s="133">
        <f>+Actuals!K266</f>
        <v>0</v>
      </c>
      <c r="O51" s="134">
        <f>+Actuals!L266</f>
        <v>0</v>
      </c>
      <c r="P51" s="133">
        <f>+Actuals!M266</f>
        <v>0</v>
      </c>
      <c r="Q51" s="134">
        <f>+Actuals!N266</f>
        <v>0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+Actuals!Y466</f>
        <v>0</v>
      </c>
      <c r="AC51" s="134">
        <f>+Actuals!Z466</f>
        <v>0</v>
      </c>
      <c r="AD51" s="133">
        <f>+Actuals!AA466</f>
        <v>0</v>
      </c>
      <c r="AE51" s="134">
        <f>+Actuals!AB466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  <c r="AJ51" s="133">
        <f>+Actuals!AG466</f>
        <v>0</v>
      </c>
      <c r="AK51" s="134">
        <f>+Actuals!AH466</f>
        <v>0</v>
      </c>
      <c r="AL51" s="133">
        <f>+Actuals!AI466</f>
        <v>0</v>
      </c>
      <c r="AM51" s="134">
        <f>+Actuals!AJ466</f>
        <v>0</v>
      </c>
      <c r="AN51" s="133">
        <f>+Actuals!AK466</f>
        <v>0</v>
      </c>
      <c r="AO51" s="134">
        <f>+Actuals!AL466</f>
        <v>0</v>
      </c>
      <c r="AP51" s="133">
        <f>+Actuals!AM466</f>
        <v>0</v>
      </c>
      <c r="AQ51" s="134">
        <f>+Actuals!AN466</f>
        <v>0</v>
      </c>
      <c r="AR51" s="133"/>
      <c r="AS51" s="134"/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19378882</v>
      </c>
      <c r="E54" s="38">
        <f>SUM(G54,I54,K54,M54,O54,Q54,S54,U54,W54,Y54,AA54,AC54,AE54,AG54,AI54,AK54,AM54,AO54,AQ54,AS54)</f>
        <v>145263.55999999997</v>
      </c>
      <c r="F54" s="64">
        <f>'TIE-OUT'!R54+RECLASS!R54</f>
        <v>0</v>
      </c>
      <c r="G54" s="68">
        <f>'TIE-OUT'!S54+RECLASS!S54</f>
        <v>0</v>
      </c>
      <c r="H54" s="133">
        <f>+Actuals!E267</f>
        <v>-32728540</v>
      </c>
      <c r="I54" s="134">
        <f>+Actuals!F267</f>
        <v>-212789.79</v>
      </c>
      <c r="J54" s="133">
        <f>+Actuals!G267</f>
        <v>52687885</v>
      </c>
      <c r="K54" s="153">
        <f>+Actuals!H267</f>
        <v>467752.29</v>
      </c>
      <c r="L54" s="133">
        <f>+Actuals!I267</f>
        <v>-463618</v>
      </c>
      <c r="M54" s="134">
        <f>+Actuals!J267</f>
        <v>-109322.85</v>
      </c>
      <c r="N54" s="133">
        <f>+Actuals!K267</f>
        <v>144367</v>
      </c>
      <c r="O54" s="134">
        <f>+Actuals!L267</f>
        <v>6046.8</v>
      </c>
      <c r="P54" s="133">
        <f>+Actuals!M267</f>
        <v>0</v>
      </c>
      <c r="Q54" s="134">
        <f>+Actuals!N267</f>
        <v>984</v>
      </c>
      <c r="R54" s="133">
        <f>+Actuals!O267</f>
        <v>0</v>
      </c>
      <c r="S54" s="134">
        <f>+Actuals!P267</f>
        <v>0</v>
      </c>
      <c r="T54" s="133">
        <f>+Actuals!Q267</f>
        <v>28062</v>
      </c>
      <c r="U54" s="134">
        <f>+Actuals!R267</f>
        <v>592.48</v>
      </c>
      <c r="V54" s="133">
        <f>+Actuals!S267</f>
        <v>-252477</v>
      </c>
      <c r="W54" s="134">
        <f>+Actuals!T267</f>
        <v>-46.05</v>
      </c>
      <c r="X54" s="133">
        <f>+Actuals!U267</f>
        <v>-61537</v>
      </c>
      <c r="Y54" s="134">
        <f>+Actuals!V267</f>
        <v>90.15</v>
      </c>
      <c r="Z54" s="133">
        <f>+Actuals!W267</f>
        <v>-100678</v>
      </c>
      <c r="AA54" s="134">
        <f>+Actuals!X267</f>
        <v>-35.03</v>
      </c>
      <c r="AB54" s="133">
        <f>+Actuals!Y467</f>
        <v>-6294</v>
      </c>
      <c r="AC54" s="134">
        <f>+Actuals!Z467</f>
        <v>-1258.8</v>
      </c>
      <c r="AD54" s="133">
        <f>+Actuals!AA467</f>
        <v>0</v>
      </c>
      <c r="AE54" s="134">
        <f>+Actuals!AB467</f>
        <v>0</v>
      </c>
      <c r="AF54" s="133">
        <f>+Actuals!AC467</f>
        <v>-55651</v>
      </c>
      <c r="AG54" s="134">
        <f>+Actuals!AD467</f>
        <v>-3793.3</v>
      </c>
      <c r="AH54" s="133">
        <f>+Actuals!AE467</f>
        <v>-57284</v>
      </c>
      <c r="AI54" s="134">
        <f>+Actuals!AF467</f>
        <v>-1193.82</v>
      </c>
      <c r="AJ54" s="133">
        <f>+Actuals!AG467</f>
        <v>1300</v>
      </c>
      <c r="AK54" s="134">
        <f>+Actuals!AH467</f>
        <v>-367.95</v>
      </c>
      <c r="AL54" s="133">
        <f>+Actuals!AI467</f>
        <v>232813</v>
      </c>
      <c r="AM54" s="134">
        <f>+Actuals!AJ467</f>
        <v>-1414.84</v>
      </c>
      <c r="AN54" s="133">
        <f>+Actuals!AK467</f>
        <v>0</v>
      </c>
      <c r="AO54" s="134">
        <v>743.08</v>
      </c>
      <c r="AP54" s="133">
        <v>7756</v>
      </c>
      <c r="AQ54" s="134">
        <v>-733.46</v>
      </c>
      <c r="AR54" s="133">
        <f>1154+1624</f>
        <v>2778</v>
      </c>
      <c r="AS54" s="134">
        <v>10.65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-3994966</v>
      </c>
      <c r="E55" s="38">
        <f>SUM(G55,I55,K55,M55,O55,Q55,S55,U55,W55,Y55,AA55,AC55,AE55,AG55,AI55,AK55,AM55,AO55,AQ55,AS55)</f>
        <v>-106961.81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+Actuals!O268-3992658</f>
        <v>-3992658</v>
      </c>
      <c r="S55" s="134">
        <f>+Actuals!P268-109928</f>
        <v>-109928</v>
      </c>
      <c r="T55" s="133">
        <f>+Actuals!Q268</f>
        <v>0</v>
      </c>
      <c r="U55" s="134">
        <f>+Actuals!R268</f>
        <v>0</v>
      </c>
      <c r="V55" s="133">
        <f>+Actuals!S268</f>
        <v>0</v>
      </c>
      <c r="W55" s="134">
        <f>+Actuals!T268</f>
        <v>0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+Actuals!Y468</f>
        <v>0</v>
      </c>
      <c r="AC55" s="134">
        <f>+Actuals!Z468</f>
        <v>0</v>
      </c>
      <c r="AD55" s="133">
        <f>+Actuals!AA468</f>
        <v>0</v>
      </c>
      <c r="AE55" s="134">
        <f>+Actuals!AB468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  <c r="AJ55" s="133">
        <f>+Actuals!AG468</f>
        <v>0</v>
      </c>
      <c r="AK55" s="134">
        <f>+Actuals!AH468</f>
        <v>0</v>
      </c>
      <c r="AL55" s="133">
        <f>+Actuals!AI468</f>
        <v>0</v>
      </c>
      <c r="AM55" s="134">
        <f>+Actuals!AJ468</f>
        <v>0</v>
      </c>
      <c r="AN55" s="133">
        <f>+Actuals!AK468</f>
        <v>0</v>
      </c>
      <c r="AO55" s="134">
        <v>2998.89</v>
      </c>
      <c r="AP55" s="133">
        <v>-1154</v>
      </c>
      <c r="AQ55" s="134">
        <v>-57.68</v>
      </c>
      <c r="AR55" s="133">
        <v>-1154</v>
      </c>
      <c r="AS55" s="134">
        <v>24.98</v>
      </c>
    </row>
    <row r="56" spans="1:45" x14ac:dyDescent="0.2">
      <c r="A56" s="9"/>
      <c r="B56" s="7" t="s">
        <v>61</v>
      </c>
      <c r="C56" s="6"/>
      <c r="D56" s="61">
        <f t="shared" ref="D56:AC56" si="23">SUM(D54:D55)</f>
        <v>15383916</v>
      </c>
      <c r="E56" s="39">
        <f t="shared" si="23"/>
        <v>38301.749999999971</v>
      </c>
      <c r="F56" s="61">
        <f t="shared" si="23"/>
        <v>0</v>
      </c>
      <c r="G56" s="39">
        <f t="shared" si="23"/>
        <v>0</v>
      </c>
      <c r="H56" s="61">
        <f t="shared" si="23"/>
        <v>-32728540</v>
      </c>
      <c r="I56" s="39">
        <f t="shared" si="23"/>
        <v>-212789.79</v>
      </c>
      <c r="J56" s="61">
        <f t="shared" si="23"/>
        <v>52687885</v>
      </c>
      <c r="K56" s="154">
        <f t="shared" si="23"/>
        <v>467752.29</v>
      </c>
      <c r="L56" s="61">
        <f t="shared" si="23"/>
        <v>-463618</v>
      </c>
      <c r="M56" s="39">
        <f t="shared" si="23"/>
        <v>-109322.85</v>
      </c>
      <c r="N56" s="61">
        <f t="shared" si="23"/>
        <v>144367</v>
      </c>
      <c r="O56" s="39">
        <f t="shared" si="23"/>
        <v>6046.8</v>
      </c>
      <c r="P56" s="61">
        <f t="shared" si="23"/>
        <v>0</v>
      </c>
      <c r="Q56" s="39">
        <f t="shared" si="23"/>
        <v>984</v>
      </c>
      <c r="R56" s="61">
        <f t="shared" si="23"/>
        <v>-3992658</v>
      </c>
      <c r="S56" s="39">
        <f t="shared" si="23"/>
        <v>-109928</v>
      </c>
      <c r="T56" s="61">
        <f t="shared" si="23"/>
        <v>28062</v>
      </c>
      <c r="U56" s="39">
        <f t="shared" si="23"/>
        <v>592.48</v>
      </c>
      <c r="V56" s="61">
        <f t="shared" si="23"/>
        <v>-252477</v>
      </c>
      <c r="W56" s="39">
        <f t="shared" si="23"/>
        <v>-46.05</v>
      </c>
      <c r="X56" s="61">
        <f t="shared" si="23"/>
        <v>-61537</v>
      </c>
      <c r="Y56" s="39">
        <f t="shared" si="23"/>
        <v>90.15</v>
      </c>
      <c r="Z56" s="61">
        <f t="shared" si="23"/>
        <v>-100678</v>
      </c>
      <c r="AA56" s="39">
        <f t="shared" si="23"/>
        <v>-35.03</v>
      </c>
      <c r="AB56" s="61">
        <f t="shared" si="23"/>
        <v>-6294</v>
      </c>
      <c r="AC56" s="39">
        <f t="shared" si="23"/>
        <v>-1258.8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-55651</v>
      </c>
      <c r="AG56" s="39">
        <f t="shared" si="24"/>
        <v>-3793.3</v>
      </c>
      <c r="AH56" s="61">
        <f t="shared" si="24"/>
        <v>-57284</v>
      </c>
      <c r="AI56" s="39">
        <f t="shared" si="24"/>
        <v>-1193.82</v>
      </c>
      <c r="AJ56" s="61">
        <f t="shared" ref="AJ56:AO56" si="25">SUM(AJ54:AJ55)</f>
        <v>1300</v>
      </c>
      <c r="AK56" s="39">
        <f t="shared" si="25"/>
        <v>-367.95</v>
      </c>
      <c r="AL56" s="61">
        <f t="shared" si="25"/>
        <v>232813</v>
      </c>
      <c r="AM56" s="39">
        <f t="shared" si="25"/>
        <v>-1414.84</v>
      </c>
      <c r="AN56" s="61">
        <f t="shared" si="25"/>
        <v>0</v>
      </c>
      <c r="AO56" s="39">
        <f t="shared" si="25"/>
        <v>3741.97</v>
      </c>
      <c r="AP56" s="61">
        <f>SUM(AP54:AP55)</f>
        <v>6602</v>
      </c>
      <c r="AQ56" s="39">
        <f>SUM(AQ54:AQ55)</f>
        <v>-791.14</v>
      </c>
      <c r="AR56" s="61">
        <f>SUM(AR54:AR55)</f>
        <v>1624</v>
      </c>
      <c r="AS56" s="39">
        <f>SUM(AS54:AS55)</f>
        <v>35.630000000000003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35269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35000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200</v>
      </c>
      <c r="T59" s="133">
        <f>+Actuals!Q269</f>
        <v>0</v>
      </c>
      <c r="U59" s="134">
        <f>+Actuals!R269</f>
        <v>0</v>
      </c>
      <c r="V59" s="133">
        <f>+Actuals!S269</f>
        <v>0</v>
      </c>
      <c r="W59" s="134">
        <f>+Actuals!T269</f>
        <v>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269</v>
      </c>
      <c r="AB59" s="133">
        <f>+Actuals!Y469</f>
        <v>0</v>
      </c>
      <c r="AC59" s="134">
        <f>+Actuals!Z469</f>
        <v>-200</v>
      </c>
      <c r="AD59" s="133">
        <f>+Actuals!AA469</f>
        <v>0</v>
      </c>
      <c r="AE59" s="134">
        <f>+Actuals!AB469</f>
        <v>0</v>
      </c>
      <c r="AF59" s="133">
        <f>+Actuals!AC469</f>
        <v>0</v>
      </c>
      <c r="AG59" s="134">
        <f>+Actuals!AD469</f>
        <v>0</v>
      </c>
      <c r="AH59" s="133">
        <f>+Actuals!AE469</f>
        <v>0</v>
      </c>
      <c r="AI59" s="134">
        <f>+Actuals!AF469</f>
        <v>0</v>
      </c>
      <c r="AJ59" s="133">
        <f>+Actuals!AG469</f>
        <v>0</v>
      </c>
      <c r="AK59" s="134">
        <f>+Actuals!AH469</f>
        <v>0</v>
      </c>
      <c r="AL59" s="133">
        <f>+Actuals!AI469</f>
        <v>0</v>
      </c>
      <c r="AM59" s="134">
        <f>+Actuals!AJ469</f>
        <v>0</v>
      </c>
      <c r="AN59" s="133">
        <f>+Actuals!AK469</f>
        <v>0</v>
      </c>
      <c r="AO59" s="134">
        <f>+Actuals!AL469</f>
        <v>0</v>
      </c>
      <c r="AP59" s="133">
        <f>+Actuals!AM469</f>
        <v>0</v>
      </c>
      <c r="AQ59" s="134">
        <f>+Actuals!AN469</f>
        <v>0</v>
      </c>
      <c r="AR59" s="133">
        <f>+Actuals!AO469</f>
        <v>0</v>
      </c>
      <c r="AS59" s="134">
        <f>+Actuals!AP469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+Actuals!Y470</f>
        <v>0</v>
      </c>
      <c r="AC60" s="134">
        <f>+Actuals!Z470</f>
        <v>0</v>
      </c>
      <c r="AD60" s="133">
        <f>+Actuals!AA470</f>
        <v>0</v>
      </c>
      <c r="AE60" s="134">
        <f>+Actuals!AB470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  <c r="AJ60" s="133">
        <f>+Actuals!AG470</f>
        <v>0</v>
      </c>
      <c r="AK60" s="134">
        <f>+Actuals!AH470</f>
        <v>0</v>
      </c>
      <c r="AL60" s="133">
        <f>+Actuals!AI470</f>
        <v>0</v>
      </c>
      <c r="AM60" s="134">
        <f>+Actuals!AJ470</f>
        <v>0</v>
      </c>
      <c r="AN60" s="133">
        <f>+Actuals!AK470</f>
        <v>0</v>
      </c>
      <c r="AO60" s="134">
        <f>+Actuals!AL470</f>
        <v>0</v>
      </c>
      <c r="AP60" s="133">
        <f>+Actuals!AM470</f>
        <v>0</v>
      </c>
      <c r="AQ60" s="134">
        <f>+Actuals!AN470</f>
        <v>0</v>
      </c>
      <c r="AR60" s="133">
        <f>+Actuals!AO470</f>
        <v>0</v>
      </c>
      <c r="AS60" s="134">
        <f>+Actuals!AP470</f>
        <v>0</v>
      </c>
    </row>
    <row r="61" spans="1:45" x14ac:dyDescent="0.2">
      <c r="A61" s="9"/>
      <c r="B61" s="62" t="s">
        <v>65</v>
      </c>
      <c r="C61" s="6"/>
      <c r="D61" s="61">
        <f t="shared" ref="D61:AC61" si="26">SUM(D59:D60)</f>
        <v>0</v>
      </c>
      <c r="E61" s="39">
        <f t="shared" si="26"/>
        <v>35269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35000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200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269</v>
      </c>
      <c r="AB61" s="61">
        <f t="shared" si="26"/>
        <v>0</v>
      </c>
      <c r="AC61" s="39">
        <f t="shared" si="26"/>
        <v>-200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ref="AJ61:AO61" si="28">SUM(AJ59:AJ60)</f>
        <v>0</v>
      </c>
      <c r="AK61" s="39">
        <f t="shared" si="28"/>
        <v>0</v>
      </c>
      <c r="AL61" s="61">
        <f t="shared" si="28"/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SUM(F63,H63,J63,L63,N63,P63,R63,T63,V63,X63,Z63,AB63,AD63,AF63,AH63,AJ63,AL63,AN63,AP63,AR63)</f>
        <v>0</v>
      </c>
      <c r="E63" s="38">
        <f t="shared" si="29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29"/>
        <v>-50877594</v>
      </c>
      <c r="E64" s="38">
        <f t="shared" si="29"/>
        <v>-700194.27</v>
      </c>
      <c r="F64" s="64">
        <f>'TIE-OUT'!R64+RECLASS!R64</f>
        <v>0</v>
      </c>
      <c r="G64" s="68">
        <f>'TIE-OUT'!S64+RECLASS!S64</f>
        <v>93300</v>
      </c>
      <c r="H64" s="133">
        <f>+Actuals!E271</f>
        <v>-21189895</v>
      </c>
      <c r="I64" s="134">
        <f>+Actuals!F271</f>
        <v>-379643.33</v>
      </c>
      <c r="J64" s="133">
        <f>+Actuals!G271</f>
        <v>-29365243</v>
      </c>
      <c r="K64" s="153">
        <f>+Actuals!H271</f>
        <v>-417596.08</v>
      </c>
      <c r="L64" s="133">
        <f>+Actuals!I271</f>
        <v>96468</v>
      </c>
      <c r="M64" s="134">
        <f>+Actuals!J271</f>
        <v>-64382.45</v>
      </c>
      <c r="N64" s="133">
        <f>+Actuals!K271</f>
        <v>-526396</v>
      </c>
      <c r="O64" s="134">
        <f>+Actuals!L271</f>
        <v>-501.04</v>
      </c>
      <c r="P64" s="133">
        <f>+Actuals!M271</f>
        <v>-75490</v>
      </c>
      <c r="Q64" s="134">
        <f>+Actuals!N271</f>
        <v>39</v>
      </c>
      <c r="R64" s="133">
        <f>+Actuals!O271</f>
        <v>12037</v>
      </c>
      <c r="S64" s="134">
        <f>+Actuals!P271</f>
        <v>68589</v>
      </c>
      <c r="T64" s="133">
        <f>+Actuals!Q271</f>
        <v>175973</v>
      </c>
      <c r="U64" s="134">
        <f>+Actuals!R271</f>
        <v>2.4700000000000002</v>
      </c>
      <c r="V64" s="133">
        <f>+Actuals!S271</f>
        <v>-5048</v>
      </c>
      <c r="W64" s="134">
        <f>+Actuals!T271</f>
        <v>0</v>
      </c>
      <c r="X64" s="133">
        <f>+Actuals!U271</f>
        <v>0</v>
      </c>
      <c r="Y64" s="134">
        <f>+Actuals!V271</f>
        <v>0</v>
      </c>
      <c r="Z64" s="133">
        <f>+Actuals!W271</f>
        <v>0</v>
      </c>
      <c r="AA64" s="134">
        <f>+Actuals!X271</f>
        <v>0</v>
      </c>
      <c r="AB64" s="133">
        <f>+Actuals!Y471</f>
        <v>0</v>
      </c>
      <c r="AC64" s="134">
        <f>+Actuals!Z471</f>
        <v>0</v>
      </c>
      <c r="AD64" s="133">
        <f>+Actuals!AA471</f>
        <v>0</v>
      </c>
      <c r="AE64" s="134">
        <f>+Actuals!AB471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  <c r="AJ64" s="133">
        <f>+Actuals!AG471</f>
        <v>0</v>
      </c>
      <c r="AK64" s="134">
        <f>+Actuals!AH471</f>
        <v>-1.84</v>
      </c>
      <c r="AL64" s="133">
        <f>+Actuals!AI471</f>
        <v>0</v>
      </c>
      <c r="AM64" s="134">
        <f>+Actuals!AJ471</f>
        <v>0</v>
      </c>
      <c r="AN64" s="133">
        <f>+Actuals!AK471</f>
        <v>0</v>
      </c>
      <c r="AO64" s="134">
        <f>+Actuals!AL471</f>
        <v>0</v>
      </c>
      <c r="AP64" s="133">
        <f>+Actuals!AM471</f>
        <v>0</v>
      </c>
      <c r="AQ64" s="134">
        <f>+Actuals!AN471</f>
        <v>0</v>
      </c>
      <c r="AR64" s="133">
        <f>+Actuals!AO471</f>
        <v>0</v>
      </c>
      <c r="AS64" s="134">
        <f>+Actuals!AP471</f>
        <v>0</v>
      </c>
    </row>
    <row r="65" spans="1:45" x14ac:dyDescent="0.2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458951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72">
        <f>+Actuals!J272+5948+30000+603-66087+487976</f>
        <v>458440</v>
      </c>
      <c r="N65" s="133">
        <f>+Actuals!K272</f>
        <v>0</v>
      </c>
      <c r="O65" s="165">
        <f>+Actuals!L272+501</f>
        <v>501</v>
      </c>
      <c r="P65" s="133">
        <f>+Actuals!M272</f>
        <v>0</v>
      </c>
      <c r="Q65" s="134">
        <f>+Actuals!N272</f>
        <v>0</v>
      </c>
      <c r="R65" s="133">
        <f>+Actuals!O272</f>
        <v>0</v>
      </c>
      <c r="S65" s="165">
        <f>+Actuals!P272-39</f>
        <v>-39</v>
      </c>
      <c r="T65" s="133">
        <f>+Actuals!Q272</f>
        <v>0</v>
      </c>
      <c r="U65" s="165">
        <f>+Actuals!R272-592</f>
        <v>-592</v>
      </c>
      <c r="V65" s="133">
        <f>+Actuals!S272</f>
        <v>0</v>
      </c>
      <c r="W65" s="134">
        <f>+Actuals!T272</f>
        <v>0</v>
      </c>
      <c r="X65" s="133">
        <f>+Actuals!U272</f>
        <v>0</v>
      </c>
      <c r="Y65" s="134">
        <f>240+401</f>
        <v>641</v>
      </c>
      <c r="Z65" s="133">
        <f>+Actuals!W272</f>
        <v>0</v>
      </c>
      <c r="AA65" s="134">
        <f>+Actuals!X272</f>
        <v>0</v>
      </c>
      <c r="AB65" s="133">
        <f>+Actuals!Y472</f>
        <v>0</v>
      </c>
      <c r="AC65" s="134">
        <f>+Actuals!Z472</f>
        <v>0</v>
      </c>
      <c r="AD65" s="133">
        <f>+Actuals!AA472</f>
        <v>0</v>
      </c>
      <c r="AE65" s="134">
        <f>+Actuals!AB472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  <c r="AJ65" s="133">
        <f>+Actuals!AG472</f>
        <v>0</v>
      </c>
      <c r="AK65" s="134">
        <f>+Actuals!AH472</f>
        <v>0</v>
      </c>
      <c r="AL65" s="133">
        <f>+Actuals!AI472</f>
        <v>0</v>
      </c>
      <c r="AM65" s="134">
        <f>+Actuals!AJ472</f>
        <v>0</v>
      </c>
      <c r="AN65" s="133">
        <f>+Actuals!AK472</f>
        <v>0</v>
      </c>
      <c r="AO65" s="134">
        <f>+Actuals!AL472</f>
        <v>0</v>
      </c>
      <c r="AP65" s="133">
        <f>+Actuals!AM472</f>
        <v>0</v>
      </c>
      <c r="AQ65" s="134">
        <f>+Actuals!AN472</f>
        <v>0</v>
      </c>
      <c r="AR65" s="133">
        <f>+Actuals!AO472</f>
        <v>0</v>
      </c>
      <c r="AS65" s="134">
        <f>+Actuals!AP472</f>
        <v>0</v>
      </c>
    </row>
    <row r="66" spans="1:45" x14ac:dyDescent="0.2">
      <c r="A66" s="9"/>
      <c r="B66" s="7" t="s">
        <v>68</v>
      </c>
      <c r="C66" s="6"/>
      <c r="D66" s="61">
        <f t="shared" ref="D66:AC66" si="30">SUM(D64:D65)</f>
        <v>-50877594</v>
      </c>
      <c r="E66" s="39">
        <f t="shared" si="30"/>
        <v>-241243.27000000002</v>
      </c>
      <c r="F66" s="61">
        <f t="shared" si="30"/>
        <v>0</v>
      </c>
      <c r="G66" s="39">
        <f t="shared" si="30"/>
        <v>93300</v>
      </c>
      <c r="H66" s="61">
        <f t="shared" si="30"/>
        <v>-21189895</v>
      </c>
      <c r="I66" s="39">
        <f t="shared" si="30"/>
        <v>-379643.33</v>
      </c>
      <c r="J66" s="61">
        <f t="shared" si="30"/>
        <v>-29365243</v>
      </c>
      <c r="K66" s="154">
        <f t="shared" si="30"/>
        <v>-417596.08</v>
      </c>
      <c r="L66" s="61">
        <f t="shared" si="30"/>
        <v>96468</v>
      </c>
      <c r="M66" s="39">
        <f t="shared" si="30"/>
        <v>394057.55</v>
      </c>
      <c r="N66" s="61">
        <f t="shared" si="30"/>
        <v>-526396</v>
      </c>
      <c r="O66" s="39">
        <f t="shared" si="30"/>
        <v>-4.0000000000020464E-2</v>
      </c>
      <c r="P66" s="61">
        <f t="shared" si="30"/>
        <v>-75490</v>
      </c>
      <c r="Q66" s="39">
        <f t="shared" si="30"/>
        <v>39</v>
      </c>
      <c r="R66" s="61">
        <f t="shared" si="30"/>
        <v>12037</v>
      </c>
      <c r="S66" s="39">
        <f t="shared" si="30"/>
        <v>68550</v>
      </c>
      <c r="T66" s="61">
        <f t="shared" si="30"/>
        <v>175973</v>
      </c>
      <c r="U66" s="39">
        <f t="shared" si="30"/>
        <v>-589.53</v>
      </c>
      <c r="V66" s="61">
        <f t="shared" si="30"/>
        <v>-5048</v>
      </c>
      <c r="W66" s="39">
        <f t="shared" si="30"/>
        <v>0</v>
      </c>
      <c r="X66" s="61">
        <f t="shared" si="30"/>
        <v>0</v>
      </c>
      <c r="Y66" s="39">
        <f t="shared" si="30"/>
        <v>641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ref="AD66:AI66" si="31">SUM(AD64:AD65)</f>
        <v>0</v>
      </c>
      <c r="AE66" s="39">
        <f t="shared" si="31"/>
        <v>0</v>
      </c>
      <c r="AF66" s="61">
        <f t="shared" si="31"/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ref="AJ66:AO66" si="32">SUM(AJ64:AJ65)</f>
        <v>0</v>
      </c>
      <c r="AK66" s="39">
        <f t="shared" si="32"/>
        <v>-1.84</v>
      </c>
      <c r="AL66" s="61">
        <f t="shared" si="32"/>
        <v>0</v>
      </c>
      <c r="AM66" s="39">
        <f t="shared" si="32"/>
        <v>0</v>
      </c>
      <c r="AN66" s="61">
        <f t="shared" si="32"/>
        <v>0</v>
      </c>
      <c r="AO66" s="39">
        <f t="shared" si="32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162385.08000000007</v>
      </c>
      <c r="F70" s="64">
        <f>'TIE-OUT'!R70+RECLASS!R70</f>
        <v>0</v>
      </c>
      <c r="G70" s="68">
        <f>'TIE-OUT'!S70+RECLASS!S70</f>
        <v>162385.08000000007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+Actuals!Y473</f>
        <v>0</v>
      </c>
      <c r="AC70" s="134">
        <f>+Actuals!Z473</f>
        <v>0</v>
      </c>
      <c r="AD70" s="133">
        <f>+Actuals!AA473</f>
        <v>0</v>
      </c>
      <c r="AE70" s="134">
        <f>+Actuals!AB473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  <c r="AJ70" s="133">
        <f>+Actuals!AG473</f>
        <v>0</v>
      </c>
      <c r="AK70" s="134">
        <f>+Actuals!AH473</f>
        <v>0</v>
      </c>
      <c r="AL70" s="133">
        <f>+Actuals!AI473</f>
        <v>0</v>
      </c>
      <c r="AM70" s="134">
        <f>+Actuals!AJ473</f>
        <v>0</v>
      </c>
      <c r="AN70" s="133">
        <f>+Actuals!AK473</f>
        <v>0</v>
      </c>
      <c r="AO70" s="134">
        <f>+Actuals!AL473</f>
        <v>0</v>
      </c>
      <c r="AP70" s="133">
        <f>+Actuals!AM473</f>
        <v>0</v>
      </c>
      <c r="AQ70" s="134">
        <f>+Actuals!AN473</f>
        <v>0</v>
      </c>
      <c r="AR70" s="133">
        <f>+Actuals!AO473</f>
        <v>0</v>
      </c>
      <c r="AS70" s="134">
        <f>+Actuals!AP473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+Actuals!Y474</f>
        <v>0</v>
      </c>
      <c r="AC71" s="134">
        <f>+Actuals!Z474</f>
        <v>0</v>
      </c>
      <c r="AD71" s="133">
        <f>+Actuals!AA474</f>
        <v>0</v>
      </c>
      <c r="AE71" s="134">
        <f>+Actuals!AB474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  <c r="AJ71" s="133">
        <f>+Actuals!AG474</f>
        <v>0</v>
      </c>
      <c r="AK71" s="134">
        <f>+Actuals!AH474</f>
        <v>0</v>
      </c>
      <c r="AL71" s="133">
        <f>+Actuals!AI474</f>
        <v>0</v>
      </c>
      <c r="AM71" s="134">
        <f>+Actuals!AJ474</f>
        <v>0</v>
      </c>
      <c r="AN71" s="133">
        <f>+Actuals!AK474</f>
        <v>0</v>
      </c>
      <c r="AO71" s="134">
        <f>+Actuals!AL474</f>
        <v>0</v>
      </c>
      <c r="AP71" s="133">
        <f>+Actuals!AM474</f>
        <v>0</v>
      </c>
      <c r="AQ71" s="134">
        <f>+Actuals!AN474</f>
        <v>0</v>
      </c>
      <c r="AR71" s="133">
        <f>+Actuals!AO474</f>
        <v>0</v>
      </c>
      <c r="AS71" s="134">
        <f>+Actuals!AP474</f>
        <v>0</v>
      </c>
    </row>
    <row r="72" spans="1:45" x14ac:dyDescent="0.2">
      <c r="A72" s="9"/>
      <c r="B72" s="3"/>
      <c r="C72" s="55" t="s">
        <v>73</v>
      </c>
      <c r="D72" s="61">
        <f t="shared" ref="D72:AC72" si="33">SUM(D70:D71)</f>
        <v>0</v>
      </c>
      <c r="E72" s="39">
        <f t="shared" si="33"/>
        <v>162385.08000000007</v>
      </c>
      <c r="F72" s="61">
        <f t="shared" si="33"/>
        <v>0</v>
      </c>
      <c r="G72" s="39">
        <f t="shared" si="33"/>
        <v>162385.08000000007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154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ref="AD72:AI72" si="34">SUM(AD70:AD71)</f>
        <v>0</v>
      </c>
      <c r="AE72" s="39">
        <f t="shared" si="34"/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ref="AJ72:AO72" si="35">SUM(AJ70:AJ71)</f>
        <v>0</v>
      </c>
      <c r="AK72" s="39">
        <f t="shared" si="35"/>
        <v>0</v>
      </c>
      <c r="AL72" s="61">
        <f t="shared" si="35"/>
        <v>0</v>
      </c>
      <c r="AM72" s="39">
        <f t="shared" si="35"/>
        <v>0</v>
      </c>
      <c r="AN72" s="61">
        <f t="shared" si="35"/>
        <v>0</v>
      </c>
      <c r="AO72" s="39">
        <f t="shared" si="3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SUM(F73,H73,J73,L73,N73,P73,R73,T73,V73,X73,Z73,AB73,AD73,AF73,AH73,AJ73,AL73,AN73,AP73,AR73)</f>
        <v>0</v>
      </c>
      <c r="E73" s="38">
        <f t="shared" ref="E73:E81" si="37">SUM(G73,I73,K73,M73,O73,Q73,S73,U73,W73,Y73,AA73,AC73,AE73,AG73,AI73,AK73,AM73,AO73,AQ73,AS73)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+Actuals!Y475</f>
        <v>0</v>
      </c>
      <c r="AC73" s="134">
        <f>+Actuals!Z475</f>
        <v>0</v>
      </c>
      <c r="AD73" s="133">
        <f>+Actuals!AA475</f>
        <v>0</v>
      </c>
      <c r="AE73" s="134">
        <f>+Actuals!AB475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  <c r="AJ73" s="133">
        <f>+Actuals!AG475</f>
        <v>0</v>
      </c>
      <c r="AK73" s="134">
        <f>+Actuals!AH475</f>
        <v>0</v>
      </c>
      <c r="AL73" s="133">
        <f>+Actuals!AI475</f>
        <v>0</v>
      </c>
      <c r="AM73" s="134">
        <f>+Actuals!AJ475</f>
        <v>0</v>
      </c>
      <c r="AN73" s="133">
        <f>+Actuals!AK475</f>
        <v>0</v>
      </c>
      <c r="AO73" s="134">
        <f>+Actuals!AL475</f>
        <v>0</v>
      </c>
      <c r="AP73" s="133">
        <f>+Actuals!AM475</f>
        <v>0</v>
      </c>
      <c r="AQ73" s="134">
        <f>+Actuals!AN475</f>
        <v>0</v>
      </c>
      <c r="AR73" s="133">
        <f>+Actuals!AO475</f>
        <v>0</v>
      </c>
      <c r="AS73" s="134">
        <f>+Actuals!AP475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-595931</v>
      </c>
      <c r="F74" s="60">
        <f>'TIE-OUT'!R74+RECLASS!R74</f>
        <v>0</v>
      </c>
      <c r="G74" s="60">
        <f>'TIE-OUT'!S74+RECLASS!S74</f>
        <v>-499485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</f>
        <v>0</v>
      </c>
      <c r="L74" s="133">
        <f>+Actuals!I276</f>
        <v>0</v>
      </c>
      <c r="M74" s="172">
        <f>+Actuals!J276+3192818-4881103</f>
        <v>-1688285</v>
      </c>
      <c r="N74" s="133">
        <f>+Actuals!K276</f>
        <v>0</v>
      </c>
      <c r="O74" s="134">
        <f>+Actuals!L276</f>
        <v>0</v>
      </c>
      <c r="P74" s="133">
        <f>+Actuals!M276</f>
        <v>0</v>
      </c>
      <c r="Q74" s="134">
        <f>+Actuals!N276</f>
        <v>0</v>
      </c>
      <c r="R74" s="133">
        <f>+Actuals!O276</f>
        <v>0</v>
      </c>
      <c r="S74" s="165">
        <v>1591839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+Actuals!Y476</f>
        <v>0</v>
      </c>
      <c r="AC74" s="134">
        <f>+Actuals!Z476</f>
        <v>0</v>
      </c>
      <c r="AD74" s="133">
        <f>+Actuals!AA476</f>
        <v>0</v>
      </c>
      <c r="AE74" s="134">
        <f>+Actuals!AB476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  <c r="AJ74" s="133">
        <f>+Actuals!AG476</f>
        <v>0</v>
      </c>
      <c r="AK74" s="134">
        <f>+Actuals!AH476</f>
        <v>0</v>
      </c>
      <c r="AL74" s="133">
        <f>+Actuals!AI476</f>
        <v>0</v>
      </c>
      <c r="AM74" s="134">
        <f>+Actuals!AJ476</f>
        <v>0</v>
      </c>
      <c r="AN74" s="133">
        <f>+Actuals!AK476</f>
        <v>0</v>
      </c>
      <c r="AO74" s="134">
        <f>+Actuals!AL476</f>
        <v>0</v>
      </c>
      <c r="AP74" s="133">
        <f>+Actuals!AM476</f>
        <v>0</v>
      </c>
      <c r="AQ74" s="134">
        <f>+Actuals!AN476</f>
        <v>0</v>
      </c>
      <c r="AR74" s="133">
        <f>+Actuals!AO476</f>
        <v>0</v>
      </c>
      <c r="AS74" s="134">
        <f>+Actuals!AP476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1777100</v>
      </c>
      <c r="F75" s="60">
        <f>'TIE-OUT'!R75+RECLASS!R75</f>
        <v>0</v>
      </c>
      <c r="G75" s="60">
        <f>'TIE-OUT'!S75+RECLASS!S75</f>
        <v>1777100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+Actuals!Y477</f>
        <v>0</v>
      </c>
      <c r="AC75" s="134">
        <f>+Actuals!Z477</f>
        <v>0</v>
      </c>
      <c r="AD75" s="133">
        <f>+Actuals!AA477</f>
        <v>0</v>
      </c>
      <c r="AE75" s="134">
        <f>+Actuals!AB477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  <c r="AJ75" s="133">
        <f>+Actuals!AG477</f>
        <v>0</v>
      </c>
      <c r="AK75" s="134">
        <f>+Actuals!AH477</f>
        <v>0</v>
      </c>
      <c r="AL75" s="133">
        <f>+Actuals!AI477</f>
        <v>0</v>
      </c>
      <c r="AM75" s="134">
        <f>+Actuals!AJ477</f>
        <v>0</v>
      </c>
      <c r="AN75" s="133">
        <f>+Actuals!AK477</f>
        <v>0</v>
      </c>
      <c r="AO75" s="134">
        <f>+Actuals!AL477</f>
        <v>0</v>
      </c>
      <c r="AP75" s="133">
        <f>+Actuals!AM477</f>
        <v>0</v>
      </c>
      <c r="AQ75" s="134">
        <f>+Actuals!AN477</f>
        <v>0</v>
      </c>
      <c r="AR75" s="133">
        <f>+Actuals!AO477</f>
        <v>0</v>
      </c>
      <c r="AS75" s="134">
        <f>+Actuals!AP477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-7855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-7855</v>
      </c>
      <c r="J76" s="133">
        <f>+Actuals!G278</f>
        <v>0</v>
      </c>
      <c r="K76" s="153">
        <f>+Actuals!H278</f>
        <v>0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+Actuals!Y478</f>
        <v>0</v>
      </c>
      <c r="AC76" s="134">
        <f>+Actuals!Z478</f>
        <v>0</v>
      </c>
      <c r="AD76" s="133">
        <f>+Actuals!AA478</f>
        <v>0</v>
      </c>
      <c r="AE76" s="134">
        <f>+Actuals!AB478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  <c r="AJ76" s="133">
        <f>+Actuals!AG478</f>
        <v>0</v>
      </c>
      <c r="AK76" s="134">
        <f>+Actuals!AH478</f>
        <v>0</v>
      </c>
      <c r="AL76" s="133">
        <f>+Actuals!AI478</f>
        <v>0</v>
      </c>
      <c r="AM76" s="134">
        <f>+Actuals!AJ478</f>
        <v>0</v>
      </c>
      <c r="AN76" s="133">
        <f>+Actuals!AK478</f>
        <v>0</v>
      </c>
      <c r="AO76" s="134">
        <f>+Actuals!AL478</f>
        <v>0</v>
      </c>
      <c r="AP76" s="133">
        <f>+Actuals!AM478</f>
        <v>0</v>
      </c>
      <c r="AQ76" s="134">
        <f>+Actuals!AN478</f>
        <v>0</v>
      </c>
      <c r="AR76" s="133">
        <f>+Actuals!AO478</f>
        <v>0</v>
      </c>
      <c r="AS76" s="134">
        <f>+Actuals!AP478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+Actuals!Y479</f>
        <v>0</v>
      </c>
      <c r="AC77" s="134">
        <f>+Actuals!Z479</f>
        <v>0</v>
      </c>
      <c r="AD77" s="133">
        <f>+Actuals!AA479</f>
        <v>0</v>
      </c>
      <c r="AE77" s="134">
        <f>+Actuals!AB479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  <c r="AJ77" s="133">
        <f>+Actuals!AG479</f>
        <v>0</v>
      </c>
      <c r="AK77" s="134">
        <f>+Actuals!AH479</f>
        <v>0</v>
      </c>
      <c r="AL77" s="133">
        <f>+Actuals!AI479</f>
        <v>0</v>
      </c>
      <c r="AM77" s="134">
        <f>+Actuals!AJ479</f>
        <v>0</v>
      </c>
      <c r="AN77" s="133">
        <f>+Actuals!AK479</f>
        <v>0</v>
      </c>
      <c r="AO77" s="134">
        <f>+Actuals!AL479</f>
        <v>0</v>
      </c>
      <c r="AP77" s="133">
        <f>+Actuals!AM479</f>
        <v>0</v>
      </c>
      <c r="AQ77" s="134">
        <f>+Actuals!AN479</f>
        <v>0</v>
      </c>
      <c r="AR77" s="133">
        <f>+Actuals!AO479</f>
        <v>0</v>
      </c>
      <c r="AS77" s="134">
        <f>+Actuals!AP479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+Actuals!Y480</f>
        <v>0</v>
      </c>
      <c r="AC78" s="134">
        <f>+Actuals!Z480</f>
        <v>0</v>
      </c>
      <c r="AD78" s="133">
        <f>+Actuals!AA480</f>
        <v>0</v>
      </c>
      <c r="AE78" s="134">
        <f>+Actuals!AB480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  <c r="AJ78" s="133">
        <f>+Actuals!AG480</f>
        <v>0</v>
      </c>
      <c r="AK78" s="134">
        <f>+Actuals!AH480</f>
        <v>0</v>
      </c>
      <c r="AL78" s="133">
        <f>+Actuals!AI480</f>
        <v>0</v>
      </c>
      <c r="AM78" s="134">
        <f>+Actuals!AJ480</f>
        <v>0</v>
      </c>
      <c r="AN78" s="133">
        <f>+Actuals!AK480</f>
        <v>0</v>
      </c>
      <c r="AO78" s="134">
        <f>+Actuals!AL480</f>
        <v>0</v>
      </c>
      <c r="AP78" s="133">
        <f>+Actuals!AM480</f>
        <v>0</v>
      </c>
      <c r="AQ78" s="134">
        <f>+Actuals!AN480</f>
        <v>0</v>
      </c>
      <c r="AR78" s="133">
        <f>+Actuals!AO480</f>
        <v>0</v>
      </c>
      <c r="AS78" s="134">
        <f>+Actuals!AP480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+Actuals!Y481</f>
        <v>0</v>
      </c>
      <c r="AC79" s="134">
        <f>+Actuals!Z481</f>
        <v>0</v>
      </c>
      <c r="AD79" s="133">
        <f>+Actuals!AA481</f>
        <v>0</v>
      </c>
      <c r="AE79" s="134">
        <f>+Actuals!AB481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  <c r="AJ79" s="133">
        <f>+Actuals!AG481</f>
        <v>0</v>
      </c>
      <c r="AK79" s="134">
        <f>+Actuals!AH481</f>
        <v>0</v>
      </c>
      <c r="AL79" s="133">
        <f>+Actuals!AI481</f>
        <v>0</v>
      </c>
      <c r="AM79" s="134">
        <f>+Actuals!AJ481</f>
        <v>0</v>
      </c>
      <c r="AN79" s="133">
        <f>+Actuals!AK481</f>
        <v>0</v>
      </c>
      <c r="AO79" s="134">
        <f>+Actuals!AL481</f>
        <v>0</v>
      </c>
      <c r="AP79" s="133">
        <f>+Actuals!AM481</f>
        <v>0</v>
      </c>
      <c r="AQ79" s="134">
        <f>+Actuals!AN481</f>
        <v>0</v>
      </c>
      <c r="AR79" s="133">
        <f>+Actuals!AO481</f>
        <v>0</v>
      </c>
      <c r="AS79" s="134">
        <f>+Actuals!AP481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+Actuals!Y482</f>
        <v>0</v>
      </c>
      <c r="AC80" s="134">
        <f>+Actuals!Z482</f>
        <v>0</v>
      </c>
      <c r="AD80" s="133">
        <f>+Actuals!AA482</f>
        <v>0</v>
      </c>
      <c r="AE80" s="134">
        <f>+Actuals!AB482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  <c r="AJ80" s="133">
        <f>+Actuals!AG482</f>
        <v>0</v>
      </c>
      <c r="AK80" s="134">
        <f>+Actuals!AH482</f>
        <v>0</v>
      </c>
      <c r="AL80" s="133">
        <f>+Actuals!AI482</f>
        <v>0</v>
      </c>
      <c r="AM80" s="134">
        <f>+Actuals!AJ482</f>
        <v>0</v>
      </c>
      <c r="AN80" s="133">
        <f>+Actuals!AK482</f>
        <v>0</v>
      </c>
      <c r="AO80" s="134">
        <f>+Actuals!AL482</f>
        <v>0</v>
      </c>
      <c r="AP80" s="133">
        <f>+Actuals!AM482</f>
        <v>0</v>
      </c>
      <c r="AQ80" s="134">
        <f>+Actuals!AN482</f>
        <v>0</v>
      </c>
      <c r="AR80" s="133">
        <f>+Actuals!AO482</f>
        <v>0</v>
      </c>
      <c r="AS80" s="134">
        <f>+Actuals!AP482</f>
        <v>0</v>
      </c>
    </row>
    <row r="81" spans="1:77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-50000</v>
      </c>
      <c r="F81" s="60">
        <f>'TIE-OUT'!R81+RECLASS!R81</f>
        <v>0</v>
      </c>
      <c r="G81" s="60">
        <f>'TIE-OUT'!S81+RECLASS!S81</f>
        <v>0</v>
      </c>
      <c r="H81" s="133">
        <f>+Actuals!E283</f>
        <v>0</v>
      </c>
      <c r="I81" s="134">
        <f>+Actuals!F283</f>
        <v>0</v>
      </c>
      <c r="J81" s="133">
        <f>+Actuals!G283</f>
        <v>0</v>
      </c>
      <c r="K81" s="153">
        <f>+Actuals!H283</f>
        <v>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+Actuals!N283-50000</f>
        <v>-50000</v>
      </c>
      <c r="R81" s="133">
        <f>+Actuals!O283</f>
        <v>0</v>
      </c>
      <c r="S81" s="134">
        <f>+Actuals!P283</f>
        <v>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+Actuals!Y483</f>
        <v>0</v>
      </c>
      <c r="AC81" s="134">
        <f>+Actuals!Z483</f>
        <v>0</v>
      </c>
      <c r="AD81" s="133">
        <f>+Actuals!AA483</f>
        <v>0</v>
      </c>
      <c r="AE81" s="134">
        <f>+Actuals!AB483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  <c r="AJ81" s="133">
        <f>+Actuals!AG483</f>
        <v>0</v>
      </c>
      <c r="AK81" s="134">
        <f>+Actuals!AH483</f>
        <v>0</v>
      </c>
      <c r="AL81" s="133">
        <f>+Actuals!AI483</f>
        <v>0</v>
      </c>
      <c r="AM81" s="134">
        <f>+Actuals!AJ483</f>
        <v>0</v>
      </c>
      <c r="AN81" s="133">
        <f>+Actuals!AK483</f>
        <v>0</v>
      </c>
      <c r="AO81" s="134">
        <f>+Actuals!AL483</f>
        <v>0</v>
      </c>
      <c r="AP81" s="133">
        <f>+Actuals!AM483</f>
        <v>0</v>
      </c>
      <c r="AQ81" s="134">
        <f>+Actuals!AN483</f>
        <v>0</v>
      </c>
      <c r="AR81" s="133">
        <f>+Actuals!AO483</f>
        <v>0</v>
      </c>
      <c r="AS81" s="134">
        <f>+Actuals!AP483</f>
        <v>0</v>
      </c>
    </row>
    <row r="82" spans="1:7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258399.47199999786</v>
      </c>
      <c r="F82" s="92">
        <f>F16+F24+F29+F36+F43+F45+F47+F49</f>
        <v>0</v>
      </c>
      <c r="G82" s="93">
        <f>SUM(G72:G81)+G16+G24+G29+G36+G43+G45+G47+G49+G51+G56+G61+G66</f>
        <v>-5467702.4300000006</v>
      </c>
      <c r="H82" s="92">
        <f>H16+H24+H29+H36+H43+H45+H47+H49</f>
        <v>0</v>
      </c>
      <c r="I82" s="93">
        <f>SUM(I72:I81)+I16+I24+I29+I36+I43+I45+I47+I49+I51+I56+I61+I66</f>
        <v>5574512.8239999972</v>
      </c>
      <c r="J82" s="92">
        <f>J16+J24+J29+J36+J43+J45+J47+J49</f>
        <v>0</v>
      </c>
      <c r="K82" s="118">
        <f>SUM(K72:K81)+K16+K24+K29+K36+K43+K45+K47+K49+K51+K56+K61+K66</f>
        <v>-373130.41199999949</v>
      </c>
      <c r="L82" s="92">
        <f>L16+L24+L29+L36+L43+L45+L47+L49</f>
        <v>0</v>
      </c>
      <c r="M82" s="181">
        <f>SUM(M72:M81)+M16+M24+M29+M36+M43+M45+M47+M49+M51+M56+M61+M66</f>
        <v>-1023416.608</v>
      </c>
      <c r="N82" s="92">
        <f>N16+N24+N29+N36+N43+N45+N47+N49</f>
        <v>0</v>
      </c>
      <c r="O82" s="93">
        <f>SUM(O72:O81)+O16+O24+O29+O36+O43+O45+O47+O49+O51+O56+O61+O66</f>
        <v>-2149.547999998651</v>
      </c>
      <c r="P82" s="92">
        <f>P16+P24+P29+P36+P43+P45+P47+P49</f>
        <v>0</v>
      </c>
      <c r="Q82" s="93">
        <f>SUM(Q72:Q81)+Q16+Q24+Q29+Q36+Q43+Q45+Q47+Q49+Q51+Q56+Q61+Q66</f>
        <v>-127029.58600000001</v>
      </c>
      <c r="R82" s="92">
        <f>R16+R24+R29+R36+R43+R45+R47+R49</f>
        <v>0</v>
      </c>
      <c r="S82" s="93">
        <f>SUM(S72:S81)+S16+S24+S29+S36+S43+S45+S47+S49+S51+S56+S61+S66</f>
        <v>911338.08999999985</v>
      </c>
      <c r="T82" s="92">
        <f>T16+T24+T29+T36+T43+T45+T47+T49</f>
        <v>0</v>
      </c>
      <c r="U82" s="93">
        <f>SUM(U72:U81)+U16+U24+U29+U36+U43+U45+U47+U49+U51+U56+U61+U66</f>
        <v>548684.12000000011</v>
      </c>
      <c r="V82" s="92">
        <f>V16+V24+V29+V36+V43+V45+V47+V49</f>
        <v>0</v>
      </c>
      <c r="W82" s="93">
        <f>SUM(W72:W81)+W16+W24+W29+W36+W43+W45+W47+W49+W51+W56+W61+W66</f>
        <v>1021447.8779999999</v>
      </c>
      <c r="X82" s="92">
        <f>X16+X24+X29+X36+X43+X45+X47+X49</f>
        <v>0</v>
      </c>
      <c r="Y82" s="93">
        <f>SUM(Y72:Y81)+Y16+Y24+Y29+Y36+Y43+Y45+Y47+Y49+Y51+Y56+Y61+Y66</f>
        <v>-23485.022000000135</v>
      </c>
      <c r="Z82" s="92">
        <f>Z16+Z24+Z29+Z36+Z43+Z45+Z47+Z49</f>
        <v>0</v>
      </c>
      <c r="AA82" s="93">
        <f>SUM(AA72:AA81)+AA16+AA24+AA29+AA36+AA43+AA45+AA47+AA49+AA51+AA56+AA61+AA66</f>
        <v>369818.05599999992</v>
      </c>
      <c r="AB82" s="92">
        <f>AB16+AB24+AB29+AB36+AB43+AB45+AB47+AB49</f>
        <v>0</v>
      </c>
      <c r="AC82" s="93">
        <f>SUM(AC72:AC81)+AC16+AC24+AC29+AC36+AC43+AC45+AC47+AC49+AC51+AC56+AC61+AC66</f>
        <v>-34530.560000000012</v>
      </c>
      <c r="AD82" s="92">
        <f>AD16+AD24+AD29+AD36+AD43+AD45+AD47+AD49</f>
        <v>0</v>
      </c>
      <c r="AE82" s="93">
        <f>SUM(AE72:AE81)+AE16+AE24+AE29+AE36+AE43+AE45+AE47+AE49+AE51+AE56+AE61+AE66</f>
        <v>31967.392000000007</v>
      </c>
      <c r="AF82" s="92">
        <f>AF16+AF24+AF29+AF36+AF43+AF45+AF47+AF49</f>
        <v>0</v>
      </c>
      <c r="AG82" s="93">
        <f>SUM(AG72:AG81)+AG16+AG24+AG29+AG36+AG43+AG45+AG47+AG49+AG51+AG56+AG61+AG66</f>
        <v>-984392.33200000017</v>
      </c>
      <c r="AH82" s="92">
        <f>AH16+AH24+AH29+AH36+AH43+AH45+AH47+AH49</f>
        <v>0</v>
      </c>
      <c r="AI82" s="93">
        <f>SUM(AI72:AI81)+AI16+AI24+AI29+AI36+AI43+AI45+AI47+AI49+AI51+AI56+AI61+AI66</f>
        <v>-18562.614000000001</v>
      </c>
      <c r="AJ82" s="92">
        <f>AJ16+AJ24+AJ29+AJ36+AJ43+AJ45+AJ47+AJ49</f>
        <v>0</v>
      </c>
      <c r="AK82" s="93">
        <f>SUM(AK72:AK81)+AK16+AK24+AK29+AK36+AK43+AK45+AK47+AK49+AK51+AK56+AK61+AK66</f>
        <v>-143954.94200000007</v>
      </c>
      <c r="AL82" s="92">
        <f>AL16+AL24+AL29+AL36+AL43+AL45+AL47+AL49</f>
        <v>0</v>
      </c>
      <c r="AM82" s="93">
        <f>SUM(AM72:AM81)+AM16+AM24+AM29+AM36+AM43+AM45+AM47+AM49+AM51+AM56+AM61+AM66</f>
        <v>-3746.583999999998</v>
      </c>
      <c r="AN82" s="92">
        <f>AN16+AN24+AN29+AN36+AN43+AN45+AN47+AN49</f>
        <v>0</v>
      </c>
      <c r="AO82" s="93">
        <f>SUM(AO72:AO81)+AO16+AO24+AO29+AO36+AO43+AO45+AO47+AO49+AO51+AO56+AO61+AO66</f>
        <v>4974.66</v>
      </c>
      <c r="AP82" s="92">
        <f>AP16+AP24+AP29+AP36+AP43+AP45+AP47+AP49</f>
        <v>0</v>
      </c>
      <c r="AQ82" s="93">
        <f>SUM(AQ72:AQ81)+AQ16+AQ24+AQ29+AQ36+AQ43+AQ45+AQ47+AQ49+AQ51+AQ56+AQ61+AQ66</f>
        <v>-1328.1999999999975</v>
      </c>
      <c r="AR82" s="92">
        <f>AR16+AR24+AR29+AR36+AR43+AR45+AR47+AR49</f>
        <v>0</v>
      </c>
      <c r="AS82" s="93">
        <f>SUM(AS72:AS81)+AS16+AS24+AS29+AS36+AS43+AS45+AS47+AS49+AS51+AS56+AS61+AS66</f>
        <v>-914.70999999999651</v>
      </c>
    </row>
    <row r="83" spans="1:77" ht="13.5" thickTop="1" x14ac:dyDescent="0.2">
      <c r="A83" s="4"/>
      <c r="B83" s="3"/>
    </row>
    <row r="84" spans="1:77" x14ac:dyDescent="0.2">
      <c r="A84" s="4"/>
      <c r="B84" s="3"/>
      <c r="I84" s="45"/>
    </row>
    <row r="85" spans="1:77" x14ac:dyDescent="0.2">
      <c r="A85" s="4" t="s">
        <v>189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82"/>
      <c r="C86" s="10" t="s">
        <v>191</v>
      </c>
      <c r="D86" s="183">
        <f t="shared" ref="D86:E88" si="38">SUM(F86,H86,J86,L86,N86,P86,R86,T86,V86,X86,Z86,AB86,AD86)</f>
        <v>0</v>
      </c>
      <c r="E86" s="183">
        <f t="shared" si="38"/>
        <v>11696533.92</v>
      </c>
      <c r="F86" s="183">
        <f>'TIE-OUT'!R86+RECLASS!R86</f>
        <v>0</v>
      </c>
      <c r="G86" s="183">
        <f>'TIE-OUT'!S86+RECLASS!S86</f>
        <v>7896533.9199999999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3800000</v>
      </c>
      <c r="N86" s="183">
        <v>0</v>
      </c>
      <c r="O86" s="183">
        <v>0</v>
      </c>
      <c r="P86" s="183">
        <v>0</v>
      </c>
      <c r="Q86" s="183">
        <v>0</v>
      </c>
      <c r="R86" s="183">
        <v>0</v>
      </c>
      <c r="S86" s="183">
        <v>0</v>
      </c>
      <c r="T86" s="183">
        <v>0</v>
      </c>
      <c r="U86" s="183">
        <v>0</v>
      </c>
      <c r="V86" s="183">
        <v>0</v>
      </c>
      <c r="W86" s="183">
        <v>0</v>
      </c>
      <c r="X86" s="183">
        <v>0</v>
      </c>
      <c r="Y86" s="183">
        <v>0</v>
      </c>
      <c r="Z86" s="183">
        <v>0</v>
      </c>
      <c r="AA86" s="183">
        <v>0</v>
      </c>
      <c r="AB86" s="183">
        <v>0</v>
      </c>
      <c r="AC86" s="183">
        <v>0</v>
      </c>
      <c r="AD86" s="183">
        <v>0</v>
      </c>
      <c r="AE86" s="183">
        <v>0</v>
      </c>
      <c r="AF86" s="183">
        <v>0</v>
      </c>
      <c r="AG86" s="183">
        <v>0</v>
      </c>
      <c r="AH86" s="183">
        <v>0</v>
      </c>
      <c r="AI86" s="183">
        <v>0</v>
      </c>
      <c r="AJ86" s="183">
        <v>0</v>
      </c>
      <c r="AK86" s="183">
        <v>0</v>
      </c>
      <c r="AL86" s="183">
        <v>0</v>
      </c>
      <c r="AM86" s="183">
        <v>0</v>
      </c>
      <c r="AN86" s="183">
        <v>0</v>
      </c>
      <c r="AO86" s="183">
        <v>0</v>
      </c>
      <c r="AP86" s="183">
        <v>0</v>
      </c>
      <c r="AQ86" s="183">
        <v>0</v>
      </c>
      <c r="AR86" s="183">
        <v>0</v>
      </c>
      <c r="AS86" s="183">
        <v>0</v>
      </c>
    </row>
    <row r="87" spans="1:77" s="3" customFormat="1" x14ac:dyDescent="0.2">
      <c r="A87" s="182"/>
      <c r="C87" s="10" t="s">
        <v>75</v>
      </c>
      <c r="D87" s="184">
        <f t="shared" si="38"/>
        <v>0</v>
      </c>
      <c r="E87" s="184">
        <f t="shared" si="38"/>
        <v>0</v>
      </c>
      <c r="F87" s="184">
        <f>'TIE-OUT'!R87+RECLASS!R87</f>
        <v>0</v>
      </c>
      <c r="G87" s="184">
        <f>'TIE-OUT'!S87+RECLASS!S87</f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  <c r="AJ87" s="184">
        <v>0</v>
      </c>
      <c r="AK87" s="184">
        <v>0</v>
      </c>
      <c r="AL87" s="184">
        <v>0</v>
      </c>
      <c r="AM87" s="184">
        <v>0</v>
      </c>
      <c r="AN87" s="184">
        <v>0</v>
      </c>
      <c r="AO87" s="184">
        <v>0</v>
      </c>
      <c r="AP87" s="184">
        <v>0</v>
      </c>
      <c r="AQ87" s="184">
        <v>0</v>
      </c>
      <c r="AR87" s="184">
        <v>0</v>
      </c>
      <c r="AS87" s="184">
        <v>0</v>
      </c>
    </row>
    <row r="88" spans="1:77" s="3" customFormat="1" x14ac:dyDescent="0.2">
      <c r="A88" s="182"/>
      <c r="C88" s="10" t="s">
        <v>76</v>
      </c>
      <c r="D88" s="185">
        <f t="shared" si="38"/>
        <v>0</v>
      </c>
      <c r="E88" s="185">
        <f t="shared" si="38"/>
        <v>-11438300</v>
      </c>
      <c r="F88" s="185">
        <f>'TIE-OUT'!R88+RECLASS!R88</f>
        <v>0</v>
      </c>
      <c r="G88" s="185">
        <f>'TIE-OUT'!S88+RECLASS!S88</f>
        <v>-11438300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0</v>
      </c>
      <c r="V88" s="185">
        <v>0</v>
      </c>
      <c r="W88" s="185">
        <v>0</v>
      </c>
      <c r="X88" s="185">
        <v>0</v>
      </c>
      <c r="Y88" s="185">
        <v>0</v>
      </c>
      <c r="Z88" s="185">
        <v>0</v>
      </c>
      <c r="AA88" s="185">
        <v>0</v>
      </c>
      <c r="AB88" s="185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185">
        <v>0</v>
      </c>
      <c r="AI88" s="185">
        <v>0</v>
      </c>
      <c r="AJ88" s="185">
        <v>0</v>
      </c>
      <c r="AK88" s="185">
        <v>0</v>
      </c>
      <c r="AL88" s="185">
        <v>0</v>
      </c>
      <c r="AM88" s="185">
        <v>0</v>
      </c>
      <c r="AN88" s="185">
        <v>0</v>
      </c>
      <c r="AO88" s="185">
        <v>0</v>
      </c>
      <c r="AP88" s="185">
        <v>0</v>
      </c>
      <c r="AQ88" s="185">
        <v>0</v>
      </c>
      <c r="AR88" s="185">
        <v>0</v>
      </c>
      <c r="AS88" s="185">
        <v>0</v>
      </c>
    </row>
    <row r="89" spans="1:77" s="44" customFormat="1" ht="20.25" customHeight="1" x14ac:dyDescent="0.2">
      <c r="A89" s="191"/>
      <c r="B89" s="192"/>
      <c r="C89" s="188" t="s">
        <v>192</v>
      </c>
      <c r="D89" s="195">
        <f>SUM(D86:D88)</f>
        <v>0</v>
      </c>
      <c r="E89" s="195">
        <f t="shared" ref="E89:AE89" si="39">SUM(E86:E88)</f>
        <v>258233.91999999993</v>
      </c>
      <c r="F89" s="195">
        <f t="shared" si="39"/>
        <v>0</v>
      </c>
      <c r="G89" s="195">
        <f t="shared" si="39"/>
        <v>-3541766.08</v>
      </c>
      <c r="H89" s="195">
        <f t="shared" si="39"/>
        <v>0</v>
      </c>
      <c r="I89" s="195">
        <f t="shared" si="39"/>
        <v>0</v>
      </c>
      <c r="J89" s="195">
        <f t="shared" si="39"/>
        <v>0</v>
      </c>
      <c r="K89" s="195">
        <f t="shared" si="39"/>
        <v>0</v>
      </c>
      <c r="L89" s="195">
        <f t="shared" si="39"/>
        <v>0</v>
      </c>
      <c r="M89" s="195">
        <f t="shared" si="39"/>
        <v>3800000</v>
      </c>
      <c r="N89" s="195">
        <f t="shared" si="39"/>
        <v>0</v>
      </c>
      <c r="O89" s="195">
        <f t="shared" si="39"/>
        <v>0</v>
      </c>
      <c r="P89" s="195">
        <f t="shared" si="39"/>
        <v>0</v>
      </c>
      <c r="Q89" s="195">
        <f t="shared" si="39"/>
        <v>0</v>
      </c>
      <c r="R89" s="195">
        <f t="shared" si="39"/>
        <v>0</v>
      </c>
      <c r="S89" s="195">
        <f t="shared" si="39"/>
        <v>0</v>
      </c>
      <c r="T89" s="195">
        <f t="shared" si="39"/>
        <v>0</v>
      </c>
      <c r="U89" s="195">
        <f t="shared" si="39"/>
        <v>0</v>
      </c>
      <c r="V89" s="195">
        <f t="shared" si="39"/>
        <v>0</v>
      </c>
      <c r="W89" s="195">
        <f t="shared" si="39"/>
        <v>0</v>
      </c>
      <c r="X89" s="195">
        <f t="shared" si="39"/>
        <v>0</v>
      </c>
      <c r="Y89" s="195">
        <f t="shared" si="39"/>
        <v>0</v>
      </c>
      <c r="Z89" s="195">
        <f t="shared" si="39"/>
        <v>0</v>
      </c>
      <c r="AA89" s="195">
        <f t="shared" si="39"/>
        <v>0</v>
      </c>
      <c r="AB89" s="195">
        <f t="shared" si="39"/>
        <v>0</v>
      </c>
      <c r="AC89" s="195">
        <f t="shared" si="39"/>
        <v>0</v>
      </c>
      <c r="AD89" s="195">
        <f t="shared" si="39"/>
        <v>0</v>
      </c>
      <c r="AE89" s="195">
        <f t="shared" si="39"/>
        <v>0</v>
      </c>
      <c r="AF89" s="195">
        <f t="shared" ref="AF89:AK89" si="40">SUM(AF86:AF88)</f>
        <v>0</v>
      </c>
      <c r="AG89" s="195">
        <f t="shared" si="40"/>
        <v>0</v>
      </c>
      <c r="AH89" s="195">
        <f t="shared" si="40"/>
        <v>0</v>
      </c>
      <c r="AI89" s="195">
        <f t="shared" si="40"/>
        <v>0</v>
      </c>
      <c r="AJ89" s="195">
        <f t="shared" si="40"/>
        <v>0</v>
      </c>
      <c r="AK89" s="195">
        <f t="shared" si="40"/>
        <v>0</v>
      </c>
      <c r="AL89" s="195">
        <f t="shared" ref="AL89:AQ89" si="41">SUM(AL86:AL88)</f>
        <v>0</v>
      </c>
      <c r="AM89" s="195">
        <f t="shared" si="41"/>
        <v>0</v>
      </c>
      <c r="AN89" s="195">
        <f t="shared" si="41"/>
        <v>0</v>
      </c>
      <c r="AO89" s="195">
        <f t="shared" si="41"/>
        <v>0</v>
      </c>
      <c r="AP89" s="195">
        <f t="shared" si="41"/>
        <v>0</v>
      </c>
      <c r="AQ89" s="195">
        <f t="shared" si="41"/>
        <v>0</v>
      </c>
      <c r="AR89" s="195">
        <f>SUM(AR86:AR88)</f>
        <v>0</v>
      </c>
      <c r="AS89" s="195">
        <f>SUM(AS86:AS88)</f>
        <v>0</v>
      </c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91"/>
      <c r="B91" s="192"/>
      <c r="C91" s="188" t="s">
        <v>193</v>
      </c>
      <c r="D91" s="195">
        <f>+D82+D89</f>
        <v>0</v>
      </c>
      <c r="E91" s="195">
        <f t="shared" ref="E91:AE91" si="42">+E82+E89</f>
        <v>516633.39199999778</v>
      </c>
      <c r="F91" s="195">
        <f t="shared" si="42"/>
        <v>0</v>
      </c>
      <c r="G91" s="195">
        <f t="shared" si="42"/>
        <v>-9009468.5100000016</v>
      </c>
      <c r="H91" s="195">
        <f t="shared" si="42"/>
        <v>0</v>
      </c>
      <c r="I91" s="195">
        <f t="shared" si="42"/>
        <v>5574512.8239999972</v>
      </c>
      <c r="J91" s="195">
        <f t="shared" si="42"/>
        <v>0</v>
      </c>
      <c r="K91" s="195">
        <f t="shared" si="42"/>
        <v>-373130.41199999949</v>
      </c>
      <c r="L91" s="195">
        <f t="shared" si="42"/>
        <v>0</v>
      </c>
      <c r="M91" s="195">
        <f t="shared" si="42"/>
        <v>2776583.392</v>
      </c>
      <c r="N91" s="195">
        <f t="shared" si="42"/>
        <v>0</v>
      </c>
      <c r="O91" s="195">
        <f t="shared" si="42"/>
        <v>-2149.547999998651</v>
      </c>
      <c r="P91" s="195">
        <f t="shared" si="42"/>
        <v>0</v>
      </c>
      <c r="Q91" s="195">
        <f t="shared" si="42"/>
        <v>-127029.58600000001</v>
      </c>
      <c r="R91" s="195">
        <f t="shared" si="42"/>
        <v>0</v>
      </c>
      <c r="S91" s="195">
        <f t="shared" si="42"/>
        <v>911338.08999999985</v>
      </c>
      <c r="T91" s="195">
        <f t="shared" si="42"/>
        <v>0</v>
      </c>
      <c r="U91" s="195">
        <f t="shared" si="42"/>
        <v>548684.12000000011</v>
      </c>
      <c r="V91" s="195">
        <f t="shared" si="42"/>
        <v>0</v>
      </c>
      <c r="W91" s="195">
        <f t="shared" si="42"/>
        <v>1021447.8779999999</v>
      </c>
      <c r="X91" s="195">
        <f t="shared" si="42"/>
        <v>0</v>
      </c>
      <c r="Y91" s="195">
        <f t="shared" si="42"/>
        <v>-23485.022000000135</v>
      </c>
      <c r="Z91" s="195">
        <f t="shared" si="42"/>
        <v>0</v>
      </c>
      <c r="AA91" s="195">
        <f t="shared" si="42"/>
        <v>369818.05599999992</v>
      </c>
      <c r="AB91" s="195">
        <f t="shared" si="42"/>
        <v>0</v>
      </c>
      <c r="AC91" s="195">
        <f t="shared" si="42"/>
        <v>-34530.560000000012</v>
      </c>
      <c r="AD91" s="195">
        <f t="shared" si="42"/>
        <v>0</v>
      </c>
      <c r="AE91" s="195">
        <f t="shared" si="42"/>
        <v>31967.392000000007</v>
      </c>
      <c r="AF91" s="195">
        <f t="shared" ref="AF91:AK91" si="43">+AF82+AF89</f>
        <v>0</v>
      </c>
      <c r="AG91" s="195">
        <f t="shared" si="43"/>
        <v>-984392.33200000017</v>
      </c>
      <c r="AH91" s="195">
        <f t="shared" si="43"/>
        <v>0</v>
      </c>
      <c r="AI91" s="195">
        <f t="shared" si="43"/>
        <v>-18562.614000000001</v>
      </c>
      <c r="AJ91" s="195">
        <f t="shared" si="43"/>
        <v>0</v>
      </c>
      <c r="AK91" s="195">
        <f t="shared" si="43"/>
        <v>-143954.94200000007</v>
      </c>
      <c r="AL91" s="195">
        <f t="shared" ref="AL91:AQ91" si="44">+AL82+AL89</f>
        <v>0</v>
      </c>
      <c r="AM91" s="195">
        <f t="shared" si="44"/>
        <v>-3746.583999999998</v>
      </c>
      <c r="AN91" s="195">
        <f t="shared" si="44"/>
        <v>0</v>
      </c>
      <c r="AO91" s="195">
        <f t="shared" si="44"/>
        <v>4974.66</v>
      </c>
      <c r="AP91" s="195">
        <f t="shared" si="44"/>
        <v>0</v>
      </c>
      <c r="AQ91" s="195">
        <f t="shared" si="44"/>
        <v>-1328.1999999999975</v>
      </c>
      <c r="AR91" s="195">
        <f>+AR82+AR89</f>
        <v>0</v>
      </c>
      <c r="AS91" s="195">
        <f>+AS82+AS89</f>
        <v>-914.70999999999651</v>
      </c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S187"/>
  <sheetViews>
    <sheetView zoomScale="75" workbookViewId="0">
      <pane xSplit="3" ySplit="9" topLeftCell="V61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N647" sqref="AN647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9" customWidth="1"/>
    <col min="12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13581425</v>
      </c>
      <c r="E11" s="38">
        <f t="shared" si="0"/>
        <v>23359623.949999999</v>
      </c>
      <c r="F11" s="60">
        <f>'TIE-OUT'!P11+RECLASS!P11</f>
        <v>0</v>
      </c>
      <c r="G11" s="38">
        <f>'TIE-OUT'!Q11+RECLASS!Q11</f>
        <v>0</v>
      </c>
      <c r="H11" s="133">
        <f>+Actuals!E4</f>
        <v>13103939</v>
      </c>
      <c r="I11" s="134">
        <f>+Actuals!F4</f>
        <v>24563740.579999998</v>
      </c>
      <c r="J11" s="133">
        <f>+Actuals!G4</f>
        <v>489872</v>
      </c>
      <c r="K11" s="153">
        <f>+Actuals!H4</f>
        <v>-1205677.3600000001</v>
      </c>
      <c r="L11" s="133">
        <f>+Actuals!I4</f>
        <v>-20252</v>
      </c>
      <c r="M11" s="134">
        <f>+Actuals!J4</f>
        <v>-32215.11</v>
      </c>
      <c r="N11" s="133">
        <f>+Actuals!K4</f>
        <v>-1406</v>
      </c>
      <c r="O11" s="134">
        <f>+Actuals!L4</f>
        <v>-10582.66</v>
      </c>
      <c r="P11" s="133">
        <f>+Actuals!M4</f>
        <v>0</v>
      </c>
      <c r="Q11" s="134">
        <f>+Actuals!N4</f>
        <v>0</v>
      </c>
      <c r="R11" s="133">
        <f>+Actuals!O4</f>
        <v>-17149</v>
      </c>
      <c r="S11" s="134">
        <f>+Actuals!P4</f>
        <v>-32587.15</v>
      </c>
      <c r="T11" s="133">
        <f>+Actuals!Q4</f>
        <v>26882</v>
      </c>
      <c r="U11" s="134">
        <f>+Actuals!R4</f>
        <v>59064.31</v>
      </c>
      <c r="V11" s="133">
        <f>+Actuals!S4</f>
        <v>17173</v>
      </c>
      <c r="W11" s="134">
        <f>+Actuals!T4</f>
        <v>30157.91</v>
      </c>
      <c r="X11" s="133">
        <f>+Actuals!U4</f>
        <v>0</v>
      </c>
      <c r="Y11" s="134">
        <f>+Actuals!V4</f>
        <v>0</v>
      </c>
      <c r="Z11" s="133">
        <f>+Actuals!W4</f>
        <v>0</v>
      </c>
      <c r="AA11" s="134">
        <f>+Actuals!X4</f>
        <v>0</v>
      </c>
      <c r="AB11" s="133">
        <f>+Actuals!Y4</f>
        <v>0</v>
      </c>
      <c r="AC11" s="134">
        <f>+Actuals!Z4</f>
        <v>-2805.92</v>
      </c>
      <c r="AD11" s="133">
        <f>+Actuals!AA4</f>
        <v>0</v>
      </c>
      <c r="AE11" s="134">
        <f>+Actuals!AB4</f>
        <v>0</v>
      </c>
      <c r="AF11" s="133">
        <f>+Actuals!AC4</f>
        <v>-17634</v>
      </c>
      <c r="AG11" s="134">
        <f>+Actuals!AD4</f>
        <v>-26762.65</v>
      </c>
      <c r="AH11" s="133">
        <f>+Actuals!AE4</f>
        <v>0</v>
      </c>
      <c r="AI11" s="134">
        <f>+Actuals!AF4</f>
        <v>0</v>
      </c>
      <c r="AJ11" s="133">
        <f>+Actuals!AG4</f>
        <v>0</v>
      </c>
      <c r="AK11" s="134">
        <f>+Actuals!AH4</f>
        <v>0</v>
      </c>
      <c r="AL11" s="133">
        <f>+Actuals!AI4</f>
        <v>0</v>
      </c>
      <c r="AM11" s="134">
        <f>+Actuals!AJ4</f>
        <v>17292</v>
      </c>
      <c r="AN11" s="133">
        <f>+Actuals!AK4</f>
        <v>0</v>
      </c>
      <c r="AO11" s="134">
        <f>+Actuals!AL4</f>
        <v>0</v>
      </c>
      <c r="AP11" s="133">
        <f>+Actuals!AM4</f>
        <v>0</v>
      </c>
      <c r="AQ11" s="134">
        <f>+Actuals!AN4</f>
        <v>0</v>
      </c>
      <c r="AR11" s="133">
        <f>+Actuals!AO4</f>
        <v>0</v>
      </c>
      <c r="AS11" s="134">
        <f>+Actuals!AP4</f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-1164214.44</v>
      </c>
      <c r="F12" s="60">
        <f>'TIE-OUT'!P12+RECLASS!P12</f>
        <v>0</v>
      </c>
      <c r="G12" s="38">
        <f>'TIE-OUT'!Q12+RECLASS!Q12</f>
        <v>-1164214.44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  <c r="AJ12" s="133">
        <f>+Actuals!AG5</f>
        <v>0</v>
      </c>
      <c r="AK12" s="134">
        <f>+Actuals!AH5</f>
        <v>0</v>
      </c>
      <c r="AL12" s="133">
        <f>+Actuals!AI5</f>
        <v>0</v>
      </c>
      <c r="AM12" s="134">
        <f>+Actuals!AJ5</f>
        <v>0</v>
      </c>
      <c r="AN12" s="133">
        <f>+Actuals!AK5</f>
        <v>0</v>
      </c>
      <c r="AO12" s="134">
        <f>+Actuals!AL5</f>
        <v>0</v>
      </c>
      <c r="AP12" s="133">
        <f>+Actuals!AM5</f>
        <v>0</v>
      </c>
      <c r="AQ12" s="134">
        <f>+Actuals!AN5</f>
        <v>0</v>
      </c>
      <c r="AR12" s="133">
        <f>+Actuals!AO5</f>
        <v>0</v>
      </c>
      <c r="AS12" s="134">
        <f>+Actuals!AP5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  <c r="AJ13" s="133">
        <f>+Actuals!AG6</f>
        <v>0</v>
      </c>
      <c r="AK13" s="134">
        <f>+Actuals!AH6</f>
        <v>0</v>
      </c>
      <c r="AL13" s="133">
        <f>+Actuals!AI6</f>
        <v>0</v>
      </c>
      <c r="AM13" s="134">
        <f>+Actuals!AJ6</f>
        <v>0</v>
      </c>
      <c r="AN13" s="133">
        <f>+Actuals!AK6</f>
        <v>0</v>
      </c>
      <c r="AO13" s="134">
        <f>+Actuals!AL6</f>
        <v>0</v>
      </c>
      <c r="AP13" s="133">
        <f>+Actuals!AM6</f>
        <v>0</v>
      </c>
      <c r="AQ13" s="134">
        <f>+Actuals!AN6</f>
        <v>0</v>
      </c>
      <c r="AR13" s="133">
        <f>+Actuals!AO6</f>
        <v>0</v>
      </c>
      <c r="AS13" s="134">
        <f>+Actuals!AP6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  <c r="AJ14" s="133">
        <f>+Actuals!AG7</f>
        <v>0</v>
      </c>
      <c r="AK14" s="134">
        <f>+Actuals!AH7</f>
        <v>0</v>
      </c>
      <c r="AL14" s="133">
        <f>+Actuals!AI7</f>
        <v>0</v>
      </c>
      <c r="AM14" s="134">
        <f>+Actuals!AJ7</f>
        <v>0</v>
      </c>
      <c r="AN14" s="133">
        <f>+Actuals!AK7</f>
        <v>0</v>
      </c>
      <c r="AO14" s="134">
        <f>+Actuals!AL7</f>
        <v>0</v>
      </c>
      <c r="AP14" s="133">
        <f>+Actuals!AM7</f>
        <v>0</v>
      </c>
      <c r="AQ14" s="134">
        <f>+Actuals!AN7</f>
        <v>0</v>
      </c>
      <c r="AR14" s="133">
        <f>+Actuals!AO7</f>
        <v>0</v>
      </c>
      <c r="AS14" s="134">
        <f>+Actuals!AP7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  <c r="AJ15" s="133">
        <f>+Actuals!AG8</f>
        <v>0</v>
      </c>
      <c r="AK15" s="134">
        <f>+Actuals!AH8</f>
        <v>0</v>
      </c>
      <c r="AL15" s="133">
        <f>+Actuals!AI8</f>
        <v>0</v>
      </c>
      <c r="AM15" s="134">
        <f>+Actuals!AJ8</f>
        <v>0</v>
      </c>
      <c r="AN15" s="133">
        <f>+Actuals!AK8</f>
        <v>0</v>
      </c>
      <c r="AO15" s="134">
        <f>+Actuals!AL8</f>
        <v>0</v>
      </c>
      <c r="AP15" s="133">
        <f>+Actuals!AM8</f>
        <v>0</v>
      </c>
      <c r="AQ15" s="134">
        <f>+Actuals!AN8</f>
        <v>0</v>
      </c>
      <c r="AR15" s="133">
        <f>+Actuals!AO8</f>
        <v>0</v>
      </c>
      <c r="AS15" s="134">
        <f>+Actuals!AP8</f>
        <v>0</v>
      </c>
    </row>
    <row r="16" spans="1:45" x14ac:dyDescent="0.2">
      <c r="A16" s="9"/>
      <c r="B16" s="7" t="s">
        <v>34</v>
      </c>
      <c r="C16" s="6"/>
      <c r="D16" s="61">
        <f t="shared" ref="D16:AC16" si="1">SUM(D11:D15)</f>
        <v>13581425</v>
      </c>
      <c r="E16" s="39">
        <f t="shared" si="1"/>
        <v>22195409.509999998</v>
      </c>
      <c r="F16" s="61">
        <f t="shared" si="1"/>
        <v>0</v>
      </c>
      <c r="G16" s="39">
        <f t="shared" si="1"/>
        <v>-1164214.44</v>
      </c>
      <c r="H16" s="61">
        <f t="shared" si="1"/>
        <v>13103939</v>
      </c>
      <c r="I16" s="39">
        <f t="shared" si="1"/>
        <v>24563740.579999998</v>
      </c>
      <c r="J16" s="61">
        <f t="shared" si="1"/>
        <v>489872</v>
      </c>
      <c r="K16" s="154">
        <f t="shared" si="1"/>
        <v>-1205677.3600000001</v>
      </c>
      <c r="L16" s="61">
        <f t="shared" si="1"/>
        <v>-20252</v>
      </c>
      <c r="M16" s="39">
        <f t="shared" si="1"/>
        <v>-32215.11</v>
      </c>
      <c r="N16" s="61">
        <f t="shared" si="1"/>
        <v>-1406</v>
      </c>
      <c r="O16" s="39">
        <f t="shared" si="1"/>
        <v>-10582.66</v>
      </c>
      <c r="P16" s="61">
        <f t="shared" si="1"/>
        <v>0</v>
      </c>
      <c r="Q16" s="39">
        <f t="shared" si="1"/>
        <v>0</v>
      </c>
      <c r="R16" s="61">
        <f t="shared" si="1"/>
        <v>-17149</v>
      </c>
      <c r="S16" s="39">
        <f t="shared" si="1"/>
        <v>-32587.15</v>
      </c>
      <c r="T16" s="61">
        <f t="shared" si="1"/>
        <v>26882</v>
      </c>
      <c r="U16" s="39">
        <f t="shared" si="1"/>
        <v>59064.31</v>
      </c>
      <c r="V16" s="61">
        <f t="shared" si="1"/>
        <v>17173</v>
      </c>
      <c r="W16" s="39">
        <f t="shared" si="1"/>
        <v>30157.91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-2805.92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-17634</v>
      </c>
      <c r="AG16" s="39">
        <f t="shared" si="2"/>
        <v>-26762.65</v>
      </c>
      <c r="AH16" s="61">
        <f t="shared" si="2"/>
        <v>0</v>
      </c>
      <c r="AI16" s="39">
        <f t="shared" si="2"/>
        <v>0</v>
      </c>
      <c r="AJ16" s="61">
        <f t="shared" ref="AJ16:AO16" si="3">SUM(AJ11:AJ15)</f>
        <v>0</v>
      </c>
      <c r="AK16" s="39">
        <f t="shared" si="3"/>
        <v>0</v>
      </c>
      <c r="AL16" s="61">
        <f t="shared" si="3"/>
        <v>0</v>
      </c>
      <c r="AM16" s="39">
        <f t="shared" si="3"/>
        <v>17292</v>
      </c>
      <c r="AN16" s="61">
        <f t="shared" si="3"/>
        <v>0</v>
      </c>
      <c r="AO16" s="39">
        <f t="shared" si="3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SUM(F19,H19,J19,L19,N19,P19,R19,T19,V19,X19,Z19,AB19,AD19,AF19,AH19,AJ19,AL19,AN19,AP19,AR19)</f>
        <v>-4293569</v>
      </c>
      <c r="E19" s="38">
        <f t="shared" si="4"/>
        <v>-6911309.4000000013</v>
      </c>
      <c r="F19" s="64">
        <f>'TIE-OUT'!P19+RECLASS!P19</f>
        <v>0</v>
      </c>
      <c r="G19" s="68">
        <f>'TIE-OUT'!Q19+RECLASS!Q19</f>
        <v>0</v>
      </c>
      <c r="H19" s="133">
        <f>+Actuals!E9</f>
        <v>-4755219</v>
      </c>
      <c r="I19" s="134">
        <f>+Actuals!F9</f>
        <v>-7857520.04</v>
      </c>
      <c r="J19" s="133">
        <f>+Actuals!G9</f>
        <v>432535</v>
      </c>
      <c r="K19" s="153">
        <f>+Actuals!H9</f>
        <v>947526.13</v>
      </c>
      <c r="L19" s="133">
        <f>+Actuals!I9</f>
        <v>24749</v>
      </c>
      <c r="M19" s="134">
        <f>+Actuals!J9</f>
        <v>-1268.32</v>
      </c>
      <c r="N19" s="133">
        <f>+Actuals!K9</f>
        <v>7259</v>
      </c>
      <c r="O19" s="134">
        <f>+Actuals!L9</f>
        <v>12606.37</v>
      </c>
      <c r="P19" s="133">
        <f>+Actuals!M9</f>
        <v>9600</v>
      </c>
      <c r="Q19" s="134">
        <f>+Actuals!N9</f>
        <v>14880</v>
      </c>
      <c r="R19" s="133">
        <f>+Actuals!O9</f>
        <v>0</v>
      </c>
      <c r="S19" s="134">
        <f>+Actuals!P9</f>
        <v>0</v>
      </c>
      <c r="T19" s="133">
        <f>+Actuals!Q9</f>
        <v>-18996</v>
      </c>
      <c r="U19" s="134">
        <f>+Actuals!R9</f>
        <v>-33756.080000000002</v>
      </c>
      <c r="V19" s="133">
        <f>+Actuals!S9</f>
        <v>0</v>
      </c>
      <c r="W19" s="134">
        <f>+Actuals!T9</f>
        <v>0</v>
      </c>
      <c r="X19" s="133">
        <f>+Actuals!U9</f>
        <v>-10501</v>
      </c>
      <c r="Y19" s="134">
        <f>+Actuals!V9</f>
        <v>-21395.34</v>
      </c>
      <c r="Z19" s="133">
        <f>+Actuals!W9</f>
        <v>0</v>
      </c>
      <c r="AA19" s="134">
        <f>+Actuals!X9</f>
        <v>0</v>
      </c>
      <c r="AB19" s="133">
        <f>+Actuals!Y9</f>
        <v>0</v>
      </c>
      <c r="AC19" s="134">
        <f>+Actuals!Z9</f>
        <v>0</v>
      </c>
      <c r="AD19" s="133">
        <f>+Actuals!AA9</f>
        <v>0</v>
      </c>
      <c r="AE19" s="134">
        <f>+Actuals!AB9</f>
        <v>-375.69</v>
      </c>
      <c r="AF19" s="133">
        <f>+Actuals!AC9</f>
        <v>22682</v>
      </c>
      <c r="AG19" s="134">
        <f>+Actuals!AD9</f>
        <v>36987.519999999997</v>
      </c>
      <c r="AH19" s="133">
        <f>+Actuals!AE9</f>
        <v>-5678</v>
      </c>
      <c r="AI19" s="134">
        <f>+Actuals!AF9</f>
        <v>-8993.9500000000007</v>
      </c>
      <c r="AJ19" s="133">
        <f>+Actuals!AG9</f>
        <v>0</v>
      </c>
      <c r="AK19" s="134">
        <f>+Actuals!AH9</f>
        <v>0</v>
      </c>
      <c r="AL19" s="133">
        <f>+Actuals!AI9</f>
        <v>0</v>
      </c>
      <c r="AM19" s="134">
        <f>+Actuals!AJ9</f>
        <v>0</v>
      </c>
      <c r="AN19" s="133">
        <f>+Actuals!AK9</f>
        <v>0</v>
      </c>
      <c r="AO19" s="134">
        <f>+Actuals!AL9</f>
        <v>0</v>
      </c>
      <c r="AP19" s="133">
        <f>+Actuals!AM9</f>
        <v>0</v>
      </c>
      <c r="AQ19" s="134">
        <f>+Actuals!AN9</f>
        <v>0</v>
      </c>
      <c r="AR19" s="133">
        <f>+Actuals!AO9</f>
        <v>0</v>
      </c>
      <c r="AS19" s="134">
        <f>+Actuals!AP9</f>
        <v>0</v>
      </c>
    </row>
    <row r="20" spans="1:4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74834.509999999995</v>
      </c>
      <c r="F20" s="60">
        <f>'TIE-OUT'!P20+RECLASS!P20</f>
        <v>0</v>
      </c>
      <c r="G20" s="38">
        <f>'TIE-OUT'!Q20+RECLASS!Q20</f>
        <v>74834.509999999995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34">
        <f>+Actuals!L10</f>
        <v>0</v>
      </c>
      <c r="P20" s="133">
        <f>+Actuals!M10</f>
        <v>0</v>
      </c>
      <c r="Q20" s="134">
        <f>+Actuals!N10</f>
        <v>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  <c r="AJ20" s="133">
        <f>+Actuals!AG10</f>
        <v>0</v>
      </c>
      <c r="AK20" s="134">
        <f>+Actuals!AH10</f>
        <v>0</v>
      </c>
      <c r="AL20" s="133">
        <f>+Actuals!AI10</f>
        <v>0</v>
      </c>
      <c r="AM20" s="134">
        <f>+Actuals!AJ10</f>
        <v>0</v>
      </c>
      <c r="AN20" s="133">
        <f>+Actuals!AK10</f>
        <v>0</v>
      </c>
      <c r="AO20" s="134">
        <f>+Actuals!AL10</f>
        <v>0</v>
      </c>
      <c r="AP20" s="133">
        <f>+Actuals!AM10</f>
        <v>0</v>
      </c>
      <c r="AQ20" s="134">
        <f>+Actuals!AN10</f>
        <v>0</v>
      </c>
      <c r="AR20" s="133">
        <f>+Actuals!AO10</f>
        <v>0</v>
      </c>
      <c r="AS20" s="134">
        <f>+Actuals!AP10</f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  <c r="AJ21" s="133">
        <f>+Actuals!AG11</f>
        <v>0</v>
      </c>
      <c r="AK21" s="134">
        <f>+Actuals!AH11</f>
        <v>0</v>
      </c>
      <c r="AL21" s="133">
        <f>+Actuals!AI11</f>
        <v>0</v>
      </c>
      <c r="AM21" s="134">
        <f>+Actuals!AJ11</f>
        <v>0</v>
      </c>
      <c r="AN21" s="133">
        <f>+Actuals!AK11</f>
        <v>0</v>
      </c>
      <c r="AO21" s="134">
        <f>+Actuals!AL11</f>
        <v>0</v>
      </c>
      <c r="AP21" s="133">
        <f>+Actuals!AM11</f>
        <v>0</v>
      </c>
      <c r="AQ21" s="134">
        <f>+Actuals!AN11</f>
        <v>0</v>
      </c>
      <c r="AR21" s="133">
        <f>+Actuals!AO11</f>
        <v>0</v>
      </c>
      <c r="AS21" s="134">
        <f>+Actuals!AP11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  <c r="AJ22" s="133">
        <f>+Actuals!AG12</f>
        <v>0</v>
      </c>
      <c r="AK22" s="134">
        <f>+Actuals!AH12</f>
        <v>0</v>
      </c>
      <c r="AL22" s="133">
        <f>+Actuals!AI12</f>
        <v>0</v>
      </c>
      <c r="AM22" s="134">
        <f>+Actuals!AJ12</f>
        <v>0</v>
      </c>
      <c r="AN22" s="133">
        <f>+Actuals!AK12</f>
        <v>0</v>
      </c>
      <c r="AO22" s="134">
        <f>+Actuals!AL12</f>
        <v>0</v>
      </c>
      <c r="AP22" s="133">
        <f>+Actuals!AM12</f>
        <v>0</v>
      </c>
      <c r="AQ22" s="134">
        <f>+Actuals!AN12</f>
        <v>0</v>
      </c>
      <c r="AR22" s="133">
        <f>+Actuals!AO12</f>
        <v>0</v>
      </c>
      <c r="AS22" s="134">
        <f>+Actuals!AP12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  <c r="AJ23" s="133">
        <f>+Actuals!AG13</f>
        <v>0</v>
      </c>
      <c r="AK23" s="134">
        <f>+Actuals!AH13</f>
        <v>0</v>
      </c>
      <c r="AL23" s="133">
        <f>+Actuals!AI13</f>
        <v>0</v>
      </c>
      <c r="AM23" s="134">
        <f>+Actuals!AJ13</f>
        <v>0</v>
      </c>
      <c r="AN23" s="133">
        <f>+Actuals!AK13</f>
        <v>0</v>
      </c>
      <c r="AO23" s="134">
        <f>+Actuals!AL13</f>
        <v>0</v>
      </c>
      <c r="AP23" s="133">
        <f>+Actuals!AM13</f>
        <v>0</v>
      </c>
      <c r="AQ23" s="134">
        <f>+Actuals!AN13</f>
        <v>0</v>
      </c>
      <c r="AR23" s="133">
        <f>+Actuals!AO13</f>
        <v>0</v>
      </c>
      <c r="AS23" s="134">
        <f>+Actuals!AP13</f>
        <v>0</v>
      </c>
    </row>
    <row r="24" spans="1:45" x14ac:dyDescent="0.2">
      <c r="A24" s="9"/>
      <c r="B24" s="7" t="s">
        <v>37</v>
      </c>
      <c r="C24" s="6"/>
      <c r="D24" s="61">
        <f t="shared" ref="D24:AC24" si="5">SUM(D19:D23)</f>
        <v>-4293569</v>
      </c>
      <c r="E24" s="39">
        <f t="shared" si="5"/>
        <v>-6836474.8900000015</v>
      </c>
      <c r="F24" s="61">
        <f t="shared" si="5"/>
        <v>0</v>
      </c>
      <c r="G24" s="39">
        <f t="shared" si="5"/>
        <v>74834.509999999995</v>
      </c>
      <c r="H24" s="61">
        <f t="shared" si="5"/>
        <v>-4755219</v>
      </c>
      <c r="I24" s="39">
        <f t="shared" si="5"/>
        <v>-7857520.04</v>
      </c>
      <c r="J24" s="61">
        <f t="shared" si="5"/>
        <v>432535</v>
      </c>
      <c r="K24" s="154">
        <f t="shared" si="5"/>
        <v>947526.13</v>
      </c>
      <c r="L24" s="61">
        <f t="shared" si="5"/>
        <v>24749</v>
      </c>
      <c r="M24" s="39">
        <f t="shared" si="5"/>
        <v>-1268.32</v>
      </c>
      <c r="N24" s="61">
        <f t="shared" si="5"/>
        <v>7259</v>
      </c>
      <c r="O24" s="39">
        <f t="shared" si="5"/>
        <v>12606.37</v>
      </c>
      <c r="P24" s="61">
        <f t="shared" si="5"/>
        <v>9600</v>
      </c>
      <c r="Q24" s="39">
        <f t="shared" si="5"/>
        <v>14880</v>
      </c>
      <c r="R24" s="61">
        <f t="shared" si="5"/>
        <v>0</v>
      </c>
      <c r="S24" s="39">
        <f t="shared" si="5"/>
        <v>0</v>
      </c>
      <c r="T24" s="61">
        <f t="shared" si="5"/>
        <v>-18996</v>
      </c>
      <c r="U24" s="39">
        <f t="shared" si="5"/>
        <v>-33756.080000000002</v>
      </c>
      <c r="V24" s="61">
        <f t="shared" si="5"/>
        <v>0</v>
      </c>
      <c r="W24" s="39">
        <f t="shared" si="5"/>
        <v>0</v>
      </c>
      <c r="X24" s="61">
        <f t="shared" si="5"/>
        <v>-10501</v>
      </c>
      <c r="Y24" s="39">
        <f t="shared" si="5"/>
        <v>-21395.34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ref="AD24:AI24" si="6">SUM(AD19:AD23)</f>
        <v>0</v>
      </c>
      <c r="AE24" s="39">
        <f t="shared" si="6"/>
        <v>-375.69</v>
      </c>
      <c r="AF24" s="61">
        <f t="shared" si="6"/>
        <v>22682</v>
      </c>
      <c r="AG24" s="39">
        <f t="shared" si="6"/>
        <v>36987.519999999997</v>
      </c>
      <c r="AH24" s="61">
        <f t="shared" si="6"/>
        <v>-5678</v>
      </c>
      <c r="AI24" s="39">
        <f t="shared" si="6"/>
        <v>-8993.9500000000007</v>
      </c>
      <c r="AJ24" s="61">
        <f t="shared" ref="AJ24:AO24" si="7">SUM(AJ19:AJ23)</f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2900555</v>
      </c>
      <c r="E27" s="38">
        <f>SUM(G27,I27,K27,M27,O27,Q27,S27,U27,W27,Y27,AA27,AC27,AE27,AG27,AI27,AK27,AM27,AO27,AQ27,AS27)</f>
        <v>4704398.8115999997</v>
      </c>
      <c r="F27" s="64">
        <f>'TIE-OUT'!P27+RECLASS!P27</f>
        <v>0</v>
      </c>
      <c r="G27" s="68">
        <f>'TIE-OUT'!Q27+RECLASS!Q27</f>
        <v>0</v>
      </c>
      <c r="H27" s="133">
        <f>+Actuals!E14</f>
        <v>2904827</v>
      </c>
      <c r="I27" s="134">
        <f>+Actuals!F14</f>
        <v>4707714</v>
      </c>
      <c r="J27" s="133">
        <f>+Actuals!G14</f>
        <v>99077</v>
      </c>
      <c r="K27" s="153">
        <f>+Actuals!H14</f>
        <v>162439.3156</v>
      </c>
      <c r="L27" s="133">
        <f>+Actuals!I14</f>
        <v>-98161</v>
      </c>
      <c r="M27" s="134">
        <f>+Actuals!J14</f>
        <v>-159610.95699999999</v>
      </c>
      <c r="N27" s="133">
        <f>+Actuals!K14</f>
        <v>-11794</v>
      </c>
      <c r="O27" s="134">
        <f>+Actuals!L14</f>
        <v>-18660.749800000001</v>
      </c>
      <c r="P27" s="133">
        <f>+Actuals!M14</f>
        <v>0</v>
      </c>
      <c r="Q27" s="134">
        <f>+Actuals!N14</f>
        <v>0</v>
      </c>
      <c r="R27" s="133">
        <f>+Actuals!O14</f>
        <v>0</v>
      </c>
      <c r="S27" s="134">
        <f>+Actuals!P14</f>
        <v>0</v>
      </c>
      <c r="T27" s="133">
        <f>+Actuals!Q14</f>
        <v>-2838</v>
      </c>
      <c r="U27" s="134">
        <f>+Actuals!R14</f>
        <v>-4402.8732</v>
      </c>
      <c r="V27" s="133">
        <f>+Actuals!S14</f>
        <v>0</v>
      </c>
      <c r="W27" s="134">
        <f>+Actuals!T14</f>
        <v>497.73280000000068</v>
      </c>
      <c r="X27" s="133">
        <f>+Actuals!U14</f>
        <v>5453</v>
      </c>
      <c r="Y27" s="134">
        <f>+Actuals!V14</f>
        <v>8922.1985999999997</v>
      </c>
      <c r="Z27" s="133">
        <f>+Actuals!W14</f>
        <v>0</v>
      </c>
      <c r="AA27" s="134">
        <f>+Actuals!X14</f>
        <v>0</v>
      </c>
      <c r="AB27" s="133">
        <f>+Actuals!Y14</f>
        <v>0</v>
      </c>
      <c r="AC27" s="134">
        <f>+Actuals!Z14</f>
        <v>0</v>
      </c>
      <c r="AD27" s="133">
        <f>+Actuals!AA14</f>
        <v>0</v>
      </c>
      <c r="AE27" s="134">
        <f>+Actuals!AB14</f>
        <v>0</v>
      </c>
      <c r="AF27" s="133">
        <f>+Actuals!AC14</f>
        <v>-12261</v>
      </c>
      <c r="AG27" s="134">
        <f>+Actuals!AD14</f>
        <v>-19021.715400000001</v>
      </c>
      <c r="AH27" s="133">
        <f>+Actuals!AE14</f>
        <v>5678</v>
      </c>
      <c r="AI27" s="134">
        <f>+Actuals!AF14</f>
        <v>9220.6811999999991</v>
      </c>
      <c r="AJ27" s="133">
        <f>+Actuals!AG14</f>
        <v>10574</v>
      </c>
      <c r="AK27" s="134">
        <f>+Actuals!AH14</f>
        <v>17301.178800000002</v>
      </c>
      <c r="AL27" s="133">
        <f>+Actuals!AI14</f>
        <v>0</v>
      </c>
      <c r="AM27" s="134">
        <f>+Actuals!AJ14</f>
        <v>0</v>
      </c>
      <c r="AN27" s="133">
        <f>+Actuals!AK14</f>
        <v>0</v>
      </c>
      <c r="AO27" s="134">
        <f>+Actuals!AL14</f>
        <v>0</v>
      </c>
      <c r="AP27" s="133">
        <f>+Actuals!AM14</f>
        <v>0</v>
      </c>
      <c r="AQ27" s="134">
        <f>+Actuals!AN14</f>
        <v>0</v>
      </c>
      <c r="AR27" s="133">
        <f>+Actuals!AO14</f>
        <v>0</v>
      </c>
      <c r="AS27" s="134">
        <f>+Actuals!AP14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-12188411</v>
      </c>
      <c r="E28" s="38">
        <f>SUM(G28,I28,K28,M28,O28,Q28,S28,U28,W28,Y28,AA28,AC28,AE28,AG28,AI28,AK28,AM28,AO28,AQ28,AS28)</f>
        <v>-20104150.75</v>
      </c>
      <c r="F28" s="81">
        <f>'TIE-OUT'!P28+RECLASS!P28</f>
        <v>0</v>
      </c>
      <c r="G28" s="82">
        <f>'TIE-OUT'!Q28+RECLASS!Q28</f>
        <v>0</v>
      </c>
      <c r="H28" s="133">
        <f>+Actuals!E15</f>
        <v>-11253547</v>
      </c>
      <c r="I28" s="134">
        <f>+Actuals!F15</f>
        <v>-18558051</v>
      </c>
      <c r="J28" s="133">
        <f>+Actuals!G15</f>
        <v>-1001200</v>
      </c>
      <c r="K28" s="153">
        <f>+Actuals!H15</f>
        <v>-1655391.74</v>
      </c>
      <c r="L28" s="133">
        <f>+Actuals!I15</f>
        <v>74266</v>
      </c>
      <c r="M28" s="134">
        <f>+Actuals!J15</f>
        <v>122523.97</v>
      </c>
      <c r="N28" s="133">
        <f>+Actuals!K15</f>
        <v>5055</v>
      </c>
      <c r="O28" s="134">
        <f>+Actuals!L15</f>
        <v>8193.27</v>
      </c>
      <c r="P28" s="133">
        <f>+Actuals!M15</f>
        <v>-9600</v>
      </c>
      <c r="Q28" s="134">
        <f>+Actuals!N15</f>
        <v>-15840</v>
      </c>
      <c r="R28" s="133">
        <f>+Actuals!O15</f>
        <v>17149</v>
      </c>
      <c r="S28" s="134">
        <f>+Actuals!P15</f>
        <v>28295.85</v>
      </c>
      <c r="T28" s="133">
        <f>+Actuals!Q15</f>
        <v>0</v>
      </c>
      <c r="U28" s="134">
        <f>+Actuals!R15</f>
        <v>0</v>
      </c>
      <c r="V28" s="133">
        <f>+Actuals!S15</f>
        <v>-17173</v>
      </c>
      <c r="W28" s="134">
        <f>+Actuals!T15</f>
        <v>-28335.45</v>
      </c>
      <c r="X28" s="133">
        <f>+Actuals!U15</f>
        <v>0</v>
      </c>
      <c r="Y28" s="134">
        <f>+Actuals!V15</f>
        <v>0</v>
      </c>
      <c r="Z28" s="133">
        <f>+Actuals!W15</f>
        <v>0</v>
      </c>
      <c r="AA28" s="134">
        <f>+Actuals!X15</f>
        <v>0</v>
      </c>
      <c r="AB28" s="133">
        <f>+Actuals!Y15</f>
        <v>0</v>
      </c>
      <c r="AC28" s="134">
        <f>+Actuals!Z15</f>
        <v>0</v>
      </c>
      <c r="AD28" s="133">
        <f>+Actuals!AA15</f>
        <v>0</v>
      </c>
      <c r="AE28" s="134">
        <f>+Actuals!AB15</f>
        <v>0</v>
      </c>
      <c r="AF28" s="133">
        <f>+Actuals!AC15</f>
        <v>7213</v>
      </c>
      <c r="AG28" s="134">
        <f>+Actuals!AD15</f>
        <v>11901.45</v>
      </c>
      <c r="AH28" s="133">
        <f>+Actuals!AE15</f>
        <v>0</v>
      </c>
      <c r="AI28" s="134">
        <f>+Actuals!AF15</f>
        <v>0</v>
      </c>
      <c r="AJ28" s="133">
        <f>+Actuals!AG15</f>
        <v>-10574</v>
      </c>
      <c r="AK28" s="134">
        <f>+Actuals!AH15</f>
        <v>-17447.099999999999</v>
      </c>
      <c r="AL28" s="133">
        <f>+Actuals!AI15</f>
        <v>0</v>
      </c>
      <c r="AM28" s="134">
        <f>+Actuals!AJ15</f>
        <v>0</v>
      </c>
      <c r="AN28" s="133">
        <f>+Actuals!AK15</f>
        <v>0</v>
      </c>
      <c r="AO28" s="134">
        <f>+Actuals!AL15</f>
        <v>0</v>
      </c>
      <c r="AP28" s="133">
        <f>+Actuals!AM15</f>
        <v>0</v>
      </c>
      <c r="AQ28" s="134">
        <f>+Actuals!AN15</f>
        <v>0</v>
      </c>
      <c r="AR28" s="133">
        <f>+Actuals!AO15</f>
        <v>0</v>
      </c>
      <c r="AS28" s="134">
        <f>+Actuals!AP15</f>
        <v>0</v>
      </c>
    </row>
    <row r="29" spans="1:45" x14ac:dyDescent="0.2">
      <c r="A29" s="9"/>
      <c r="B29" s="7" t="s">
        <v>41</v>
      </c>
      <c r="C29" s="18"/>
      <c r="D29" s="61">
        <f t="shared" ref="D29:AC29" si="8">SUM(D27:D28)</f>
        <v>-9287856</v>
      </c>
      <c r="E29" s="39">
        <f t="shared" si="8"/>
        <v>-15399751.9384</v>
      </c>
      <c r="F29" s="61">
        <f t="shared" si="8"/>
        <v>0</v>
      </c>
      <c r="G29" s="39">
        <f t="shared" si="8"/>
        <v>0</v>
      </c>
      <c r="H29" s="61">
        <f t="shared" si="8"/>
        <v>-8348720</v>
      </c>
      <c r="I29" s="39">
        <f t="shared" si="8"/>
        <v>-13850337</v>
      </c>
      <c r="J29" s="61">
        <f t="shared" si="8"/>
        <v>-902123</v>
      </c>
      <c r="K29" s="154">
        <f t="shared" si="8"/>
        <v>-1492952.4243999999</v>
      </c>
      <c r="L29" s="61">
        <f t="shared" si="8"/>
        <v>-23895</v>
      </c>
      <c r="M29" s="39">
        <f t="shared" si="8"/>
        <v>-37086.986999999994</v>
      </c>
      <c r="N29" s="61">
        <f t="shared" si="8"/>
        <v>-6739</v>
      </c>
      <c r="O29" s="39">
        <f t="shared" si="8"/>
        <v>-10467.479800000001</v>
      </c>
      <c r="P29" s="61">
        <f t="shared" si="8"/>
        <v>-9600</v>
      </c>
      <c r="Q29" s="39">
        <f t="shared" si="8"/>
        <v>-15840</v>
      </c>
      <c r="R29" s="61">
        <f t="shared" si="8"/>
        <v>17149</v>
      </c>
      <c r="S29" s="39">
        <f t="shared" si="8"/>
        <v>28295.85</v>
      </c>
      <c r="T29" s="61">
        <f t="shared" si="8"/>
        <v>-2838</v>
      </c>
      <c r="U29" s="39">
        <f t="shared" si="8"/>
        <v>-4402.8732</v>
      </c>
      <c r="V29" s="61">
        <f t="shared" si="8"/>
        <v>-17173</v>
      </c>
      <c r="W29" s="39">
        <f t="shared" si="8"/>
        <v>-27837.717199999999</v>
      </c>
      <c r="X29" s="61">
        <f t="shared" si="8"/>
        <v>5453</v>
      </c>
      <c r="Y29" s="39">
        <f t="shared" si="8"/>
        <v>8922.1985999999997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ref="AD29:AI29" si="9">SUM(AD27:AD28)</f>
        <v>0</v>
      </c>
      <c r="AE29" s="39">
        <f t="shared" si="9"/>
        <v>0</v>
      </c>
      <c r="AF29" s="61">
        <f t="shared" si="9"/>
        <v>-5048</v>
      </c>
      <c r="AG29" s="39">
        <f t="shared" si="9"/>
        <v>-7120.2654000000002</v>
      </c>
      <c r="AH29" s="61">
        <f t="shared" si="9"/>
        <v>5678</v>
      </c>
      <c r="AI29" s="39">
        <f t="shared" si="9"/>
        <v>9220.6811999999991</v>
      </c>
      <c r="AJ29" s="61">
        <f t="shared" ref="AJ29:AO29" si="10">SUM(AJ27:AJ28)</f>
        <v>0</v>
      </c>
      <c r="AK29" s="39">
        <f t="shared" si="10"/>
        <v>-145.92119999999704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SUM(F32,H32,J32,L32,N32,P32,R32,T32,V32,X32,Z32,AB32,AD32,AF32,AH32,AJ32,AL32,AN32,AP32,AR32)</f>
        <v>0</v>
      </c>
      <c r="E32" s="38">
        <f t="shared" si="11"/>
        <v>2.000000002226443E-3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-20284</v>
      </c>
      <c r="K32" s="153">
        <f>+Actuals!H16</f>
        <v>-31196.792000000001</v>
      </c>
      <c r="L32" s="133">
        <f>+Actuals!I16</f>
        <v>19398</v>
      </c>
      <c r="M32" s="134">
        <f>+Actuals!J16</f>
        <v>29586.044000000002</v>
      </c>
      <c r="N32" s="133">
        <f>+Actuals!K16</f>
        <v>886</v>
      </c>
      <c r="O32" s="134">
        <f>+Actuals!L16</f>
        <v>1610.75</v>
      </c>
      <c r="P32" s="133">
        <f>+Actuals!M16</f>
        <v>0</v>
      </c>
      <c r="Q32" s="134">
        <f>+Actuals!N16</f>
        <v>0</v>
      </c>
      <c r="R32" s="133">
        <f>+Actuals!O16</f>
        <v>0</v>
      </c>
      <c r="S32" s="134">
        <f>+Actuals!P16</f>
        <v>0</v>
      </c>
      <c r="T32" s="133">
        <f>+Actuals!Q16</f>
        <v>-5048</v>
      </c>
      <c r="U32" s="134">
        <f>+Actuals!R16</f>
        <v>-13059.175999999999</v>
      </c>
      <c r="V32" s="133">
        <f>+Actuals!S16</f>
        <v>0</v>
      </c>
      <c r="W32" s="134">
        <f>+Actuals!T16</f>
        <v>-1418.4880000000001</v>
      </c>
      <c r="X32" s="133">
        <f>+Actuals!U16</f>
        <v>5048</v>
      </c>
      <c r="Y32" s="134">
        <f>+Actuals!V16</f>
        <v>14477.664000000001</v>
      </c>
      <c r="Z32" s="133">
        <f>+Actuals!W16</f>
        <v>0</v>
      </c>
      <c r="AA32" s="134">
        <f>+Actuals!X16</f>
        <v>0</v>
      </c>
      <c r="AB32" s="133">
        <f>+Actuals!Y16</f>
        <v>0</v>
      </c>
      <c r="AC32" s="134">
        <f>+Actuals!Z16</f>
        <v>0</v>
      </c>
      <c r="AD32" s="133">
        <f>+Actuals!AA16</f>
        <v>0</v>
      </c>
      <c r="AE32" s="134">
        <f>+Actuals!AB16</f>
        <v>0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  <c r="AJ32" s="133">
        <f>+Actuals!AG16</f>
        <v>0</v>
      </c>
      <c r="AK32" s="134">
        <f>+Actuals!AH16</f>
        <v>0</v>
      </c>
      <c r="AL32" s="133">
        <f>+Actuals!AI16</f>
        <v>0</v>
      </c>
      <c r="AM32" s="134">
        <f>+Actuals!AJ16</f>
        <v>0</v>
      </c>
      <c r="AN32" s="133">
        <f>+Actuals!AK16</f>
        <v>0</v>
      </c>
      <c r="AO32" s="134">
        <f>+Actuals!AL16</f>
        <v>0</v>
      </c>
      <c r="AP32" s="133">
        <f>+Actuals!AM16</f>
        <v>0</v>
      </c>
      <c r="AQ32" s="134">
        <f>+Actuals!AN16</f>
        <v>0</v>
      </c>
      <c r="AR32" s="133">
        <f>+Actuals!AO16</f>
        <v>0</v>
      </c>
      <c r="AS32" s="134">
        <f>+Actuals!AP16</f>
        <v>0</v>
      </c>
    </row>
    <row r="33" spans="1:4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  <c r="AJ33" s="133">
        <f>+Actuals!AG17</f>
        <v>0</v>
      </c>
      <c r="AK33" s="134">
        <f>+Actuals!AH17</f>
        <v>0</v>
      </c>
      <c r="AL33" s="133">
        <f>+Actuals!AI17</f>
        <v>0</v>
      </c>
      <c r="AM33" s="134">
        <f>+Actuals!AJ17</f>
        <v>0</v>
      </c>
      <c r="AN33" s="133">
        <f>+Actuals!AK17</f>
        <v>0</v>
      </c>
      <c r="AO33" s="134">
        <f>+Actuals!AL17</f>
        <v>0</v>
      </c>
      <c r="AP33" s="133">
        <f>+Actuals!AM17</f>
        <v>0</v>
      </c>
      <c r="AQ33" s="134">
        <f>+Actuals!AN17</f>
        <v>0</v>
      </c>
      <c r="AR33" s="133">
        <f>+Actuals!AO17</f>
        <v>0</v>
      </c>
      <c r="AS33" s="134">
        <f>+Actuals!AP17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  <c r="AJ34" s="133">
        <f>+Actuals!AG18</f>
        <v>0</v>
      </c>
      <c r="AK34" s="134">
        <f>+Actuals!AH18</f>
        <v>0</v>
      </c>
      <c r="AL34" s="133">
        <f>+Actuals!AI18</f>
        <v>0</v>
      </c>
      <c r="AM34" s="134">
        <f>+Actuals!AJ18</f>
        <v>0</v>
      </c>
      <c r="AN34" s="133">
        <f>+Actuals!AK18</f>
        <v>0</v>
      </c>
      <c r="AO34" s="134">
        <f>+Actuals!AL18</f>
        <v>0</v>
      </c>
      <c r="AP34" s="133">
        <f>+Actuals!AM18</f>
        <v>0</v>
      </c>
      <c r="AQ34" s="134">
        <f>+Actuals!AN18</f>
        <v>0</v>
      </c>
      <c r="AR34" s="133">
        <f>+Actuals!AO18</f>
        <v>0</v>
      </c>
      <c r="AS34" s="134">
        <f>+Actuals!AP18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  <c r="AJ35" s="133">
        <f>+Actuals!AG19</f>
        <v>0</v>
      </c>
      <c r="AK35" s="134">
        <f>+Actuals!AH19</f>
        <v>0</v>
      </c>
      <c r="AL35" s="133">
        <f>+Actuals!AI19</f>
        <v>0</v>
      </c>
      <c r="AM35" s="134">
        <f>+Actuals!AJ19</f>
        <v>0</v>
      </c>
      <c r="AN35" s="133">
        <f>+Actuals!AK19</f>
        <v>0</v>
      </c>
      <c r="AO35" s="134">
        <f>+Actuals!AL19</f>
        <v>0</v>
      </c>
      <c r="AP35" s="133">
        <f>+Actuals!AM19</f>
        <v>0</v>
      </c>
      <c r="AQ35" s="134">
        <f>+Actuals!AN19</f>
        <v>0</v>
      </c>
      <c r="AR35" s="133">
        <f>+Actuals!AO19</f>
        <v>0</v>
      </c>
      <c r="AS35" s="134">
        <f>+Actuals!AP19</f>
        <v>0</v>
      </c>
    </row>
    <row r="36" spans="1:45" x14ac:dyDescent="0.2">
      <c r="A36" s="9"/>
      <c r="B36" s="7" t="s">
        <v>47</v>
      </c>
      <c r="C36" s="6"/>
      <c r="D36" s="61">
        <f t="shared" ref="D36:AC36" si="12">SUM(D32:D35)</f>
        <v>0</v>
      </c>
      <c r="E36" s="39">
        <f t="shared" si="12"/>
        <v>2.000000002226443E-3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-20284</v>
      </c>
      <c r="K36" s="154">
        <f t="shared" si="12"/>
        <v>-31196.792000000001</v>
      </c>
      <c r="L36" s="61">
        <f t="shared" si="12"/>
        <v>19398</v>
      </c>
      <c r="M36" s="39">
        <f t="shared" si="12"/>
        <v>29586.044000000002</v>
      </c>
      <c r="N36" s="61">
        <f t="shared" si="12"/>
        <v>886</v>
      </c>
      <c r="O36" s="39">
        <f t="shared" si="12"/>
        <v>1610.75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-5048</v>
      </c>
      <c r="U36" s="39">
        <f t="shared" si="12"/>
        <v>-13059.175999999999</v>
      </c>
      <c r="V36" s="61">
        <f t="shared" si="12"/>
        <v>0</v>
      </c>
      <c r="W36" s="39">
        <f t="shared" si="12"/>
        <v>-1418.4880000000001</v>
      </c>
      <c r="X36" s="61">
        <f t="shared" si="12"/>
        <v>5048</v>
      </c>
      <c r="Y36" s="39">
        <f t="shared" si="12"/>
        <v>14477.664000000001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ref="AD36:AI36" si="13">SUM(AD32:AD35)</f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ref="AJ36:AO36" si="14">SUM(AJ32:AJ35)</f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0</v>
      </c>
      <c r="O39" s="134">
        <f>+Actuals!L20</f>
        <v>0</v>
      </c>
      <c r="P39" s="133">
        <f>+Actuals!M20</f>
        <v>0</v>
      </c>
      <c r="Q39" s="134">
        <f>+Actuals!N20</f>
        <v>0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  <c r="AJ39" s="133">
        <f>+Actuals!AG20</f>
        <v>0</v>
      </c>
      <c r="AK39" s="134">
        <f>+Actuals!AH20</f>
        <v>0</v>
      </c>
      <c r="AL39" s="133">
        <f>+Actuals!AI20</f>
        <v>0</v>
      </c>
      <c r="AM39" s="134">
        <f>+Actuals!AJ20</f>
        <v>0</v>
      </c>
      <c r="AN39" s="133">
        <f>+Actuals!AK20</f>
        <v>0</v>
      </c>
      <c r="AO39" s="134">
        <f>+Actuals!AL20</f>
        <v>0</v>
      </c>
      <c r="AP39" s="133">
        <f>+Actuals!AM20</f>
        <v>0</v>
      </c>
      <c r="AQ39" s="134">
        <f>+Actuals!AN20</f>
        <v>0</v>
      </c>
      <c r="AR39" s="133">
        <f>+Actuals!AO20</f>
        <v>0</v>
      </c>
      <c r="AS39" s="134">
        <f>+Actuals!AP20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33">
        <f>+Actuals!E21</f>
        <v>0</v>
      </c>
      <c r="I40" s="134">
        <f>+Actuals!F21</f>
        <v>0</v>
      </c>
      <c r="J40" s="133">
        <f>+Actuals!G21</f>
        <v>0</v>
      </c>
      <c r="K40" s="153">
        <f>+Actuals!H21</f>
        <v>0</v>
      </c>
      <c r="L40" s="133">
        <f>+Actuals!I21</f>
        <v>0</v>
      </c>
      <c r="M40" s="134">
        <f>+Actuals!J21</f>
        <v>0</v>
      </c>
      <c r="N40" s="133">
        <f>+Actuals!K21</f>
        <v>0</v>
      </c>
      <c r="O40" s="134">
        <f>+Actuals!L21</f>
        <v>0</v>
      </c>
      <c r="P40" s="133">
        <f>+Actuals!M21</f>
        <v>0</v>
      </c>
      <c r="Q40" s="134">
        <f>+Actuals!N21</f>
        <v>0</v>
      </c>
      <c r="R40" s="133">
        <f>+Actuals!O21</f>
        <v>0</v>
      </c>
      <c r="S40" s="134">
        <f>+Actuals!P21</f>
        <v>0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  <c r="AJ40" s="133">
        <f>+Actuals!AG21</f>
        <v>0</v>
      </c>
      <c r="AK40" s="134">
        <f>+Actuals!AH21</f>
        <v>0</v>
      </c>
      <c r="AL40" s="133">
        <f>+Actuals!AI21</f>
        <v>0</v>
      </c>
      <c r="AM40" s="134">
        <f>+Actuals!AJ21</f>
        <v>0</v>
      </c>
      <c r="AN40" s="133">
        <f>+Actuals!AK21</f>
        <v>0</v>
      </c>
      <c r="AO40" s="134">
        <f>+Actuals!AL21</f>
        <v>0</v>
      </c>
      <c r="AP40" s="133">
        <f>+Actuals!AM21</f>
        <v>0</v>
      </c>
      <c r="AQ40" s="134">
        <f>+Actuals!AN21</f>
        <v>0</v>
      </c>
      <c r="AR40" s="133">
        <f>+Actuals!AO21</f>
        <v>0</v>
      </c>
      <c r="AS40" s="134">
        <f>+Actuals!AP21</f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  <c r="AJ41" s="133">
        <f>+Actuals!AG22</f>
        <v>0</v>
      </c>
      <c r="AK41" s="134">
        <f>+Actuals!AH22</f>
        <v>0</v>
      </c>
      <c r="AL41" s="133">
        <f>+Actuals!AI22</f>
        <v>0</v>
      </c>
      <c r="AM41" s="134">
        <f>+Actuals!AJ22</f>
        <v>0</v>
      </c>
      <c r="AN41" s="133">
        <f>+Actuals!AK22</f>
        <v>0</v>
      </c>
      <c r="AO41" s="134">
        <f>+Actuals!AL22</f>
        <v>0</v>
      </c>
      <c r="AP41" s="133">
        <f>+Actuals!AM22</f>
        <v>0</v>
      </c>
      <c r="AQ41" s="134">
        <f>+Actuals!AN22</f>
        <v>0</v>
      </c>
      <c r="AR41" s="133">
        <f>+Actuals!AO22</f>
        <v>0</v>
      </c>
      <c r="AS41" s="134">
        <f>+Actuals!AP22</f>
        <v>0</v>
      </c>
    </row>
    <row r="42" spans="1:45" x14ac:dyDescent="0.2">
      <c r="A42" s="9"/>
      <c r="B42" s="7"/>
      <c r="C42" s="53" t="s">
        <v>52</v>
      </c>
      <c r="D42" s="61">
        <f t="shared" ref="D42:AC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ref="AD42:AI42" si="17">SUM(AD40:AD41)</f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ref="AJ42:AO42" si="18">SUM(AJ40:AJ41)</f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 t="shared" ref="D43:AC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ref="AD43:AI43" si="20">AD42+AD39</f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ref="AJ43:AO43" si="21">AJ42+AJ39</f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2">SUM(F45,H45,J45,L45,N45,P45,R45,T45,V45,X45,Z45,AB45,AD45,AF45,AH45,AJ45,AL45,AN45,AP45,AR45)</f>
        <v>0</v>
      </c>
      <c r="E45" s="38">
        <f t="shared" si="22"/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  <c r="AJ45" s="133">
        <f>+Actuals!AG23</f>
        <v>0</v>
      </c>
      <c r="AK45" s="134">
        <f>+Actuals!AH23</f>
        <v>0</v>
      </c>
      <c r="AL45" s="133">
        <f>+Actuals!AI23</f>
        <v>0</v>
      </c>
      <c r="AM45" s="134">
        <f>+Actuals!AJ23</f>
        <v>0</v>
      </c>
      <c r="AN45" s="133">
        <f>+Actuals!AK23</f>
        <v>0</v>
      </c>
      <c r="AO45" s="134">
        <f>+Actuals!AL23</f>
        <v>0</v>
      </c>
      <c r="AP45" s="133">
        <f>+Actuals!AM23</f>
        <v>0</v>
      </c>
      <c r="AQ45" s="134">
        <f>+Actuals!AN23</f>
        <v>0</v>
      </c>
      <c r="AR45" s="133">
        <f>+Actuals!AO23</f>
        <v>0</v>
      </c>
      <c r="AS45" s="134">
        <f>+Actuals!AP23</f>
        <v>0</v>
      </c>
    </row>
    <row r="46" spans="1:45" x14ac:dyDescent="0.2">
      <c r="A46" s="9"/>
      <c r="B46" s="11"/>
      <c r="C46" s="6"/>
      <c r="D46" s="60">
        <f t="shared" si="22"/>
        <v>0</v>
      </c>
      <c r="E46" s="38">
        <f t="shared" si="22"/>
        <v>0</v>
      </c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2"/>
        <v>0</v>
      </c>
      <c r="E47" s="38">
        <f t="shared" si="22"/>
        <v>-14647.13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-9000</v>
      </c>
      <c r="L47" s="133">
        <f>+Actuals!I24</f>
        <v>0</v>
      </c>
      <c r="M47" s="134">
        <f>+Actuals!J24</f>
        <v>9717.56</v>
      </c>
      <c r="N47" s="133">
        <f>+Actuals!K24</f>
        <v>0</v>
      </c>
      <c r="O47" s="134">
        <f>+Actuals!L24</f>
        <v>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v>-24364.69</v>
      </c>
      <c r="V47" s="133">
        <f>+Actuals!S24</f>
        <v>0</v>
      </c>
      <c r="W47" s="134">
        <f>+Actuals!T24</f>
        <v>0</v>
      </c>
      <c r="X47" s="133">
        <f>+Actuals!U24</f>
        <v>0</v>
      </c>
      <c r="Y47" s="134">
        <f>+Actuals!V24</f>
        <v>0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  <c r="AJ47" s="133">
        <f>+Actuals!AG24</f>
        <v>0</v>
      </c>
      <c r="AK47" s="134">
        <f>+Actuals!AH24</f>
        <v>0</v>
      </c>
      <c r="AL47" s="133">
        <f>+Actuals!AI24</f>
        <v>0</v>
      </c>
      <c r="AM47" s="134">
        <f>+Actuals!AJ24</f>
        <v>0</v>
      </c>
      <c r="AN47" s="133">
        <f>+Actuals!AK24</f>
        <v>0</v>
      </c>
      <c r="AO47" s="134">
        <f>+Actuals!AL24</f>
        <v>0</v>
      </c>
      <c r="AP47" s="133">
        <f>+Actuals!AM24</f>
        <v>0</v>
      </c>
      <c r="AQ47" s="134">
        <f>+Actuals!AN24</f>
        <v>0</v>
      </c>
      <c r="AR47" s="133">
        <f>+Actuals!AO24</f>
        <v>0</v>
      </c>
      <c r="AS47" s="134">
        <f>+Actuals!AP24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0</v>
      </c>
      <c r="E49" s="38">
        <f>SUM(G49,I49,K49,M49,O49,Q49,S49,U49,W49,Y49,AA49,AC49,AE49,AG49,AI49,AK49,AM49,AO49,AQ49,AS49)</f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  <c r="AJ49" s="133">
        <f>+Actuals!AG25</f>
        <v>0</v>
      </c>
      <c r="AK49" s="134">
        <f>+Actuals!AH25</f>
        <v>0</v>
      </c>
      <c r="AL49" s="133">
        <f>+Actuals!AI25</f>
        <v>0</v>
      </c>
      <c r="AM49" s="134">
        <f>+Actuals!AJ25</f>
        <v>0</v>
      </c>
      <c r="AN49" s="133">
        <f>+Actuals!AK25</f>
        <v>0</v>
      </c>
      <c r="AO49" s="134">
        <f>+Actuals!AL25</f>
        <v>0</v>
      </c>
      <c r="AP49" s="133">
        <f>+Actuals!AM25</f>
        <v>0</v>
      </c>
      <c r="AQ49" s="134">
        <f>+Actuals!AN25</f>
        <v>0</v>
      </c>
      <c r="AR49" s="133">
        <f>+Actuals!AO25</f>
        <v>0</v>
      </c>
      <c r="AS49" s="134">
        <f>+Actuals!AP25</f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0</v>
      </c>
      <c r="E51" s="38">
        <f>SUM(G51,I51,K51,M51,O51,Q51,S51,U51,W51,Y51,AA51,AC51,AE51,AG51,AI51,AK51,AM51,AO51,AQ51,AS51)</f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  <c r="AJ51" s="133">
        <f>+Actuals!AG26</f>
        <v>0</v>
      </c>
      <c r="AK51" s="134">
        <f>+Actuals!AH26</f>
        <v>0</v>
      </c>
      <c r="AL51" s="133">
        <f>+Actuals!AI26</f>
        <v>0</v>
      </c>
      <c r="AM51" s="134">
        <f>+Actuals!AJ26</f>
        <v>0</v>
      </c>
      <c r="AN51" s="133">
        <f>+Actuals!AK26</f>
        <v>0</v>
      </c>
      <c r="AO51" s="134">
        <f>+Actuals!AL26</f>
        <v>0</v>
      </c>
      <c r="AP51" s="133">
        <f>+Actuals!AM26</f>
        <v>0</v>
      </c>
      <c r="AQ51" s="134">
        <f>+Actuals!AN26</f>
        <v>0</v>
      </c>
      <c r="AR51" s="133">
        <f>+Actuals!AO26</f>
        <v>0</v>
      </c>
      <c r="AS51" s="134">
        <f>+Actuals!AP26</f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0</v>
      </c>
      <c r="E54" s="38">
        <f>SUM(G54,I54,K54,M54,O54,Q54,S54,U54,W54,Y54,AA54,AC54,AE54,AG54,AI54,AK54,AM54,AO54,AQ54,AS54)</f>
        <v>16589.419999999998</v>
      </c>
      <c r="F54" s="64">
        <f>'TIE-OUT'!P54+RECLASS!P54</f>
        <v>0</v>
      </c>
      <c r="G54" s="68">
        <f>'TIE-OUT'!Q54+RECLASS!Q54</f>
        <v>0</v>
      </c>
      <c r="H54" s="133">
        <f>+Actuals!E27</f>
        <v>0</v>
      </c>
      <c r="I54" s="134">
        <f>+Actuals!F27</f>
        <v>15975.65</v>
      </c>
      <c r="J54" s="133">
        <f>+Actuals!G27</f>
        <v>0</v>
      </c>
      <c r="K54" s="153">
        <f>+Actuals!H27</f>
        <v>613.77</v>
      </c>
      <c r="L54" s="133">
        <f>+Actuals!I27</f>
        <v>0</v>
      </c>
      <c r="M54" s="134">
        <f>+Actuals!J27</f>
        <v>0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0</v>
      </c>
      <c r="X54" s="133">
        <f>+Actuals!U27</f>
        <v>0</v>
      </c>
      <c r="Y54" s="134">
        <f>+Actuals!V27</f>
        <v>0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  <c r="AJ54" s="133">
        <f>+Actuals!AG27</f>
        <v>0</v>
      </c>
      <c r="AK54" s="134">
        <f>+Actuals!AH27</f>
        <v>0</v>
      </c>
      <c r="AL54" s="133">
        <f>+Actuals!AI27</f>
        <v>0</v>
      </c>
      <c r="AM54" s="134">
        <f>+Actuals!AJ27</f>
        <v>0</v>
      </c>
      <c r="AN54" s="133">
        <f>+Actuals!AK27</f>
        <v>0</v>
      </c>
      <c r="AO54" s="134">
        <f>+Actuals!AL27</f>
        <v>0</v>
      </c>
      <c r="AP54" s="133">
        <f>+Actuals!AM27</f>
        <v>0</v>
      </c>
      <c r="AQ54" s="134">
        <f>+Actuals!AN27</f>
        <v>0</v>
      </c>
      <c r="AR54" s="133">
        <f>+Actuals!AO27</f>
        <v>0</v>
      </c>
      <c r="AS54" s="134">
        <f>+Actuals!AP27</f>
        <v>0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-581952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72">
        <f>+Actuals!J28-803059</f>
        <v>-803059</v>
      </c>
      <c r="N55" s="133">
        <f>+Actuals!K28</f>
        <v>0</v>
      </c>
      <c r="O55" s="134">
        <f>+Actuals!L28</f>
        <v>0</v>
      </c>
      <c r="P55" s="133">
        <f>+Actuals!M28</f>
        <v>0</v>
      </c>
      <c r="Q55" s="134">
        <f>+Actuals!N28+221107</f>
        <v>221107</v>
      </c>
      <c r="R55" s="133">
        <f>+Actuals!O28</f>
        <v>0</v>
      </c>
      <c r="S55" s="134">
        <f>+Actuals!P28</f>
        <v>0</v>
      </c>
      <c r="T55" s="133">
        <f>+Actuals!Q28</f>
        <v>0</v>
      </c>
      <c r="U55" s="134">
        <f>+Actuals!R28</f>
        <v>0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  <c r="AJ55" s="133">
        <f>+Actuals!AG28</f>
        <v>0</v>
      </c>
      <c r="AK55" s="134">
        <f>+Actuals!AH28</f>
        <v>0</v>
      </c>
      <c r="AL55" s="133">
        <f>+Actuals!AI28</f>
        <v>0</v>
      </c>
      <c r="AM55" s="134">
        <f>+Actuals!AJ28</f>
        <v>0</v>
      </c>
      <c r="AN55" s="133">
        <f>+Actuals!AK28</f>
        <v>0</v>
      </c>
      <c r="AO55" s="134">
        <f>+Actuals!AL28</f>
        <v>0</v>
      </c>
      <c r="AP55" s="133">
        <f>+Actuals!AM28</f>
        <v>0</v>
      </c>
      <c r="AQ55" s="134">
        <f>+Actuals!AN28</f>
        <v>0</v>
      </c>
      <c r="AR55" s="133">
        <f>+Actuals!AO28</f>
        <v>0</v>
      </c>
      <c r="AS55" s="134">
        <f>+Actuals!AP28</f>
        <v>0</v>
      </c>
    </row>
    <row r="56" spans="1:45" x14ac:dyDescent="0.2">
      <c r="A56" s="9"/>
      <c r="B56" s="7" t="s">
        <v>61</v>
      </c>
      <c r="C56" s="6"/>
      <c r="D56" s="61">
        <f t="shared" ref="D56:AC56" si="23">SUM(D54:D55)</f>
        <v>0</v>
      </c>
      <c r="E56" s="39">
        <f t="shared" si="23"/>
        <v>-565362.57999999996</v>
      </c>
      <c r="F56" s="61">
        <f t="shared" si="23"/>
        <v>0</v>
      </c>
      <c r="G56" s="39">
        <f t="shared" si="23"/>
        <v>0</v>
      </c>
      <c r="H56" s="61">
        <f t="shared" si="23"/>
        <v>0</v>
      </c>
      <c r="I56" s="39">
        <f t="shared" si="23"/>
        <v>15975.65</v>
      </c>
      <c r="J56" s="61">
        <f t="shared" si="23"/>
        <v>0</v>
      </c>
      <c r="K56" s="154">
        <f t="shared" si="23"/>
        <v>613.77</v>
      </c>
      <c r="L56" s="61">
        <f t="shared" si="23"/>
        <v>0</v>
      </c>
      <c r="M56" s="39">
        <f t="shared" si="23"/>
        <v>-803059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221107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ref="AJ56:AO56" si="25">SUM(AJ54:AJ55)</f>
        <v>0</v>
      </c>
      <c r="AK56" s="39">
        <f t="shared" si="25"/>
        <v>0</v>
      </c>
      <c r="AL56" s="61">
        <f t="shared" si="25"/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662.5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350</v>
      </c>
      <c r="J59" s="133">
        <f>+Actuals!G29</f>
        <v>0</v>
      </c>
      <c r="K59" s="153">
        <f>+Actuals!H29</f>
        <v>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312.5</v>
      </c>
      <c r="P59" s="133">
        <f>+Actuals!M29</f>
        <v>0</v>
      </c>
      <c r="Q59" s="134">
        <f>+Actuals!N29</f>
        <v>0</v>
      </c>
      <c r="R59" s="133">
        <f>+Actuals!O29</f>
        <v>0</v>
      </c>
      <c r="S59" s="134">
        <f>+Actuals!P29</f>
        <v>0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0</v>
      </c>
      <c r="AB59" s="133">
        <f>+Actuals!Y29</f>
        <v>0</v>
      </c>
      <c r="AC59" s="134">
        <f>+Actuals!Z29</f>
        <v>0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  <c r="AJ59" s="133">
        <f>+Actuals!AG29</f>
        <v>0</v>
      </c>
      <c r="AK59" s="134">
        <f>+Actuals!AH29</f>
        <v>0</v>
      </c>
      <c r="AL59" s="133">
        <f>+Actuals!AI29</f>
        <v>0</v>
      </c>
      <c r="AM59" s="134">
        <f>+Actuals!AJ29</f>
        <v>0</v>
      </c>
      <c r="AN59" s="133">
        <f>+Actuals!AK29</f>
        <v>0</v>
      </c>
      <c r="AO59" s="134">
        <f>+Actuals!AL29</f>
        <v>0</v>
      </c>
      <c r="AP59" s="133">
        <f>+Actuals!AM29</f>
        <v>0</v>
      </c>
      <c r="AQ59" s="134">
        <f>+Actuals!AN29</f>
        <v>0</v>
      </c>
      <c r="AR59" s="133">
        <f>+Actuals!AO29</f>
        <v>0</v>
      </c>
      <c r="AS59" s="134">
        <f>+Actuals!AP29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</f>
        <v>0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  <c r="AJ60" s="133">
        <f>+Actuals!AG30</f>
        <v>0</v>
      </c>
      <c r="AK60" s="134">
        <f>+Actuals!AH30</f>
        <v>0</v>
      </c>
      <c r="AL60" s="133">
        <f>+Actuals!AI30</f>
        <v>0</v>
      </c>
      <c r="AM60" s="134">
        <f>+Actuals!AJ30</f>
        <v>0</v>
      </c>
      <c r="AN60" s="133">
        <f>+Actuals!AK30</f>
        <v>0</v>
      </c>
      <c r="AO60" s="134">
        <f>+Actuals!AL30</f>
        <v>0</v>
      </c>
      <c r="AP60" s="133">
        <f>+Actuals!AM30</f>
        <v>0</v>
      </c>
      <c r="AQ60" s="134">
        <f>+Actuals!AN30</f>
        <v>0</v>
      </c>
      <c r="AR60" s="133">
        <f>+Actuals!AO30</f>
        <v>0</v>
      </c>
      <c r="AS60" s="134">
        <f>+Actuals!AP30</f>
        <v>0</v>
      </c>
    </row>
    <row r="61" spans="1:45" x14ac:dyDescent="0.2">
      <c r="A61" s="9"/>
      <c r="B61" s="62" t="s">
        <v>65</v>
      </c>
      <c r="C61" s="6"/>
      <c r="D61" s="61">
        <f t="shared" ref="D61:AC61" si="26">SUM(D59:D60)</f>
        <v>0</v>
      </c>
      <c r="E61" s="39">
        <f t="shared" si="26"/>
        <v>662.5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350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312.5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ref="AJ61:AO61" si="28">SUM(AJ59:AJ60)</f>
        <v>0</v>
      </c>
      <c r="AK61" s="39">
        <f t="shared" si="28"/>
        <v>0</v>
      </c>
      <c r="AL61" s="61">
        <f t="shared" si="28"/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SUM(F63,H63,J63,L63,N63,P63,R63,T63,V63,X63,Z63,AB63,AD63,AF63,AH63,AJ63,AL63,AN63,AP63,AR63)</f>
        <v>0</v>
      </c>
      <c r="E63" s="38">
        <f t="shared" si="29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29"/>
        <v>-10133904</v>
      </c>
      <c r="E64" s="38">
        <f t="shared" si="29"/>
        <v>-561524.16000000015</v>
      </c>
      <c r="F64" s="64">
        <f>'TIE-OUT'!P64+RECLASS!P64</f>
        <v>0</v>
      </c>
      <c r="G64" s="68">
        <f>'TIE-OUT'!Q64+RECLASS!Q64</f>
        <v>0</v>
      </c>
      <c r="H64" s="133">
        <f>+Actuals!E31</f>
        <v>-9771885</v>
      </c>
      <c r="I64" s="134">
        <f>+Actuals!F31</f>
        <v>-511223</v>
      </c>
      <c r="J64" s="133">
        <f>+Actuals!G31</f>
        <v>-452509</v>
      </c>
      <c r="K64" s="153">
        <f>+Actuals!H31</f>
        <v>-50292.75</v>
      </c>
      <c r="L64" s="133">
        <f>+Actuals!I31</f>
        <v>88285</v>
      </c>
      <c r="M64" s="134">
        <f>+Actuals!J31</f>
        <v>-2490.11</v>
      </c>
      <c r="N64" s="133">
        <f>+Actuals!K31</f>
        <v>2230</v>
      </c>
      <c r="O64" s="134">
        <f>+Actuals!L31</f>
        <v>736.32</v>
      </c>
      <c r="P64" s="133">
        <f>+Actuals!M31</f>
        <v>0</v>
      </c>
      <c r="Q64" s="134">
        <f>+Actuals!N31</f>
        <v>381.84</v>
      </c>
      <c r="R64" s="133">
        <f>+Actuals!O31</f>
        <v>-25</v>
      </c>
      <c r="S64" s="134">
        <f>+Actuals!P31</f>
        <v>-6.09</v>
      </c>
      <c r="T64" s="133">
        <f>+Actuals!Q31</f>
        <v>-5048</v>
      </c>
      <c r="U64" s="134">
        <f>+Actuals!R31</f>
        <v>0</v>
      </c>
      <c r="V64" s="133">
        <f>+Actuals!S31</f>
        <v>0</v>
      </c>
      <c r="W64" s="134">
        <f>+Actuals!T31</f>
        <v>-2015</v>
      </c>
      <c r="X64" s="133">
        <f>+Actuals!U31</f>
        <v>0</v>
      </c>
      <c r="Y64" s="134">
        <f>+Actuals!V31</f>
        <v>181.69</v>
      </c>
      <c r="Z64" s="133">
        <f>+Actuals!W31</f>
        <v>0</v>
      </c>
      <c r="AA64" s="134">
        <f>+Actuals!X31</f>
        <v>0</v>
      </c>
      <c r="AB64" s="133">
        <f>+Actuals!Y31</f>
        <v>0</v>
      </c>
      <c r="AC64" s="134">
        <f>+Actuals!Z31</f>
        <v>0</v>
      </c>
      <c r="AD64" s="133">
        <f>+Actuals!AA31</f>
        <v>0</v>
      </c>
      <c r="AE64" s="134">
        <f>+Actuals!AB31</f>
        <v>0</v>
      </c>
      <c r="AF64" s="133">
        <f>+Actuals!AC31</f>
        <v>16522</v>
      </c>
      <c r="AG64" s="134">
        <f>+Actuals!AD31</f>
        <v>-114.74</v>
      </c>
      <c r="AH64" s="133">
        <f>+Actuals!AE31</f>
        <v>-11474</v>
      </c>
      <c r="AI64" s="134">
        <f>+Actuals!AF31</f>
        <v>-485.04</v>
      </c>
      <c r="AJ64" s="133">
        <f>+Actuals!AG31</f>
        <v>0</v>
      </c>
      <c r="AK64" s="134">
        <f>+Actuals!AH31</f>
        <v>0</v>
      </c>
      <c r="AL64" s="133">
        <f>+Actuals!AI31</f>
        <v>0</v>
      </c>
      <c r="AM64" s="134">
        <f>+Actuals!AJ31</f>
        <v>3802.72</v>
      </c>
      <c r="AN64" s="133">
        <f>+Actuals!AK31</f>
        <v>0</v>
      </c>
      <c r="AO64" s="134">
        <f>+Actuals!AL31</f>
        <v>0</v>
      </c>
      <c r="AP64" s="133">
        <f>+Actuals!AM31</f>
        <v>0</v>
      </c>
      <c r="AQ64" s="134">
        <f>+Actuals!AN31</f>
        <v>0</v>
      </c>
      <c r="AR64" s="133">
        <f>+Actuals!AO31</f>
        <v>0</v>
      </c>
      <c r="AS64" s="134">
        <f>+Actuals!AP31</f>
        <v>0</v>
      </c>
    </row>
    <row r="65" spans="1:45" x14ac:dyDescent="0.2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555778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+Actuals!J32+508031+56163-293</f>
        <v>563901</v>
      </c>
      <c r="N65" s="133">
        <f>+Actuals!K32</f>
        <v>0</v>
      </c>
      <c r="O65" s="134">
        <f>+Actuals!L32-632</f>
        <v>-632</v>
      </c>
      <c r="P65" s="133">
        <f>+Actuals!M32</f>
        <v>0</v>
      </c>
      <c r="Q65" s="134">
        <f>+Actuals!N32</f>
        <v>0</v>
      </c>
      <c r="R65" s="133">
        <f>+Actuals!O32</f>
        <v>0</v>
      </c>
      <c r="S65" s="165">
        <f>+Actuals!P32-384+8</f>
        <v>-376</v>
      </c>
      <c r="T65" s="133">
        <f>+Actuals!Q32</f>
        <v>0</v>
      </c>
      <c r="U65" s="165">
        <f>+Actuals!R32-3803</f>
        <v>-3803</v>
      </c>
      <c r="V65" s="133">
        <f>+Actuals!S32</f>
        <v>0</v>
      </c>
      <c r="W65" s="134">
        <f>+Actuals!T32</f>
        <v>0</v>
      </c>
      <c r="X65" s="133">
        <f>+Actuals!U32</f>
        <v>0</v>
      </c>
      <c r="Y65" s="134">
        <f>2015-181-5948</f>
        <v>-4114</v>
      </c>
      <c r="Z65" s="133">
        <f>+Actuals!W32</f>
        <v>0</v>
      </c>
      <c r="AA65" s="134">
        <f>+Actuals!X32+802</f>
        <v>802</v>
      </c>
      <c r="AB65" s="133">
        <f>+Actuals!Y32</f>
        <v>0</v>
      </c>
      <c r="AC65" s="134">
        <f>+Actuals!Z32</f>
        <v>0</v>
      </c>
      <c r="AD65" s="133">
        <f>+Actuals!AA32</f>
        <v>0</v>
      </c>
      <c r="AE65" s="134">
        <f>+Actuals!AB32</f>
        <v>0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  <c r="AJ65" s="133">
        <f>+Actuals!AG32</f>
        <v>0</v>
      </c>
      <c r="AK65" s="134">
        <f>+Actuals!AH32</f>
        <v>0</v>
      </c>
      <c r="AL65" s="133">
        <f>+Actuals!AI32</f>
        <v>0</v>
      </c>
      <c r="AM65" s="134">
        <f>+Actuals!AJ32</f>
        <v>0</v>
      </c>
      <c r="AN65" s="133">
        <f>+Actuals!AK32</f>
        <v>0</v>
      </c>
      <c r="AO65" s="134">
        <f>+Actuals!AL32</f>
        <v>0</v>
      </c>
      <c r="AP65" s="133">
        <f>+Actuals!AM32</f>
        <v>0</v>
      </c>
      <c r="AQ65" s="134">
        <f>+Actuals!AN32</f>
        <v>0</v>
      </c>
      <c r="AR65" s="133">
        <f>+Actuals!AO32</f>
        <v>0</v>
      </c>
      <c r="AS65" s="134">
        <f>+Actuals!AP32</f>
        <v>0</v>
      </c>
    </row>
    <row r="66" spans="1:45" x14ac:dyDescent="0.2">
      <c r="A66" s="9"/>
      <c r="B66" s="7" t="s">
        <v>68</v>
      </c>
      <c r="C66" s="6"/>
      <c r="D66" s="61">
        <f t="shared" ref="D66:AC66" si="30">SUM(D64:D65)</f>
        <v>-10133904</v>
      </c>
      <c r="E66" s="39">
        <f t="shared" si="30"/>
        <v>-5746.160000000149</v>
      </c>
      <c r="F66" s="61">
        <f t="shared" si="30"/>
        <v>0</v>
      </c>
      <c r="G66" s="39">
        <f t="shared" si="30"/>
        <v>0</v>
      </c>
      <c r="H66" s="61">
        <f t="shared" si="30"/>
        <v>-9771885</v>
      </c>
      <c r="I66" s="39">
        <f t="shared" si="30"/>
        <v>-511223</v>
      </c>
      <c r="J66" s="61">
        <f t="shared" si="30"/>
        <v>-452509</v>
      </c>
      <c r="K66" s="154">
        <f t="shared" si="30"/>
        <v>-50292.75</v>
      </c>
      <c r="L66" s="61">
        <f t="shared" si="30"/>
        <v>88285</v>
      </c>
      <c r="M66" s="39">
        <f t="shared" si="30"/>
        <v>561410.89</v>
      </c>
      <c r="N66" s="61">
        <f t="shared" si="30"/>
        <v>2230</v>
      </c>
      <c r="O66" s="39">
        <f t="shared" si="30"/>
        <v>104.32000000000005</v>
      </c>
      <c r="P66" s="61">
        <f t="shared" si="30"/>
        <v>0</v>
      </c>
      <c r="Q66" s="39">
        <f t="shared" si="30"/>
        <v>381.84</v>
      </c>
      <c r="R66" s="61">
        <f t="shared" si="30"/>
        <v>-25</v>
      </c>
      <c r="S66" s="39">
        <f t="shared" si="30"/>
        <v>-382.09</v>
      </c>
      <c r="T66" s="61">
        <f t="shared" si="30"/>
        <v>-5048</v>
      </c>
      <c r="U66" s="39">
        <f t="shared" si="30"/>
        <v>-3803</v>
      </c>
      <c r="V66" s="61">
        <f t="shared" si="30"/>
        <v>0</v>
      </c>
      <c r="W66" s="39">
        <f t="shared" si="30"/>
        <v>-2015</v>
      </c>
      <c r="X66" s="61">
        <f t="shared" si="30"/>
        <v>0</v>
      </c>
      <c r="Y66" s="39">
        <f t="shared" si="30"/>
        <v>-3932.31</v>
      </c>
      <c r="Z66" s="61">
        <f t="shared" si="30"/>
        <v>0</v>
      </c>
      <c r="AA66" s="39">
        <f t="shared" si="30"/>
        <v>802</v>
      </c>
      <c r="AB66" s="61">
        <f t="shared" si="30"/>
        <v>0</v>
      </c>
      <c r="AC66" s="39">
        <f t="shared" si="30"/>
        <v>0</v>
      </c>
      <c r="AD66" s="61">
        <f t="shared" ref="AD66:AI66" si="31">SUM(AD64:AD65)</f>
        <v>0</v>
      </c>
      <c r="AE66" s="39">
        <f t="shared" si="31"/>
        <v>0</v>
      </c>
      <c r="AF66" s="61">
        <f t="shared" si="31"/>
        <v>16522</v>
      </c>
      <c r="AG66" s="39">
        <f t="shared" si="31"/>
        <v>-114.74</v>
      </c>
      <c r="AH66" s="61">
        <f t="shared" si="31"/>
        <v>-11474</v>
      </c>
      <c r="AI66" s="39">
        <f t="shared" si="31"/>
        <v>-485.04</v>
      </c>
      <c r="AJ66" s="61">
        <f t="shared" ref="AJ66:AO66" si="32">SUM(AJ64:AJ65)</f>
        <v>0</v>
      </c>
      <c r="AK66" s="39">
        <f t="shared" si="32"/>
        <v>0</v>
      </c>
      <c r="AL66" s="61">
        <f t="shared" si="32"/>
        <v>0</v>
      </c>
      <c r="AM66" s="39">
        <f t="shared" si="32"/>
        <v>3802.72</v>
      </c>
      <c r="AN66" s="61">
        <f t="shared" si="32"/>
        <v>0</v>
      </c>
      <c r="AO66" s="39">
        <f t="shared" si="32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  <c r="AJ70" s="133">
        <f>+Actuals!AG33</f>
        <v>0</v>
      </c>
      <c r="AK70" s="134">
        <f>+Actuals!AH33</f>
        <v>0</v>
      </c>
      <c r="AL70" s="133">
        <f>+Actuals!AI33</f>
        <v>0</v>
      </c>
      <c r="AM70" s="134">
        <f>+Actuals!AJ33</f>
        <v>0</v>
      </c>
      <c r="AN70" s="133">
        <f>+Actuals!AK33</f>
        <v>0</v>
      </c>
      <c r="AO70" s="134">
        <f>+Actuals!AL33</f>
        <v>0</v>
      </c>
      <c r="AP70" s="133">
        <f>+Actuals!AM33</f>
        <v>0</v>
      </c>
      <c r="AQ70" s="134">
        <f>+Actuals!AN33</f>
        <v>0</v>
      </c>
      <c r="AR70" s="133">
        <f>+Actuals!AO33</f>
        <v>0</v>
      </c>
      <c r="AS70" s="134">
        <f>+Actuals!AP33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  <c r="AJ71" s="133">
        <f>+Actuals!AG34</f>
        <v>0</v>
      </c>
      <c r="AK71" s="134">
        <f>+Actuals!AH34</f>
        <v>0</v>
      </c>
      <c r="AL71" s="133">
        <f>+Actuals!AI34</f>
        <v>0</v>
      </c>
      <c r="AM71" s="134">
        <f>+Actuals!AJ34</f>
        <v>0</v>
      </c>
      <c r="AN71" s="133">
        <f>+Actuals!AK34</f>
        <v>0</v>
      </c>
      <c r="AO71" s="134">
        <f>+Actuals!AL34</f>
        <v>0</v>
      </c>
      <c r="AP71" s="133">
        <f>+Actuals!AM34</f>
        <v>0</v>
      </c>
      <c r="AQ71" s="134">
        <f>+Actuals!AN34</f>
        <v>0</v>
      </c>
      <c r="AR71" s="133">
        <f>+Actuals!AO34</f>
        <v>0</v>
      </c>
      <c r="AS71" s="134">
        <f>+Actuals!AP34</f>
        <v>0</v>
      </c>
    </row>
    <row r="72" spans="1:45" x14ac:dyDescent="0.2">
      <c r="A72" s="9"/>
      <c r="B72" s="3"/>
      <c r="C72" s="55" t="s">
        <v>73</v>
      </c>
      <c r="D72" s="61">
        <f t="shared" ref="D72:AC72" si="33">SUM(D70:D71)</f>
        <v>0</v>
      </c>
      <c r="E72" s="39">
        <f t="shared" si="33"/>
        <v>0</v>
      </c>
      <c r="F72" s="61">
        <f t="shared" si="33"/>
        <v>0</v>
      </c>
      <c r="G72" s="39">
        <f t="shared" si="33"/>
        <v>0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154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ref="AD72:AI72" si="34">SUM(AD70:AD71)</f>
        <v>0</v>
      </c>
      <c r="AE72" s="39">
        <f t="shared" si="34"/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ref="AJ72:AO72" si="35">SUM(AJ70:AJ71)</f>
        <v>0</v>
      </c>
      <c r="AK72" s="39">
        <f t="shared" si="35"/>
        <v>0</v>
      </c>
      <c r="AL72" s="61">
        <f t="shared" si="35"/>
        <v>0</v>
      </c>
      <c r="AM72" s="39">
        <f t="shared" si="35"/>
        <v>0</v>
      </c>
      <c r="AN72" s="61">
        <f t="shared" si="35"/>
        <v>0</v>
      </c>
      <c r="AO72" s="39">
        <f t="shared" si="3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SUM(F73,H73,J73,L73,N73,P73,R73,T73,V73,X73,Z73,AB73,AD73,AF73,AH73,AJ73,AL73,AN73,AP73,AR73)</f>
        <v>0</v>
      </c>
      <c r="E73" s="38">
        <f t="shared" ref="E73:E81" si="37">SUM(G73,I73,K73,M73,O73,Q73,S73,U73,W73,Y73,AA73,AC73,AE73,AG73,AI73,AK73,AM73,AO73,AQ73,AS73)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  <c r="AJ73" s="133">
        <f>+Actuals!AG35</f>
        <v>0</v>
      </c>
      <c r="AK73" s="134">
        <f>+Actuals!AH35</f>
        <v>0</v>
      </c>
      <c r="AL73" s="133">
        <f>+Actuals!AI35</f>
        <v>0</v>
      </c>
      <c r="AM73" s="134">
        <f>+Actuals!AJ35</f>
        <v>0</v>
      </c>
      <c r="AN73" s="133">
        <f>+Actuals!AK35</f>
        <v>0</v>
      </c>
      <c r="AO73" s="134">
        <f>+Actuals!AL35</f>
        <v>0</v>
      </c>
      <c r="AP73" s="133">
        <f>+Actuals!AM35</f>
        <v>0</v>
      </c>
      <c r="AQ73" s="134">
        <f>+Actuals!AN35</f>
        <v>0</v>
      </c>
      <c r="AR73" s="133">
        <f>+Actuals!AO35</f>
        <v>0</v>
      </c>
      <c r="AS73" s="134">
        <f>+Actuals!AP35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1506398</v>
      </c>
      <c r="F74" s="60">
        <f>'TIE-OUT'!P74+RECLASS!P74</f>
        <v>0</v>
      </c>
      <c r="G74" s="60">
        <f>'TIE-OUT'!Q74+RECLASS!Q74</f>
        <v>1506398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  <c r="AJ74" s="133">
        <f>+Actuals!AG36</f>
        <v>0</v>
      </c>
      <c r="AK74" s="134">
        <f>+Actuals!AH36</f>
        <v>0</v>
      </c>
      <c r="AL74" s="133">
        <f>+Actuals!AI36</f>
        <v>0</v>
      </c>
      <c r="AM74" s="134">
        <f>+Actuals!AJ36</f>
        <v>0</v>
      </c>
      <c r="AN74" s="133">
        <f>+Actuals!AK36</f>
        <v>0</v>
      </c>
      <c r="AO74" s="134">
        <f>+Actuals!AL36</f>
        <v>0</v>
      </c>
      <c r="AP74" s="133">
        <f>+Actuals!AM36</f>
        <v>0</v>
      </c>
      <c r="AQ74" s="134">
        <f>+Actuals!AN36</f>
        <v>0</v>
      </c>
      <c r="AR74" s="133">
        <f>+Actuals!AO36</f>
        <v>0</v>
      </c>
      <c r="AS74" s="134">
        <f>+Actuals!AP36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  <c r="AJ75" s="133">
        <f>+Actuals!AG37</f>
        <v>0</v>
      </c>
      <c r="AK75" s="134">
        <f>+Actuals!AH37</f>
        <v>0</v>
      </c>
      <c r="AL75" s="133">
        <f>+Actuals!AI37</f>
        <v>0</v>
      </c>
      <c r="AM75" s="134">
        <f>+Actuals!AJ37</f>
        <v>0</v>
      </c>
      <c r="AN75" s="133">
        <f>+Actuals!AK37</f>
        <v>0</v>
      </c>
      <c r="AO75" s="134">
        <f>+Actuals!AL37</f>
        <v>0</v>
      </c>
      <c r="AP75" s="133">
        <f>+Actuals!AM37</f>
        <v>0</v>
      </c>
      <c r="AQ75" s="134">
        <f>+Actuals!AN37</f>
        <v>0</v>
      </c>
      <c r="AR75" s="133">
        <f>+Actuals!AO37</f>
        <v>0</v>
      </c>
      <c r="AS75" s="134">
        <f>+Actuals!AP37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  <c r="AJ76" s="133">
        <f>+Actuals!AG38</f>
        <v>0</v>
      </c>
      <c r="AK76" s="134">
        <f>+Actuals!AH38</f>
        <v>0</v>
      </c>
      <c r="AL76" s="133">
        <f>+Actuals!AI38</f>
        <v>0</v>
      </c>
      <c r="AM76" s="134">
        <f>+Actuals!AJ38</f>
        <v>0</v>
      </c>
      <c r="AN76" s="133">
        <f>+Actuals!AK38</f>
        <v>0</v>
      </c>
      <c r="AO76" s="134">
        <f>+Actuals!AL38</f>
        <v>0</v>
      </c>
      <c r="AP76" s="133">
        <f>+Actuals!AM38</f>
        <v>0</v>
      </c>
      <c r="AQ76" s="134">
        <f>+Actuals!AN38</f>
        <v>0</v>
      </c>
      <c r="AR76" s="133">
        <f>+Actuals!AO38</f>
        <v>0</v>
      </c>
      <c r="AS76" s="134">
        <f>+Actuals!AP38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  <c r="AJ77" s="133">
        <f>+Actuals!AG39</f>
        <v>0</v>
      </c>
      <c r="AK77" s="134">
        <f>+Actuals!AH39</f>
        <v>0</v>
      </c>
      <c r="AL77" s="133">
        <f>+Actuals!AI39</f>
        <v>0</v>
      </c>
      <c r="AM77" s="134">
        <f>+Actuals!AJ39</f>
        <v>0</v>
      </c>
      <c r="AN77" s="133">
        <f>+Actuals!AK39</f>
        <v>0</v>
      </c>
      <c r="AO77" s="134">
        <f>+Actuals!AL39</f>
        <v>0</v>
      </c>
      <c r="AP77" s="133">
        <f>+Actuals!AM39</f>
        <v>0</v>
      </c>
      <c r="AQ77" s="134">
        <f>+Actuals!AN39</f>
        <v>0</v>
      </c>
      <c r="AR77" s="133">
        <f>+Actuals!AO39</f>
        <v>0</v>
      </c>
      <c r="AS77" s="134">
        <f>+Actuals!AP39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  <c r="AJ78" s="133">
        <f>+Actuals!AG40</f>
        <v>0</v>
      </c>
      <c r="AK78" s="134">
        <f>+Actuals!AH40</f>
        <v>0</v>
      </c>
      <c r="AL78" s="133">
        <f>+Actuals!AI40</f>
        <v>0</v>
      </c>
      <c r="AM78" s="134">
        <f>+Actuals!AJ40</f>
        <v>0</v>
      </c>
      <c r="AN78" s="133">
        <f>+Actuals!AK40</f>
        <v>0</v>
      </c>
      <c r="AO78" s="134">
        <f>+Actuals!AL40</f>
        <v>0</v>
      </c>
      <c r="AP78" s="133">
        <f>+Actuals!AM40</f>
        <v>0</v>
      </c>
      <c r="AQ78" s="134">
        <f>+Actuals!AN40</f>
        <v>0</v>
      </c>
      <c r="AR78" s="133">
        <f>+Actuals!AO40</f>
        <v>0</v>
      </c>
      <c r="AS78" s="134">
        <f>+Actuals!AP40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  <c r="AJ79" s="133">
        <f>+Actuals!AG41</f>
        <v>0</v>
      </c>
      <c r="AK79" s="134">
        <f>+Actuals!AH41</f>
        <v>0</v>
      </c>
      <c r="AL79" s="133">
        <f>+Actuals!AI41</f>
        <v>0</v>
      </c>
      <c r="AM79" s="134">
        <f>+Actuals!AJ41</f>
        <v>0</v>
      </c>
      <c r="AN79" s="133">
        <f>+Actuals!AK41</f>
        <v>0</v>
      </c>
      <c r="AO79" s="134">
        <f>+Actuals!AL41</f>
        <v>0</v>
      </c>
      <c r="AP79" s="133">
        <f>+Actuals!AM41</f>
        <v>0</v>
      </c>
      <c r="AQ79" s="134">
        <f>+Actuals!AN41</f>
        <v>0</v>
      </c>
      <c r="AR79" s="133">
        <f>+Actuals!AO41</f>
        <v>0</v>
      </c>
      <c r="AS79" s="134">
        <f>+Actuals!AP41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  <c r="AJ80" s="133">
        <f>+Actuals!AG42</f>
        <v>0</v>
      </c>
      <c r="AK80" s="134">
        <f>+Actuals!AH42</f>
        <v>0</v>
      </c>
      <c r="AL80" s="133">
        <f>+Actuals!AI42</f>
        <v>0</v>
      </c>
      <c r="AM80" s="134">
        <f>+Actuals!AJ42</f>
        <v>0</v>
      </c>
      <c r="AN80" s="133">
        <f>+Actuals!AK42</f>
        <v>0</v>
      </c>
      <c r="AO80" s="134">
        <f>+Actuals!AL42</f>
        <v>0</v>
      </c>
      <c r="AP80" s="133">
        <f>+Actuals!AM42</f>
        <v>0</v>
      </c>
      <c r="AQ80" s="134">
        <f>+Actuals!AN42</f>
        <v>0</v>
      </c>
      <c r="AR80" s="133">
        <f>+Actuals!AO42</f>
        <v>0</v>
      </c>
      <c r="AS80" s="134">
        <f>+Actuals!AP42</f>
        <v>0</v>
      </c>
    </row>
    <row r="81" spans="1:45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0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72">
        <f>+Actuals!F43</f>
        <v>0</v>
      </c>
      <c r="J81" s="133">
        <f>+Actuals!G43</f>
        <v>0</v>
      </c>
      <c r="K81" s="153">
        <f>+Actuals!H43</f>
        <v>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  <c r="AJ81" s="133">
        <f>+Actuals!AG43</f>
        <v>0</v>
      </c>
      <c r="AK81" s="134">
        <f>+Actuals!AH43</f>
        <v>0</v>
      </c>
      <c r="AL81" s="133">
        <f>+Actuals!AI43</f>
        <v>0</v>
      </c>
      <c r="AM81" s="134">
        <f>+Actuals!AJ43</f>
        <v>0</v>
      </c>
      <c r="AN81" s="133">
        <f>+Actuals!AK43</f>
        <v>0</v>
      </c>
      <c r="AO81" s="134">
        <f>+Actuals!AL43</f>
        <v>0</v>
      </c>
      <c r="AP81" s="133">
        <f>+Actuals!AM43</f>
        <v>0</v>
      </c>
      <c r="AQ81" s="134">
        <f>+Actuals!AN43</f>
        <v>0</v>
      </c>
      <c r="AR81" s="133">
        <f>+Actuals!AO43</f>
        <v>0</v>
      </c>
      <c r="AS81" s="134">
        <f>+Actuals!AP43</f>
        <v>0</v>
      </c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60487.313599996851</v>
      </c>
      <c r="F82" s="92">
        <f>F16+F24+F29+F36+F43+F45+F47+F49</f>
        <v>0</v>
      </c>
      <c r="G82" s="93">
        <f>SUM(G72:G81)+G16+G24+G29+G36+G43+G45+G47+G49+G51+G56+G61+G66</f>
        <v>-402981.92999999993</v>
      </c>
      <c r="H82" s="92">
        <f>H16+H24+H29+H36+H43+H45+H47+H49</f>
        <v>0</v>
      </c>
      <c r="I82" s="93">
        <f>SUM(I72:I81)+I16+I24+I29+I36+I43+I45+I47+I49+I51+I56+I61+I66</f>
        <v>2369986.189999999</v>
      </c>
      <c r="J82" s="92">
        <f>J16+J24+J29+J36+J43+J45+J47+J49</f>
        <v>0</v>
      </c>
      <c r="K82" s="118">
        <f>SUM(K72:K81)+K16+K24+K29+K36+K43+K45+K47+K49+K51+K56+K61+K66</f>
        <v>-1840979.4263999998</v>
      </c>
      <c r="L82" s="92">
        <f>L16+L24+L29+L36+L43+L45+L47+L49</f>
        <v>0</v>
      </c>
      <c r="M82" s="93">
        <f>SUM(M72:M81)+M16+M24+M29+M36+M43+M45+M47+M49+M51+M56+M61+M66</f>
        <v>-272914.92299999995</v>
      </c>
      <c r="N82" s="92">
        <f>N16+N24+N29+N36+N43+N45+N47+N49</f>
        <v>0</v>
      </c>
      <c r="O82" s="93">
        <f>SUM(O72:O81)+O16+O24+O29+O36+O43+O45+O47+O49+O51+O56+O61+O66</f>
        <v>-6416.1998000000003</v>
      </c>
      <c r="P82" s="92">
        <f>P16+P24+P29+P36+P43+P45+P47+P49</f>
        <v>0</v>
      </c>
      <c r="Q82" s="93">
        <f>SUM(Q72:Q81)+Q16+Q24+Q29+Q36+Q43+Q45+Q47+Q49+Q51+Q56+Q61+Q66</f>
        <v>220528.84</v>
      </c>
      <c r="R82" s="92">
        <f>R16+R24+R29+R36+R43+R45+R47+R49</f>
        <v>0</v>
      </c>
      <c r="S82" s="93">
        <f>SUM(S72:S81)+S16+S24+S29+S36+S43+S45+S47+S49+S51+S56+S61+S66</f>
        <v>-4673.3900000000031</v>
      </c>
      <c r="T82" s="92">
        <f>T16+T24+T29+T36+T43+T45+T47+T49</f>
        <v>0</v>
      </c>
      <c r="U82" s="93">
        <f>SUM(U72:U81)+U16+U24+U29+U36+U43+U45+U47+U49+U51+U56+U61+U66</f>
        <v>-20321.509200000004</v>
      </c>
      <c r="V82" s="92">
        <f>V16+V24+V29+V36+V43+V45+V47+V49</f>
        <v>0</v>
      </c>
      <c r="W82" s="93">
        <f>SUM(W72:W81)+W16+W24+W29+W36+W43+W45+W47+W49+W51+W56+W61+W66</f>
        <v>-1113.2951999999993</v>
      </c>
      <c r="X82" s="92">
        <f>X16+X24+X29+X36+X43+X45+X47+X49</f>
        <v>0</v>
      </c>
      <c r="Y82" s="93">
        <f>SUM(Y72:Y81)+Y16+Y24+Y29+Y36+Y43+Y45+Y47+Y49+Y51+Y56+Y61+Y66</f>
        <v>-1927.7873999999997</v>
      </c>
      <c r="Z82" s="92">
        <f>Z16+Z24+Z29+Z36+Z43+Z45+Z47+Z49</f>
        <v>0</v>
      </c>
      <c r="AA82" s="93">
        <f>SUM(AA72:AA81)+AA16+AA24+AA29+AA36+AA43+AA45+AA47+AA49+AA51+AA56+AA61+AA66</f>
        <v>802</v>
      </c>
      <c r="AB82" s="92">
        <f>AB16+AB24+AB29+AB36+AB43+AB45+AB47+AB49</f>
        <v>0</v>
      </c>
      <c r="AC82" s="93">
        <f>SUM(AC72:AC81)+AC16+AC24+AC29+AC36+AC43+AC45+AC47+AC49+AC51+AC56+AC61+AC66</f>
        <v>-2805.92</v>
      </c>
      <c r="AD82" s="92">
        <f>AD16+AD24+AD29+AD36+AD43+AD45+AD47+AD49</f>
        <v>0</v>
      </c>
      <c r="AE82" s="93">
        <f>SUM(AE72:AE81)+AE16+AE24+AE29+AE36+AE43+AE45+AE47+AE49+AE51+AE56+AE61+AE66</f>
        <v>-375.69</v>
      </c>
      <c r="AF82" s="92">
        <f>AF16+AF24+AF29+AF36+AF43+AF45+AF47+AF49</f>
        <v>0</v>
      </c>
      <c r="AG82" s="93">
        <f>SUM(AG72:AG81)+AG16+AG24+AG29+AG36+AG43+AG45+AG47+AG49+AG51+AG56+AG61+AG66</f>
        <v>2989.8645999999953</v>
      </c>
      <c r="AH82" s="92">
        <f>AH16+AH24+AH29+AH36+AH43+AH45+AH47+AH49</f>
        <v>0</v>
      </c>
      <c r="AI82" s="93">
        <f>SUM(AI72:AI81)+AI16+AI24+AI29+AI36+AI43+AI45+AI47+AI49+AI51+AI56+AI61+AI66</f>
        <v>-258.30880000000167</v>
      </c>
      <c r="AJ82" s="92">
        <f>AJ16+AJ24+AJ29+AJ36+AJ43+AJ45+AJ47+AJ49</f>
        <v>0</v>
      </c>
      <c r="AK82" s="93">
        <f>SUM(AK72:AK81)+AK16+AK24+AK29+AK36+AK43+AK45+AK47+AK49+AK51+AK56+AK61+AK66</f>
        <v>-145.92119999999704</v>
      </c>
      <c r="AL82" s="92">
        <f>AL16+AL24+AL29+AL36+AL43+AL45+AL47+AL49</f>
        <v>0</v>
      </c>
      <c r="AM82" s="93">
        <f>SUM(AM72:AM81)+AM16+AM24+AM29+AM36+AM43+AM45+AM47+AM49+AM51+AM56+AM61+AM66</f>
        <v>21094.720000000001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5" thickTop="1" x14ac:dyDescent="0.2">
      <c r="A83" s="4"/>
      <c r="B83" s="3"/>
    </row>
    <row r="84" spans="1:45" x14ac:dyDescent="0.2">
      <c r="A84" s="4"/>
      <c r="B84" s="3"/>
      <c r="C84" s="111" t="s">
        <v>107</v>
      </c>
    </row>
    <row r="85" spans="1:45" x14ac:dyDescent="0.2">
      <c r="A85" s="4"/>
      <c r="B85" s="3"/>
      <c r="C85" s="112" t="s">
        <v>108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  <c r="AK85" s="31">
        <v>0</v>
      </c>
      <c r="AM85" s="31">
        <v>0</v>
      </c>
      <c r="AO85" s="31">
        <v>0</v>
      </c>
      <c r="AQ85" s="31">
        <v>0</v>
      </c>
      <c r="AS85" s="31">
        <v>0</v>
      </c>
    </row>
    <row r="86" spans="1:45" x14ac:dyDescent="0.2">
      <c r="A86" s="4"/>
      <c r="B86" s="3"/>
      <c r="C86" s="112" t="s">
        <v>109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  <c r="AK86" s="31">
        <f>(AK51-AK85)*0.8929</f>
        <v>0</v>
      </c>
      <c r="AM86" s="31">
        <f>(AM51-AM85)*0.8929</f>
        <v>0</v>
      </c>
      <c r="AO86" s="31">
        <f>(AO51-AO85)*0.8929</f>
        <v>0</v>
      </c>
      <c r="AQ86" s="31">
        <f>(AQ51-AQ85)*0.8929</f>
        <v>0</v>
      </c>
      <c r="AS86" s="31">
        <f>(AS51-AS85)*0.8929</f>
        <v>0</v>
      </c>
    </row>
    <row r="87" spans="1:45" x14ac:dyDescent="0.2">
      <c r="A87" s="4"/>
      <c r="B87" s="3"/>
      <c r="C87" s="113" t="s">
        <v>110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  <c r="AK87" s="31">
        <f>(AK51-AK85)*0.1071</f>
        <v>0</v>
      </c>
      <c r="AM87" s="31">
        <f>(AM51-AM85)*0.1071</f>
        <v>0</v>
      </c>
      <c r="AO87" s="31">
        <f>(AO51-AO85)*0.1071</f>
        <v>0</v>
      </c>
      <c r="AQ87" s="31">
        <f>(AQ51-AQ85)*0.1071</f>
        <v>0</v>
      </c>
      <c r="AS87" s="31">
        <f>(AS51-AS85)*0.1071</f>
        <v>0</v>
      </c>
    </row>
    <row r="88" spans="1:45" ht="13.5" thickBot="1" x14ac:dyDescent="0.25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  <c r="AK88" s="115">
        <f>SUM(AK85:AK87)</f>
        <v>0</v>
      </c>
      <c r="AM88" s="115">
        <f>SUM(AM85:AM87)</f>
        <v>0</v>
      </c>
      <c r="AO88" s="115">
        <f>SUM(AO85:AO87)</f>
        <v>0</v>
      </c>
      <c r="AQ88" s="115">
        <f>SUM(AQ85:AQ87)</f>
        <v>0</v>
      </c>
      <c r="AS88" s="115">
        <f>SUM(AS85:AS87)</f>
        <v>0</v>
      </c>
    </row>
    <row r="89" spans="1:45" ht="13.5" thickTop="1" x14ac:dyDescent="0.2">
      <c r="A89" s="4"/>
      <c r="B89" s="3"/>
      <c r="E89" s="37"/>
    </row>
    <row r="90" spans="1:45" x14ac:dyDescent="0.2">
      <c r="A90" s="4"/>
      <c r="B90" s="3"/>
      <c r="C90" s="3" t="s">
        <v>111</v>
      </c>
      <c r="E90" s="31">
        <f>SUM(F90:AE90)</f>
        <v>16589.419999999998</v>
      </c>
      <c r="I90" s="45">
        <f>I54</f>
        <v>15975.65</v>
      </c>
      <c r="K90" s="155">
        <f>K54</f>
        <v>613.77</v>
      </c>
      <c r="M90" s="45">
        <f>M54</f>
        <v>0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0</v>
      </c>
      <c r="Y90" s="45">
        <f>Y54</f>
        <v>0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  <c r="AK90" s="45">
        <f>AK54</f>
        <v>0</v>
      </c>
      <c r="AM90" s="45">
        <f>AM54</f>
        <v>0</v>
      </c>
      <c r="AO90" s="45">
        <f>AO54</f>
        <v>0</v>
      </c>
      <c r="AQ90" s="45">
        <f>AQ54</f>
        <v>0</v>
      </c>
      <c r="AS90" s="45">
        <f>AS54</f>
        <v>0</v>
      </c>
    </row>
    <row r="91" spans="1:45" x14ac:dyDescent="0.2">
      <c r="A91" s="4"/>
      <c r="B91" s="3"/>
      <c r="C91" s="116" t="s">
        <v>112</v>
      </c>
      <c r="E91" s="31">
        <f>SUM(F91:AE91)</f>
        <v>-581952</v>
      </c>
      <c r="I91" s="45">
        <f>I55</f>
        <v>0</v>
      </c>
      <c r="K91" s="155">
        <f>K55</f>
        <v>0</v>
      </c>
      <c r="M91" s="45">
        <f>M55</f>
        <v>-803059</v>
      </c>
      <c r="O91" s="45">
        <f>O55</f>
        <v>0</v>
      </c>
      <c r="Q91" s="45">
        <f>Q55</f>
        <v>221107</v>
      </c>
      <c r="S91" s="45">
        <f>S55</f>
        <v>0</v>
      </c>
      <c r="U91" s="45">
        <f>U55</f>
        <v>0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  <c r="AK91" s="45">
        <f>AK55</f>
        <v>0</v>
      </c>
      <c r="AM91" s="45">
        <f>AM55</f>
        <v>0</v>
      </c>
      <c r="AO91" s="45">
        <f>AO55</f>
        <v>0</v>
      </c>
      <c r="AQ91" s="45">
        <f>AQ55</f>
        <v>0</v>
      </c>
      <c r="AS91" s="45">
        <f>AS55</f>
        <v>0</v>
      </c>
    </row>
    <row r="92" spans="1:45" ht="13.5" thickBot="1" x14ac:dyDescent="0.25">
      <c r="A92" s="4"/>
      <c r="B92" s="3"/>
      <c r="C92" s="114" t="s">
        <v>113</v>
      </c>
      <c r="E92" s="115">
        <f>SUM(E90:E91)</f>
        <v>-565362.57999999996</v>
      </c>
    </row>
    <row r="93" spans="1:45" ht="13.5" thickTop="1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Y187"/>
  <sheetViews>
    <sheetView zoomScale="75" workbookViewId="0">
      <pane xSplit="3" ySplit="9" topLeftCell="D90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N647" sqref="AN64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49164837</v>
      </c>
      <c r="E11" s="38">
        <f t="shared" si="0"/>
        <v>90424581.25</v>
      </c>
      <c r="F11" s="60">
        <f>('TIE-OUT'!P11+'TIE-OUT'!R11)+(RECLASS!P11+RECLASS!R11)</f>
        <v>0</v>
      </c>
      <c r="G11" s="38">
        <f>('TIE-OUT'!Q11+'TIE-OUT'!S11)+(RECLASS!Q11+RECLASS!S11)</f>
        <v>1866200</v>
      </c>
      <c r="H11" s="60">
        <f>'TX-EGM-GL'!H11+'TX-HPL-GL '!H11</f>
        <v>47988564</v>
      </c>
      <c r="I11" s="38">
        <f>'TX-EGM-GL'!I11+'TX-HPL-GL '!I11</f>
        <v>88572963.579999998</v>
      </c>
      <c r="J11" s="60">
        <f>'TX-EGM-GL'!J11+'TX-HPL-GL '!J11</f>
        <v>1154903</v>
      </c>
      <c r="K11" s="38">
        <f>'TX-EGM-GL'!K11+'TX-HPL-GL '!K11</f>
        <v>-386109.02000000083</v>
      </c>
      <c r="L11" s="60">
        <f>'TX-EGM-GL'!L11+'TX-HPL-GL '!L11</f>
        <v>-52746</v>
      </c>
      <c r="M11" s="38">
        <f>'TX-EGM-GL'!M11+'TX-HPL-GL '!M11</f>
        <v>210885.41999999998</v>
      </c>
      <c r="N11" s="60">
        <f>'TX-EGM-GL'!N11+'TX-HPL-GL '!N11</f>
        <v>56684</v>
      </c>
      <c r="O11" s="38">
        <f>'TX-EGM-GL'!O11+'TX-HPL-GL '!O11</f>
        <v>128994.1</v>
      </c>
      <c r="P11" s="60">
        <f>'TX-EGM-GL'!P11+'TX-HPL-GL '!P11</f>
        <v>-50053</v>
      </c>
      <c r="Q11" s="38">
        <f>'TX-EGM-GL'!Q11+'TX-HPL-GL '!Q11</f>
        <v>-113411.9</v>
      </c>
      <c r="R11" s="60">
        <f>'TX-EGM-GL'!R11+'TX-HPL-GL '!R11</f>
        <v>-826431</v>
      </c>
      <c r="S11" s="38">
        <f>'TX-EGM-GL'!S11+'TX-HPL-GL '!S11</f>
        <v>-1867442.7</v>
      </c>
      <c r="T11" s="60">
        <f>'TX-EGM-GL'!T11+'TX-HPL-GL '!T11</f>
        <v>849472</v>
      </c>
      <c r="U11" s="38">
        <f>'TX-EGM-GL'!U11+'TX-HPL-GL '!U11</f>
        <v>1953091.26</v>
      </c>
      <c r="V11" s="60">
        <f>'TX-EGM-GL'!V11+'TX-HPL-GL '!V11</f>
        <v>237</v>
      </c>
      <c r="W11" s="38">
        <f>'TX-EGM-GL'!W11+'TX-HPL-GL '!W11</f>
        <v>-961.95999999999913</v>
      </c>
      <c r="X11" s="60">
        <f>'TX-EGM-GL'!X11+'TX-HPL-GL '!X11</f>
        <v>83420</v>
      </c>
      <c r="Y11" s="38">
        <f>'TX-EGM-GL'!Y11+'TX-HPL-GL '!Y11</f>
        <v>118159.92</v>
      </c>
      <c r="Z11" s="60">
        <f>'TX-EGM-GL'!Z11+'TX-HPL-GL '!Z11</f>
        <v>127400</v>
      </c>
      <c r="AA11" s="38">
        <f>'TX-EGM-GL'!AA11+'TX-HPL-GL '!AA11</f>
        <v>209573</v>
      </c>
      <c r="AB11" s="60">
        <f>'TX-EGM-GL'!AB11+'TX-HPL-GL '!AB11</f>
        <v>-127400</v>
      </c>
      <c r="AC11" s="38">
        <f>'TX-EGM-GL'!AC11+'TX-HPL-GL '!AC11</f>
        <v>-212378.92</v>
      </c>
      <c r="AD11" s="60">
        <f>'TX-EGM-GL'!AD11+'TX-HPL-GL '!AD11</f>
        <v>0</v>
      </c>
      <c r="AE11" s="38">
        <f>'TX-EGM-GL'!AE11+'TX-HPL-GL '!AE11</f>
        <v>0</v>
      </c>
      <c r="AF11" s="60">
        <f>'TX-EGM-GL'!AL11+'TX-HPL-GL '!AL11</f>
        <v>-40051</v>
      </c>
      <c r="AG11" s="38">
        <f>'TX-EGM-GL'!AM11+'TX-HPL-GL '!AM11</f>
        <v>-54981.53</v>
      </c>
      <c r="AH11" s="60">
        <f>'TX-EGM-GL'!AP11+'TX-HPL-GL '!AP11</f>
        <v>838</v>
      </c>
      <c r="AI11" s="38">
        <f>'TX-EGM-GL'!AQ11+'TX-HPL-GL '!AQ11</f>
        <v>0</v>
      </c>
      <c r="AJ11" s="60">
        <f>'TX-EGM-GL'!AT11+'TX-HPL-GL '!AT11</f>
        <v>0</v>
      </c>
      <c r="AK11" s="38">
        <f>'TX-EGM-GL'!AU11+'TX-HPL-GL '!AU11</f>
        <v>0</v>
      </c>
      <c r="AL11" s="60">
        <f>'TX-EGM-GL'!AV11+'TX-HPL-GL '!AV11</f>
        <v>0</v>
      </c>
      <c r="AM11" s="38">
        <f>'TX-EGM-GL'!AW11+'TX-HPL-GL '!AW11</f>
        <v>0</v>
      </c>
      <c r="AN11" s="60">
        <f>'TX-EGM-GL'!AX11+'TX-HPL-GL '!AX11</f>
        <v>0</v>
      </c>
      <c r="AO11" s="38">
        <f>'TX-EGM-GL'!AY11+'TX-HPL-GL '!AY11</f>
        <v>0</v>
      </c>
      <c r="AP11" s="60">
        <f>'TX-EGM-GL'!AZ11+'TX-HPL-GL '!AZ11</f>
        <v>0</v>
      </c>
      <c r="AQ11" s="38">
        <f>'TX-EGM-GL'!BA11+'TX-HPL-GL '!BA11</f>
        <v>0</v>
      </c>
      <c r="AR11" s="60">
        <f>'TX-EGM-GL'!BB11+'TX-HPL-GL '!BB11</f>
        <v>0</v>
      </c>
      <c r="AS11" s="38">
        <f>'TX-EGM-GL'!BC11+'TX-HPL-GL '!BC11</f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-10514736.16</v>
      </c>
      <c r="F12" s="60">
        <f>('TIE-OUT'!P12+'TIE-OUT'!R12)+(RECLASS!P12+RECLASS!R12)</f>
        <v>0</v>
      </c>
      <c r="G12" s="38">
        <f>('TIE-OUT'!Q12+'TIE-OUT'!S12)+(RECLASS!Q12+RECLASS!S12)</f>
        <v>-10514736.16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'TX-EGM-GL'!AL12+'TX-HPL-GL '!AL12</f>
        <v>0</v>
      </c>
      <c r="AG12" s="38">
        <f>'TX-EGM-GL'!AM12+'TX-HPL-GL '!AM12</f>
        <v>0</v>
      </c>
      <c r="AH12" s="60">
        <f>'TX-EGM-GL'!AP12+'TX-HPL-GL '!AP12</f>
        <v>0</v>
      </c>
      <c r="AI12" s="38">
        <f>'TX-EGM-GL'!AQ12+'TX-HPL-GL '!AQ12</f>
        <v>0</v>
      </c>
      <c r="AJ12" s="60">
        <f>'TX-EGM-GL'!AT12+'TX-HPL-GL '!AT12</f>
        <v>0</v>
      </c>
      <c r="AK12" s="38">
        <f>'TX-EGM-GL'!AU12+'TX-HPL-GL '!AU12</f>
        <v>0</v>
      </c>
      <c r="AL12" s="60">
        <f>'TX-EGM-GL'!AV12+'TX-HPL-GL '!AV12</f>
        <v>0</v>
      </c>
      <c r="AM12" s="38">
        <f>'TX-EGM-GL'!AW12+'TX-HPL-GL '!AW12</f>
        <v>0</v>
      </c>
      <c r="AN12" s="60">
        <f>'TX-EGM-GL'!AX12+'TX-HPL-GL '!AX12</f>
        <v>0</v>
      </c>
      <c r="AO12" s="38">
        <f>'TX-EGM-GL'!AY12+'TX-HPL-GL '!AY12</f>
        <v>0</v>
      </c>
      <c r="AP12" s="60">
        <f>'TX-EGM-GL'!AZ12+'TX-HPL-GL '!AZ12</f>
        <v>0</v>
      </c>
      <c r="AQ12" s="38">
        <f>'TX-EGM-GL'!BA12+'TX-HPL-GL '!BA12</f>
        <v>0</v>
      </c>
      <c r="AR12" s="60">
        <f>'TX-EGM-GL'!BB12+'TX-HPL-GL '!BB12</f>
        <v>0</v>
      </c>
      <c r="AS12" s="38">
        <f>'TX-EGM-GL'!BC12+'TX-HPL-GL '!BC12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2952044</v>
      </c>
      <c r="E13" s="38">
        <f t="shared" si="0"/>
        <v>5120629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1249214</v>
      </c>
      <c r="I13" s="38">
        <f>'TX-EGM-GL'!I13+'TX-HPL-GL '!I13</f>
        <v>2160702</v>
      </c>
      <c r="J13" s="60">
        <f>'TX-EGM-GL'!J13+'TX-HPL-GL '!J13</f>
        <v>-255812</v>
      </c>
      <c r="K13" s="38">
        <f>'TX-EGM-GL'!K13+'TX-HPL-GL '!K13</f>
        <v>-438529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0</v>
      </c>
      <c r="O13" s="38">
        <f>'TX-EGM-GL'!O13+'TX-HPL-GL '!O13</f>
        <v>0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0</v>
      </c>
      <c r="U13" s="38">
        <f>'TX-EGM-GL'!U13+'TX-HPL-GL '!U13</f>
        <v>0</v>
      </c>
      <c r="V13" s="60">
        <f>'TX-EGM-GL'!V13+'TX-HPL-GL '!V13</f>
        <v>979321</v>
      </c>
      <c r="W13" s="38">
        <f>'TX-EGM-GL'!W13+'TX-HPL-GL '!W13</f>
        <v>1699228</v>
      </c>
      <c r="X13" s="60">
        <f>'TX-EGM-GL'!X13+'TX-HPL-GL '!X13</f>
        <v>979321</v>
      </c>
      <c r="Y13" s="38">
        <f>'TX-EGM-GL'!Y13+'TX-HPL-GL '!Y13</f>
        <v>1699228</v>
      </c>
      <c r="Z13" s="60">
        <f>'TX-EGM-GL'!Z13+'TX-HPL-GL '!Z13</f>
        <v>-1702830</v>
      </c>
      <c r="AA13" s="38">
        <f>'TX-EGM-GL'!AA13+'TX-HPL-GL '!AA13</f>
        <v>-2959927</v>
      </c>
      <c r="AB13" s="60">
        <f>'TX-EGM-GL'!AB13+'TX-HPL-GL '!AB13</f>
        <v>1702830</v>
      </c>
      <c r="AC13" s="38">
        <f>'TX-EGM-GL'!AC13+'TX-HPL-GL '!AC13</f>
        <v>2959927</v>
      </c>
      <c r="AD13" s="60">
        <f>'TX-EGM-GL'!AD13+'TX-HPL-GL '!AD13</f>
        <v>0</v>
      </c>
      <c r="AE13" s="38">
        <f>'TX-EGM-GL'!AE13+'TX-HPL-GL '!AE13</f>
        <v>0</v>
      </c>
      <c r="AF13" s="60">
        <f>'TX-EGM-GL'!AL13+'TX-HPL-GL '!AL13</f>
        <v>0</v>
      </c>
      <c r="AG13" s="38">
        <f>'TX-EGM-GL'!AM13+'TX-HPL-GL '!AM13</f>
        <v>0</v>
      </c>
      <c r="AH13" s="60">
        <f>'TX-EGM-GL'!AP13+'TX-HPL-GL '!AP13</f>
        <v>0</v>
      </c>
      <c r="AI13" s="38">
        <f>'TX-EGM-GL'!AQ13+'TX-HPL-GL '!AQ13</f>
        <v>0</v>
      </c>
      <c r="AJ13" s="60">
        <f>'TX-EGM-GL'!AT13+'TX-HPL-GL '!AT13</f>
        <v>0</v>
      </c>
      <c r="AK13" s="38">
        <f>'TX-EGM-GL'!AU13+'TX-HPL-GL '!AU13</f>
        <v>0</v>
      </c>
      <c r="AL13" s="60">
        <f>'TX-EGM-GL'!AV13+'TX-HPL-GL '!AV13</f>
        <v>0</v>
      </c>
      <c r="AM13" s="38">
        <f>'TX-EGM-GL'!AW13+'TX-HPL-GL '!AW13</f>
        <v>0</v>
      </c>
      <c r="AN13" s="60">
        <f>'TX-EGM-GL'!AX13+'TX-HPL-GL '!AX13</f>
        <v>0</v>
      </c>
      <c r="AO13" s="38">
        <f>'TX-EGM-GL'!AY13+'TX-HPL-GL '!AY13</f>
        <v>0</v>
      </c>
      <c r="AP13" s="60">
        <f>'TX-EGM-GL'!AZ13+'TX-HPL-GL '!AZ13</f>
        <v>0</v>
      </c>
      <c r="AQ13" s="38">
        <f>'TX-EGM-GL'!BA13+'TX-HPL-GL '!BA13</f>
        <v>0</v>
      </c>
      <c r="AR13" s="60">
        <f>'TX-EGM-GL'!BB13+'TX-HPL-GL '!BB13</f>
        <v>0</v>
      </c>
      <c r="AS13" s="38">
        <f>'TX-EGM-GL'!BC13+'TX-HPL-GL '!BC13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'TX-EGM-GL'!AL14+'TX-HPL-GL '!AL14</f>
        <v>0</v>
      </c>
      <c r="AG14" s="38">
        <f>'TX-EGM-GL'!AM14+'TX-HPL-GL '!AM14</f>
        <v>0</v>
      </c>
      <c r="AH14" s="60">
        <f>'TX-EGM-GL'!AP14+'TX-HPL-GL '!AP14</f>
        <v>0</v>
      </c>
      <c r="AI14" s="38">
        <f>'TX-EGM-GL'!AQ14+'TX-HPL-GL '!AQ14</f>
        <v>0</v>
      </c>
      <c r="AJ14" s="60">
        <f>'TX-EGM-GL'!AT14+'TX-HPL-GL '!AT14</f>
        <v>0</v>
      </c>
      <c r="AK14" s="38">
        <f>'TX-EGM-GL'!AU14+'TX-HPL-GL '!AU14</f>
        <v>0</v>
      </c>
      <c r="AL14" s="60">
        <f>'TX-EGM-GL'!AV14+'TX-HPL-GL '!AV14</f>
        <v>0</v>
      </c>
      <c r="AM14" s="38">
        <f>'TX-EGM-GL'!AW14+'TX-HPL-GL '!AW14</f>
        <v>0</v>
      </c>
      <c r="AN14" s="60">
        <f>'TX-EGM-GL'!AX14+'TX-HPL-GL '!AX14</f>
        <v>0</v>
      </c>
      <c r="AO14" s="38">
        <f>'TX-EGM-GL'!AY14+'TX-HPL-GL '!AY14</f>
        <v>0</v>
      </c>
      <c r="AP14" s="60">
        <f>'TX-EGM-GL'!AZ14+'TX-HPL-GL '!AZ14</f>
        <v>0</v>
      </c>
      <c r="AQ14" s="38">
        <f>'TX-EGM-GL'!BA14+'TX-HPL-GL '!BA14</f>
        <v>0</v>
      </c>
      <c r="AR14" s="60">
        <f>'TX-EGM-GL'!BB14+'TX-HPL-GL '!BB14</f>
        <v>0</v>
      </c>
      <c r="AS14" s="38">
        <f>'TX-EGM-GL'!BC14+'TX-HPL-GL '!BC14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'TX-EGM-GL'!AL15+'TX-HPL-GL '!AL15</f>
        <v>0</v>
      </c>
      <c r="AG15" s="38">
        <f>'TX-EGM-GL'!AM15+'TX-HPL-GL '!AM15</f>
        <v>0</v>
      </c>
      <c r="AH15" s="60">
        <f>'TX-EGM-GL'!AP15+'TX-HPL-GL '!AP15</f>
        <v>0</v>
      </c>
      <c r="AI15" s="38">
        <f>'TX-EGM-GL'!AQ15+'TX-HPL-GL '!AQ15</f>
        <v>0</v>
      </c>
      <c r="AJ15" s="60">
        <f>'TX-EGM-GL'!AT15+'TX-HPL-GL '!AT15</f>
        <v>0</v>
      </c>
      <c r="AK15" s="38">
        <f>'TX-EGM-GL'!AU15+'TX-HPL-GL '!AU15</f>
        <v>0</v>
      </c>
      <c r="AL15" s="60">
        <f>'TX-EGM-GL'!AV15+'TX-HPL-GL '!AV15</f>
        <v>0</v>
      </c>
      <c r="AM15" s="38">
        <f>'TX-EGM-GL'!AW15+'TX-HPL-GL '!AW15</f>
        <v>0</v>
      </c>
      <c r="AN15" s="60">
        <f>'TX-EGM-GL'!AX15+'TX-HPL-GL '!AX15</f>
        <v>0</v>
      </c>
      <c r="AO15" s="38">
        <f>'TX-EGM-GL'!AY15+'TX-HPL-GL '!AY15</f>
        <v>0</v>
      </c>
      <c r="AP15" s="60">
        <f>'TX-EGM-GL'!AZ15+'TX-HPL-GL '!AZ15</f>
        <v>0</v>
      </c>
      <c r="AQ15" s="38">
        <f>'TX-EGM-GL'!BA15+'TX-HPL-GL '!BA15</f>
        <v>0</v>
      </c>
      <c r="AR15" s="60">
        <f>'TX-EGM-GL'!BB15+'TX-HPL-GL '!BB15</f>
        <v>0</v>
      </c>
      <c r="AS15" s="38">
        <f>'TX-EGM-GL'!BC15+'TX-HPL-GL '!BC15</f>
        <v>0</v>
      </c>
    </row>
    <row r="16" spans="1:45" x14ac:dyDescent="0.2">
      <c r="A16" s="9"/>
      <c r="B16" s="7" t="s">
        <v>34</v>
      </c>
      <c r="C16" s="6"/>
      <c r="D16" s="61">
        <f>SUM(D11:D15)</f>
        <v>52116881</v>
      </c>
      <c r="E16" s="39">
        <f>SUM(E11:E15)</f>
        <v>85030474.090000004</v>
      </c>
      <c r="F16" s="61">
        <f t="shared" ref="F16:AB16" si="1">SUM(F11:F15)</f>
        <v>0</v>
      </c>
      <c r="G16" s="39">
        <f t="shared" si="1"/>
        <v>-8648536.1600000001</v>
      </c>
      <c r="H16" s="61">
        <f t="shared" si="1"/>
        <v>49237778</v>
      </c>
      <c r="I16" s="39">
        <f t="shared" si="1"/>
        <v>90733665.579999998</v>
      </c>
      <c r="J16" s="61">
        <f t="shared" si="1"/>
        <v>899091</v>
      </c>
      <c r="K16" s="39">
        <f t="shared" si="1"/>
        <v>-824638.02000000083</v>
      </c>
      <c r="L16" s="61">
        <f t="shared" si="1"/>
        <v>-52746</v>
      </c>
      <c r="M16" s="39">
        <f t="shared" si="1"/>
        <v>210885.41999999998</v>
      </c>
      <c r="N16" s="61">
        <f t="shared" si="1"/>
        <v>56684</v>
      </c>
      <c r="O16" s="39">
        <f t="shared" si="1"/>
        <v>128994.1</v>
      </c>
      <c r="P16" s="61">
        <f t="shared" si="1"/>
        <v>-50053</v>
      </c>
      <c r="Q16" s="39">
        <f t="shared" si="1"/>
        <v>-113411.9</v>
      </c>
      <c r="R16" s="61">
        <f t="shared" si="1"/>
        <v>-826431</v>
      </c>
      <c r="S16" s="39">
        <f t="shared" si="1"/>
        <v>-1867442.7</v>
      </c>
      <c r="T16" s="61">
        <f t="shared" si="1"/>
        <v>849472</v>
      </c>
      <c r="U16" s="39">
        <f t="shared" ref="U16:AC16" si="2">SUM(U11:U15)</f>
        <v>1953091.26</v>
      </c>
      <c r="V16" s="61">
        <f t="shared" si="1"/>
        <v>979558</v>
      </c>
      <c r="W16" s="39">
        <f t="shared" si="2"/>
        <v>1698266.04</v>
      </c>
      <c r="X16" s="61">
        <f t="shared" si="1"/>
        <v>1062741</v>
      </c>
      <c r="Y16" s="39">
        <f t="shared" si="2"/>
        <v>1817387.92</v>
      </c>
      <c r="Z16" s="61">
        <f t="shared" si="1"/>
        <v>-1575430</v>
      </c>
      <c r="AA16" s="39">
        <f t="shared" si="2"/>
        <v>-2750354</v>
      </c>
      <c r="AB16" s="61">
        <f t="shared" si="1"/>
        <v>1575430</v>
      </c>
      <c r="AC16" s="39">
        <f t="shared" si="2"/>
        <v>2747548.08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-40051</v>
      </c>
      <c r="AG16" s="39">
        <f t="shared" si="3"/>
        <v>-54981.53</v>
      </c>
      <c r="AH16" s="61">
        <f t="shared" si="3"/>
        <v>838</v>
      </c>
      <c r="AI16" s="39">
        <f t="shared" si="3"/>
        <v>0</v>
      </c>
      <c r="AJ16" s="61">
        <f t="shared" ref="AJ16:AO16" si="4">SUM(AJ11:AJ15)</f>
        <v>0</v>
      </c>
      <c r="AK16" s="39">
        <f t="shared" si="4"/>
        <v>0</v>
      </c>
      <c r="AL16" s="61">
        <f t="shared" si="4"/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SUM(F19,H19,J19,L19,N19,P19,R19,T19,V19,X19,Z19,AB19,AD19,AF19,AH19,AJ19,AL19,AN19,AP19,AR19)</f>
        <v>-29494466</v>
      </c>
      <c r="E19" s="38">
        <f t="shared" si="5"/>
        <v>-48194936.559999995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-29909924</v>
      </c>
      <c r="I19" s="38">
        <f>'TX-EGM-GL'!I19+'TX-HPL-GL '!I19</f>
        <v>-49089830.350000001</v>
      </c>
      <c r="J19" s="60">
        <f>'TX-EGM-GL'!J19+'TX-HPL-GL '!J19</f>
        <v>13387760</v>
      </c>
      <c r="K19" s="38">
        <f>'TX-EGM-GL'!K19+'TX-HPL-GL '!K19</f>
        <v>22139493.329999998</v>
      </c>
      <c r="L19" s="60">
        <f>'TX-EGM-GL'!L19+'TX-HPL-GL '!L19</f>
        <v>115918</v>
      </c>
      <c r="M19" s="38">
        <f>'TX-EGM-GL'!M19+'TX-HPL-GL '!M19</f>
        <v>156593.60000000001</v>
      </c>
      <c r="N19" s="60">
        <f>'TX-EGM-GL'!N19+'TX-HPL-GL '!N19</f>
        <v>-13053795</v>
      </c>
      <c r="O19" s="38">
        <f>'TX-EGM-GL'!O19+'TX-HPL-GL '!O19</f>
        <v>-21358412.77</v>
      </c>
      <c r="P19" s="60">
        <f>'TX-EGM-GL'!P19+'TX-HPL-GL '!P19</f>
        <v>7564</v>
      </c>
      <c r="Q19" s="38">
        <f>'TX-EGM-GL'!Q19+'TX-HPL-GL '!Q19</f>
        <v>13516.4</v>
      </c>
      <c r="R19" s="60">
        <f>'TX-EGM-GL'!R19+'TX-HPL-GL '!R19</f>
        <v>6129</v>
      </c>
      <c r="S19" s="38">
        <f>'TX-EGM-GL'!S19+'TX-HPL-GL '!S19</f>
        <v>22221.86</v>
      </c>
      <c r="T19" s="60">
        <f>'TX-EGM-GL'!T19+'TX-HPL-GL '!T19</f>
        <v>95232</v>
      </c>
      <c r="U19" s="38">
        <f>'TX-EGM-GL'!U19+'TX-HPL-GL '!U19</f>
        <v>162793.75</v>
      </c>
      <c r="V19" s="60">
        <f>'TX-EGM-GL'!V19+'TX-HPL-GL '!V19</f>
        <v>-17068</v>
      </c>
      <c r="W19" s="38">
        <f>'TX-EGM-GL'!W19+'TX-HPL-GL '!W19</f>
        <v>-29783.49</v>
      </c>
      <c r="X19" s="60">
        <f>'TX-EGM-GL'!X19+'TX-HPL-GL '!X19</f>
        <v>-150006</v>
      </c>
      <c r="Y19" s="38">
        <f>'TX-EGM-GL'!Y19+'TX-HPL-GL '!Y19</f>
        <v>-247134.05</v>
      </c>
      <c r="Z19" s="60">
        <f>'TX-EGM-GL'!Z19+'TX-HPL-GL '!Z19</f>
        <v>-39838</v>
      </c>
      <c r="AA19" s="38">
        <f>'TX-EGM-GL'!AA19+'TX-HPL-GL '!AA19</f>
        <v>-71493.87</v>
      </c>
      <c r="AB19" s="60">
        <f>'TX-EGM-GL'!AB19+'TX-HPL-GL '!AB19</f>
        <v>0</v>
      </c>
      <c r="AC19" s="38">
        <f>'TX-EGM-GL'!AC19+'TX-HPL-GL '!AC19</f>
        <v>0</v>
      </c>
      <c r="AD19" s="60">
        <f>'TX-EGM-GL'!AD19+'TX-HPL-GL '!AD19</f>
        <v>0</v>
      </c>
      <c r="AE19" s="38">
        <f>'TX-EGM-GL'!AE19+'TX-HPL-GL '!AE19</f>
        <v>-375.69</v>
      </c>
      <c r="AF19" s="60">
        <f>'TX-EGM-GL'!AL19+'TX-HPL-GL '!AL19</f>
        <v>39474</v>
      </c>
      <c r="AG19" s="38">
        <f>'TX-EGM-GL'!AM19+'TX-HPL-GL '!AM19</f>
        <v>69054.36</v>
      </c>
      <c r="AH19" s="60">
        <f>'TX-EGM-GL'!AP19+'TX-HPL-GL '!AP19</f>
        <v>24088</v>
      </c>
      <c r="AI19" s="38">
        <f>'TX-EGM-GL'!AQ19+'TX-HPL-GL '!AQ19</f>
        <v>38420.36</v>
      </c>
      <c r="AJ19" s="60">
        <f>'TX-EGM-GL'!AT19+'TX-HPL-GL '!AT19</f>
        <v>0</v>
      </c>
      <c r="AK19" s="38">
        <f>'TX-EGM-GL'!AU19+'TX-HPL-GL '!AU19</f>
        <v>0</v>
      </c>
      <c r="AL19" s="60">
        <f>'TX-EGM-GL'!AV19+'TX-HPL-GL '!AV19</f>
        <v>0</v>
      </c>
      <c r="AM19" s="38">
        <f>'TX-EGM-GL'!AW19+'TX-HPL-GL '!AW19</f>
        <v>0</v>
      </c>
      <c r="AN19" s="60">
        <f>'TX-EGM-GL'!AX19+'TX-HPL-GL '!AX19</f>
        <v>0</v>
      </c>
      <c r="AO19" s="38">
        <f>'TX-EGM-GL'!AY19+'TX-HPL-GL '!AY19</f>
        <v>0</v>
      </c>
      <c r="AP19" s="60">
        <f>'TX-EGM-GL'!AZ19+'TX-HPL-GL '!AZ19</f>
        <v>0</v>
      </c>
      <c r="AQ19" s="38">
        <f>'TX-EGM-GL'!BA19+'TX-HPL-GL '!BA19</f>
        <v>0</v>
      </c>
      <c r="AR19" s="60">
        <f>'TX-EGM-GL'!BB19+'TX-HPL-GL '!BB19</f>
        <v>0</v>
      </c>
      <c r="AS19" s="38">
        <f>'TX-EGM-GL'!BC19+'TX-HPL-GL '!BC19</f>
        <v>0</v>
      </c>
    </row>
    <row r="20" spans="1:45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1001773.72</v>
      </c>
      <c r="F20" s="60">
        <f>('TIE-OUT'!P20+'TIE-OUT'!R20)+(RECLASS!P20+RECLASS!R20)</f>
        <v>0</v>
      </c>
      <c r="G20" s="38">
        <f>('TIE-OUT'!Q20+'TIE-OUT'!S20)+(RECLASS!Q20+RECLASS!S20)</f>
        <v>1001773.72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'TX-EGM-GL'!AL20+'TX-HPL-GL '!AL20</f>
        <v>0</v>
      </c>
      <c r="AG20" s="38">
        <f>'TX-EGM-GL'!AM20+'TX-HPL-GL '!AM20</f>
        <v>0</v>
      </c>
      <c r="AH20" s="60">
        <f>'TX-EGM-GL'!AP20+'TX-HPL-GL '!AP20</f>
        <v>0</v>
      </c>
      <c r="AI20" s="38">
        <f>'TX-EGM-GL'!AQ20+'TX-HPL-GL '!AQ20</f>
        <v>0</v>
      </c>
      <c r="AJ20" s="60">
        <f>'TX-EGM-GL'!AT20+'TX-HPL-GL '!AT20</f>
        <v>0</v>
      </c>
      <c r="AK20" s="38">
        <f>'TX-EGM-GL'!AU20+'TX-HPL-GL '!AU20</f>
        <v>0</v>
      </c>
      <c r="AL20" s="60">
        <f>'TX-EGM-GL'!AV20+'TX-HPL-GL '!AV20</f>
        <v>0</v>
      </c>
      <c r="AM20" s="38">
        <f>'TX-EGM-GL'!AW20+'TX-HPL-GL '!AW20</f>
        <v>0</v>
      </c>
      <c r="AN20" s="60">
        <f>'TX-EGM-GL'!AX20+'TX-HPL-GL '!AX20</f>
        <v>0</v>
      </c>
      <c r="AO20" s="38">
        <f>'TX-EGM-GL'!AY20+'TX-HPL-GL '!AY20</f>
        <v>0</v>
      </c>
      <c r="AP20" s="60">
        <f>'TX-EGM-GL'!AZ20+'TX-HPL-GL '!AZ20</f>
        <v>0</v>
      </c>
      <c r="AQ20" s="38">
        <f>'TX-EGM-GL'!BA20+'TX-HPL-GL '!BA20</f>
        <v>0</v>
      </c>
      <c r="AR20" s="60">
        <f>'TX-EGM-GL'!BB20+'TX-HPL-GL '!BB20</f>
        <v>0</v>
      </c>
      <c r="AS20" s="38">
        <f>'TX-EGM-GL'!BC20+'TX-HPL-GL '!BC20</f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5"/>
        <v>-3044223</v>
      </c>
      <c r="E21" s="38">
        <f t="shared" si="5"/>
        <v>-5193982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-1231813</v>
      </c>
      <c r="I21" s="38">
        <f>'TX-EGM-GL'!I21+'TX-HPL-GL '!I21</f>
        <v>-2046081</v>
      </c>
      <c r="J21" s="60">
        <f>'TX-EGM-GL'!J21+'TX-HPL-GL '!J21</f>
        <v>141625</v>
      </c>
      <c r="K21" s="38">
        <f>'TX-EGM-GL'!K21+'TX-HPL-GL '!K21</f>
        <v>243254</v>
      </c>
      <c r="L21" s="60">
        <f>'TX-EGM-GL'!L21+'TX-HPL-GL '!L21</f>
        <v>2264</v>
      </c>
      <c r="M21" s="38">
        <f>'TX-EGM-GL'!M21+'TX-HPL-GL '!M21</f>
        <v>3588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0</v>
      </c>
      <c r="Q21" s="38">
        <f>'TX-EGM-GL'!Q21+'TX-HPL-GL '!Q21</f>
        <v>0</v>
      </c>
      <c r="R21" s="60">
        <f>'TX-EGM-GL'!R21+'TX-HPL-GL '!R21</f>
        <v>2343</v>
      </c>
      <c r="S21" s="38">
        <f>'TX-EGM-GL'!S21+'TX-HPL-GL '!S21</f>
        <v>3713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-979321</v>
      </c>
      <c r="W21" s="38">
        <f>'TX-EGM-GL'!W21+'TX-HPL-GL '!W21</f>
        <v>-1699228</v>
      </c>
      <c r="X21" s="60">
        <f>'TX-EGM-GL'!X21+'TX-HPL-GL '!X21</f>
        <v>-979321</v>
      </c>
      <c r="Y21" s="38">
        <f>'TX-EGM-GL'!Y21+'TX-HPL-GL '!Y21</f>
        <v>-1699228</v>
      </c>
      <c r="Z21" s="60">
        <f>'TX-EGM-GL'!Z21+'TX-HPL-GL '!Z21</f>
        <v>1812410</v>
      </c>
      <c r="AA21" s="38">
        <f>'TX-EGM-GL'!AA21+'TX-HPL-GL '!AA21</f>
        <v>3147901</v>
      </c>
      <c r="AB21" s="60">
        <f>'TX-EGM-GL'!AB21+'TX-HPL-GL '!AB21</f>
        <v>-1812410</v>
      </c>
      <c r="AC21" s="38">
        <f>'TX-EGM-GL'!AC21+'TX-HPL-GL '!AC21</f>
        <v>-3147901</v>
      </c>
      <c r="AD21" s="60">
        <f>'TX-EGM-GL'!AD21+'TX-HPL-GL '!AD21</f>
        <v>0</v>
      </c>
      <c r="AE21" s="38">
        <f>'TX-EGM-GL'!AE21+'TX-HPL-GL '!AE21</f>
        <v>0</v>
      </c>
      <c r="AF21" s="60">
        <f>'TX-EGM-GL'!AL21+'TX-HPL-GL '!AL21</f>
        <v>0</v>
      </c>
      <c r="AG21" s="38">
        <f>'TX-EGM-GL'!AM21+'TX-HPL-GL '!AM21</f>
        <v>0</v>
      </c>
      <c r="AH21" s="60">
        <f>'TX-EGM-GL'!AP21+'TX-HPL-GL '!AP21</f>
        <v>0</v>
      </c>
      <c r="AI21" s="38">
        <f>'TX-EGM-GL'!AQ21+'TX-HPL-GL '!AQ21</f>
        <v>0</v>
      </c>
      <c r="AJ21" s="60">
        <f>'TX-EGM-GL'!AT21+'TX-HPL-GL '!AT21</f>
        <v>0</v>
      </c>
      <c r="AK21" s="38">
        <f>'TX-EGM-GL'!AU21+'TX-HPL-GL '!AU21</f>
        <v>0</v>
      </c>
      <c r="AL21" s="60">
        <f>'TX-EGM-GL'!AV21+'TX-HPL-GL '!AV21</f>
        <v>0</v>
      </c>
      <c r="AM21" s="38">
        <f>'TX-EGM-GL'!AW21+'TX-HPL-GL '!AW21</f>
        <v>0</v>
      </c>
      <c r="AN21" s="60">
        <f>'TX-EGM-GL'!AX21+'TX-HPL-GL '!AX21</f>
        <v>0</v>
      </c>
      <c r="AO21" s="38">
        <f>'TX-EGM-GL'!AY21+'TX-HPL-GL '!AY21</f>
        <v>0</v>
      </c>
      <c r="AP21" s="60">
        <f>'TX-EGM-GL'!AZ21+'TX-HPL-GL '!AZ21</f>
        <v>0</v>
      </c>
      <c r="AQ21" s="38">
        <f>'TX-EGM-GL'!BA21+'TX-HPL-GL '!BA21</f>
        <v>0</v>
      </c>
      <c r="AR21" s="60">
        <f>'TX-EGM-GL'!BB21+'TX-HPL-GL '!BB21</f>
        <v>0</v>
      </c>
      <c r="AS21" s="38">
        <f>'TX-EGM-GL'!BC21+'TX-HPL-GL '!BC21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'TX-EGM-GL'!AL22+'TX-HPL-GL '!AL22</f>
        <v>0</v>
      </c>
      <c r="AG22" s="38">
        <f>'TX-EGM-GL'!AM22+'TX-HPL-GL '!AM22</f>
        <v>0</v>
      </c>
      <c r="AH22" s="60">
        <f>'TX-EGM-GL'!AP22+'TX-HPL-GL '!AP22</f>
        <v>0</v>
      </c>
      <c r="AI22" s="38">
        <f>'TX-EGM-GL'!AQ22+'TX-HPL-GL '!AQ22</f>
        <v>0</v>
      </c>
      <c r="AJ22" s="60">
        <f>'TX-EGM-GL'!AT22+'TX-HPL-GL '!AT22</f>
        <v>0</v>
      </c>
      <c r="AK22" s="38">
        <f>'TX-EGM-GL'!AU22+'TX-HPL-GL '!AU22</f>
        <v>0</v>
      </c>
      <c r="AL22" s="60">
        <f>'TX-EGM-GL'!AV22+'TX-HPL-GL '!AV22</f>
        <v>0</v>
      </c>
      <c r="AM22" s="38">
        <f>'TX-EGM-GL'!AW22+'TX-HPL-GL '!AW22</f>
        <v>0</v>
      </c>
      <c r="AN22" s="60">
        <f>'TX-EGM-GL'!AX22+'TX-HPL-GL '!AX22</f>
        <v>0</v>
      </c>
      <c r="AO22" s="38">
        <f>'TX-EGM-GL'!AY22+'TX-HPL-GL '!AY22</f>
        <v>0</v>
      </c>
      <c r="AP22" s="60">
        <f>'TX-EGM-GL'!AZ22+'TX-HPL-GL '!AZ22</f>
        <v>0</v>
      </c>
      <c r="AQ22" s="38">
        <f>'TX-EGM-GL'!BA22+'TX-HPL-GL '!BA22</f>
        <v>0</v>
      </c>
      <c r="AR22" s="60">
        <f>'TX-EGM-GL'!BB22+'TX-HPL-GL '!BB22</f>
        <v>0</v>
      </c>
      <c r="AS22" s="38">
        <f>'TX-EGM-GL'!BC22+'TX-HPL-GL '!BC22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5"/>
        <v>2400</v>
      </c>
      <c r="E23" s="38">
        <f t="shared" si="5"/>
        <v>3691.55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-1904</v>
      </c>
      <c r="I23" s="38">
        <f>'TX-EGM-GL'!I23+'TX-HPL-GL '!I23</f>
        <v>-2928</v>
      </c>
      <c r="J23" s="60">
        <f>'TX-EGM-GL'!J23+'TX-HPL-GL '!J23</f>
        <v>4304</v>
      </c>
      <c r="K23" s="38">
        <f>'TX-EGM-GL'!K23+'TX-HPL-GL '!K23</f>
        <v>6619.55</v>
      </c>
      <c r="L23" s="60">
        <f>'TX-EGM-GL'!L23+'TX-HPL-GL '!L23</f>
        <v>0</v>
      </c>
      <c r="M23" s="38">
        <f>'TX-EGM-GL'!M23+'TX-HPL-GL '!M23</f>
        <v>0</v>
      </c>
      <c r="N23" s="60">
        <f>'TX-EGM-GL'!N23+'TX-HPL-GL '!N23</f>
        <v>0</v>
      </c>
      <c r="O23" s="38">
        <f>'TX-EGM-GL'!O23+'TX-HPL-GL '!O23</f>
        <v>0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'TX-EGM-GL'!AL23+'TX-HPL-GL '!AL23</f>
        <v>0</v>
      </c>
      <c r="AG23" s="38">
        <f>'TX-EGM-GL'!AM23+'TX-HPL-GL '!AM23</f>
        <v>0</v>
      </c>
      <c r="AH23" s="60">
        <f>'TX-EGM-GL'!AP23+'TX-HPL-GL '!AP23</f>
        <v>0</v>
      </c>
      <c r="AI23" s="38">
        <f>'TX-EGM-GL'!AQ23+'TX-HPL-GL '!AQ23</f>
        <v>0</v>
      </c>
      <c r="AJ23" s="60">
        <f>'TX-EGM-GL'!AT23+'TX-HPL-GL '!AT23</f>
        <v>0</v>
      </c>
      <c r="AK23" s="38">
        <f>'TX-EGM-GL'!AU23+'TX-HPL-GL '!AU23</f>
        <v>0</v>
      </c>
      <c r="AL23" s="60">
        <f>'TX-EGM-GL'!AV23+'TX-HPL-GL '!AV23</f>
        <v>0</v>
      </c>
      <c r="AM23" s="38">
        <f>'TX-EGM-GL'!AW23+'TX-HPL-GL '!AW23</f>
        <v>0</v>
      </c>
      <c r="AN23" s="60">
        <f>'TX-EGM-GL'!AX23+'TX-HPL-GL '!AX23</f>
        <v>0</v>
      </c>
      <c r="AO23" s="38">
        <f>'TX-EGM-GL'!AY23+'TX-HPL-GL '!AY23</f>
        <v>0</v>
      </c>
      <c r="AP23" s="60">
        <f>'TX-EGM-GL'!AZ23+'TX-HPL-GL '!AZ23</f>
        <v>0</v>
      </c>
      <c r="AQ23" s="38">
        <f>'TX-EGM-GL'!BA23+'TX-HPL-GL '!BA23</f>
        <v>0</v>
      </c>
      <c r="AR23" s="60">
        <f>'TX-EGM-GL'!BB23+'TX-HPL-GL '!BB23</f>
        <v>0</v>
      </c>
      <c r="AS23" s="38">
        <f>'TX-EGM-GL'!BC23+'TX-HPL-GL '!BC23</f>
        <v>0</v>
      </c>
    </row>
    <row r="24" spans="1:45" x14ac:dyDescent="0.2">
      <c r="A24" s="9"/>
      <c r="B24" s="7" t="s">
        <v>37</v>
      </c>
      <c r="C24" s="6"/>
      <c r="D24" s="61">
        <f>SUM(D19:D23)</f>
        <v>-32536289</v>
      </c>
      <c r="E24" s="39">
        <f>SUM(E19:E23)</f>
        <v>-52383453.289999999</v>
      </c>
      <c r="F24" s="61">
        <f t="shared" ref="F24:AB24" si="6">SUM(F19:F23)</f>
        <v>0</v>
      </c>
      <c r="G24" s="39">
        <f t="shared" si="6"/>
        <v>1001773.72</v>
      </c>
      <c r="H24" s="61">
        <f t="shared" si="6"/>
        <v>-31143641</v>
      </c>
      <c r="I24" s="39">
        <f t="shared" si="6"/>
        <v>-51138839.350000001</v>
      </c>
      <c r="J24" s="61">
        <f t="shared" si="6"/>
        <v>13533689</v>
      </c>
      <c r="K24" s="39">
        <f t="shared" si="6"/>
        <v>22389366.879999999</v>
      </c>
      <c r="L24" s="61">
        <f t="shared" si="6"/>
        <v>118182</v>
      </c>
      <c r="M24" s="39">
        <f t="shared" si="6"/>
        <v>160181.6</v>
      </c>
      <c r="N24" s="61">
        <f t="shared" si="6"/>
        <v>-13053795</v>
      </c>
      <c r="O24" s="39">
        <f t="shared" si="6"/>
        <v>-21358412.77</v>
      </c>
      <c r="P24" s="61">
        <f t="shared" si="6"/>
        <v>7564</v>
      </c>
      <c r="Q24" s="39">
        <f t="shared" si="6"/>
        <v>13516.4</v>
      </c>
      <c r="R24" s="61">
        <f t="shared" si="6"/>
        <v>8472</v>
      </c>
      <c r="S24" s="39">
        <f t="shared" si="6"/>
        <v>25934.86</v>
      </c>
      <c r="T24" s="61">
        <f t="shared" si="6"/>
        <v>95232</v>
      </c>
      <c r="U24" s="39">
        <f t="shared" ref="U24:AC24" si="7">SUM(U19:U23)</f>
        <v>162793.75</v>
      </c>
      <c r="V24" s="61">
        <f t="shared" si="6"/>
        <v>-996389</v>
      </c>
      <c r="W24" s="39">
        <f t="shared" si="7"/>
        <v>-1729011.49</v>
      </c>
      <c r="X24" s="61">
        <f t="shared" si="6"/>
        <v>-1129327</v>
      </c>
      <c r="Y24" s="39">
        <f t="shared" si="7"/>
        <v>-1946362.05</v>
      </c>
      <c r="Z24" s="61">
        <f t="shared" si="6"/>
        <v>1772572</v>
      </c>
      <c r="AA24" s="39">
        <f t="shared" si="7"/>
        <v>3076407.13</v>
      </c>
      <c r="AB24" s="61">
        <f t="shared" si="6"/>
        <v>-1812410</v>
      </c>
      <c r="AC24" s="39">
        <f t="shared" si="7"/>
        <v>-3147901</v>
      </c>
      <c r="AD24" s="61">
        <f t="shared" ref="AD24:AI24" si="8">SUM(AD19:AD23)</f>
        <v>0</v>
      </c>
      <c r="AE24" s="39">
        <f t="shared" si="8"/>
        <v>-375.69</v>
      </c>
      <c r="AF24" s="61">
        <f t="shared" si="8"/>
        <v>39474</v>
      </c>
      <c r="AG24" s="39">
        <f t="shared" si="8"/>
        <v>69054.36</v>
      </c>
      <c r="AH24" s="61">
        <f t="shared" si="8"/>
        <v>24088</v>
      </c>
      <c r="AI24" s="39">
        <f t="shared" si="8"/>
        <v>38420.36</v>
      </c>
      <c r="AJ24" s="61">
        <f t="shared" ref="AJ24:AO24" si="9">SUM(AJ19:AJ23)</f>
        <v>0</v>
      </c>
      <c r="AK24" s="39">
        <f t="shared" si="9"/>
        <v>0</v>
      </c>
      <c r="AL24" s="61">
        <f t="shared" si="9"/>
        <v>0</v>
      </c>
      <c r="AM24" s="39">
        <f t="shared" si="9"/>
        <v>0</v>
      </c>
      <c r="AN24" s="61">
        <f t="shared" si="9"/>
        <v>0</v>
      </c>
      <c r="AO24" s="39">
        <f t="shared" si="9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11049097</v>
      </c>
      <c r="E27" s="38">
        <f>SUM(G27,I27,K27,M27,O27,Q27,S27,U27,W27,Y27,AA27,AC27,AE27,AG27,AI27,AK27,AM27,AO27,AQ27,AS27)</f>
        <v>18147060.616999999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10136598</v>
      </c>
      <c r="I27" s="38">
        <f>'TX-EGM-GL'!I27+'TX-HPL-GL '!I27</f>
        <v>16634345.399999999</v>
      </c>
      <c r="J27" s="60">
        <f>'TX-EGM-GL'!J27+'TX-HPL-GL '!J27</f>
        <v>1066470</v>
      </c>
      <c r="K27" s="38">
        <f>'TX-EGM-GL'!K27+'TX-HPL-GL '!K27</f>
        <v>1762910.5156</v>
      </c>
      <c r="L27" s="60">
        <f>'TX-EGM-GL'!L27+'TX-HPL-GL '!L27</f>
        <v>-172451</v>
      </c>
      <c r="M27" s="38">
        <f>'TX-EGM-GL'!M27+'TX-HPL-GL '!M27</f>
        <v>-282189.45699999999</v>
      </c>
      <c r="N27" s="60">
        <f>'TX-EGM-GL'!N27+'TX-HPL-GL '!N27</f>
        <v>-19069</v>
      </c>
      <c r="O27" s="38">
        <f>'TX-EGM-GL'!O27+'TX-HPL-GL '!O27</f>
        <v>-30664.499800000001</v>
      </c>
      <c r="P27" s="60">
        <f>'TX-EGM-GL'!P27+'TX-HPL-GL '!P27</f>
        <v>8339</v>
      </c>
      <c r="Q27" s="38">
        <f>'TX-EGM-GL'!Q27+'TX-HPL-GL '!Q27</f>
        <v>13759</v>
      </c>
      <c r="R27" s="60">
        <f>'TX-EGM-GL'!R27+'TX-HPL-GL '!R27</f>
        <v>-37549</v>
      </c>
      <c r="S27" s="38">
        <f>'TX-EGM-GL'!S27+'TX-HPL-GL '!S27</f>
        <v>-61955</v>
      </c>
      <c r="T27" s="60">
        <f>'TX-EGM-GL'!T27+'TX-HPL-GL '!T27</f>
        <v>-2838</v>
      </c>
      <c r="U27" s="38">
        <f>'TX-EGM-GL'!U27+'TX-HPL-GL '!U27</f>
        <v>-4402.8732</v>
      </c>
      <c r="V27" s="60">
        <f>'TX-EGM-GL'!V27+'TX-HPL-GL '!V27</f>
        <v>17173</v>
      </c>
      <c r="W27" s="38">
        <f>'TX-EGM-GL'!W27+'TX-HPL-GL '!W27</f>
        <v>28833.182800000002</v>
      </c>
      <c r="X27" s="60">
        <f>'TX-EGM-GL'!X27+'TX-HPL-GL '!X27</f>
        <v>52424</v>
      </c>
      <c r="Y27" s="38">
        <f>'TX-EGM-GL'!Y27+'TX-HPL-GL '!Y27</f>
        <v>86424.348599999998</v>
      </c>
      <c r="Z27" s="60">
        <f>'TX-EGM-GL'!Z27+'TX-HPL-GL '!Z27</f>
        <v>0</v>
      </c>
      <c r="AA27" s="38">
        <f>'TX-EGM-GL'!AA27+'TX-HPL-GL '!AA27</f>
        <v>0</v>
      </c>
      <c r="AB27" s="60">
        <f>'TX-EGM-GL'!AB27+'TX-HPL-GL '!AB27</f>
        <v>0</v>
      </c>
      <c r="AC27" s="38">
        <f>'TX-EGM-GL'!AC27+'TX-HPL-GL '!AC27</f>
        <v>0</v>
      </c>
      <c r="AD27" s="60">
        <f>'TX-EGM-GL'!AD27+'TX-HPL-GL '!AD27</f>
        <v>0</v>
      </c>
      <c r="AE27" s="38">
        <f>'TX-EGM-GL'!AE27+'TX-HPL-GL '!AE27</f>
        <v>0</v>
      </c>
      <c r="AF27" s="60">
        <f>'TX-EGM-GL'!AL27+'TX-HPL-GL '!AL27</f>
        <v>0</v>
      </c>
      <c r="AG27" s="38">
        <f>'TX-EGM-GL'!AM27+'TX-HPL-GL '!AM27</f>
        <v>0</v>
      </c>
      <c r="AH27" s="60">
        <f>'TX-EGM-GL'!AP27+'TX-HPL-GL '!AP27</f>
        <v>0</v>
      </c>
      <c r="AI27" s="38">
        <f>'TX-EGM-GL'!AQ27+'TX-HPL-GL '!AQ27</f>
        <v>0</v>
      </c>
      <c r="AJ27" s="60">
        <f>'TX-EGM-GL'!AT27+'TX-HPL-GL '!AT27</f>
        <v>0</v>
      </c>
      <c r="AK27" s="38">
        <f>'TX-EGM-GL'!AU27+'TX-HPL-GL '!AU27</f>
        <v>0</v>
      </c>
      <c r="AL27" s="60">
        <f>'TX-EGM-GL'!AV27+'TX-HPL-GL '!AV27</f>
        <v>0</v>
      </c>
      <c r="AM27" s="38">
        <f>'TX-EGM-GL'!AW27+'TX-HPL-GL '!AW27</f>
        <v>0</v>
      </c>
      <c r="AN27" s="60">
        <f>'TX-EGM-GL'!AX27+'TX-HPL-GL '!AX27</f>
        <v>0</v>
      </c>
      <c r="AO27" s="38">
        <f>'TX-EGM-GL'!AY27+'TX-HPL-GL '!AY27</f>
        <v>0</v>
      </c>
      <c r="AP27" s="60">
        <f>'TX-EGM-GL'!AZ27+'TX-HPL-GL '!AZ27</f>
        <v>0</v>
      </c>
      <c r="AQ27" s="38">
        <f>'TX-EGM-GL'!BA27+'TX-HPL-GL '!BA27</f>
        <v>0</v>
      </c>
      <c r="AR27" s="60">
        <f>'TX-EGM-GL'!BB27+'TX-HPL-GL '!BB27</f>
        <v>0</v>
      </c>
      <c r="AS27" s="38">
        <f>'TX-EGM-GL'!BC27+'TX-HPL-GL '!BC27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-25039780</v>
      </c>
      <c r="E28" s="38">
        <f>SUM(G28,I28,K28,M28,O28,Q28,S28,U28,W28,Y28,AA28,AC28,AE28,AG28,AI28,AK28,AM28,AO28,AQ28,AS28)</f>
        <v>-41131471.659999982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-24085414</v>
      </c>
      <c r="I28" s="38">
        <f>'TX-EGM-GL'!I28+'TX-HPL-GL '!I28</f>
        <v>-39552688.219999999</v>
      </c>
      <c r="J28" s="60">
        <f>'TX-EGM-GL'!J28+'TX-HPL-GL '!J28</f>
        <v>-13893758</v>
      </c>
      <c r="K28" s="38">
        <f>'TX-EGM-GL'!K28+'TX-HPL-GL '!K28</f>
        <v>-22748126.959999997</v>
      </c>
      <c r="L28" s="60">
        <f>'TX-EGM-GL'!L28+'TX-HPL-GL '!L28</f>
        <v>90014</v>
      </c>
      <c r="M28" s="38">
        <f>'TX-EGM-GL'!M28+'TX-HPL-GL '!M28</f>
        <v>147892.53</v>
      </c>
      <c r="N28" s="60">
        <f>'TX-EGM-GL'!N28+'TX-HPL-GL '!N28</f>
        <v>12986885</v>
      </c>
      <c r="O28" s="38">
        <f>'TX-EGM-GL'!O28+'TX-HPL-GL '!O28</f>
        <v>21248337.84</v>
      </c>
      <c r="P28" s="60">
        <f>'TX-EGM-GL'!P28+'TX-HPL-GL '!P28</f>
        <v>-106181</v>
      </c>
      <c r="Q28" s="38">
        <f>'TX-EGM-GL'!Q28+'TX-HPL-GL '!Q28</f>
        <v>-175199</v>
      </c>
      <c r="R28" s="60">
        <f>'TX-EGM-GL'!R28+'TX-HPL-GL '!R28</f>
        <v>-11368</v>
      </c>
      <c r="S28" s="38">
        <f>'TX-EGM-GL'!S28+'TX-HPL-GL '!S28</f>
        <v>-18757.150000000001</v>
      </c>
      <c r="T28" s="60">
        <f>'TX-EGM-GL'!T28+'TX-HPL-GL '!T28</f>
        <v>0</v>
      </c>
      <c r="U28" s="38">
        <f>'TX-EGM-GL'!U28+'TX-HPL-GL '!U28</f>
        <v>0</v>
      </c>
      <c r="V28" s="60">
        <f>'TX-EGM-GL'!V28+'TX-HPL-GL '!V28</f>
        <v>2943</v>
      </c>
      <c r="W28" s="38">
        <f>'TX-EGM-GL'!W28+'TX-HPL-GL '!W28</f>
        <v>4855.9500000000007</v>
      </c>
      <c r="X28" s="60">
        <f>'TX-EGM-GL'!X28+'TX-HPL-GL '!X28</f>
        <v>-22901</v>
      </c>
      <c r="Y28" s="38">
        <f>'TX-EGM-GL'!Y28+'TX-HPL-GL '!Y28</f>
        <v>-37786.65</v>
      </c>
      <c r="Z28" s="60">
        <f>'TX-EGM-GL'!Z28+'TX-HPL-GL '!Z28</f>
        <v>0</v>
      </c>
      <c r="AA28" s="38">
        <f>'TX-EGM-GL'!AA28+'TX-HPL-GL '!AA28</f>
        <v>0</v>
      </c>
      <c r="AB28" s="60">
        <f>'TX-EGM-GL'!AB28+'TX-HPL-GL '!AB28</f>
        <v>0</v>
      </c>
      <c r="AC28" s="38">
        <f>'TX-EGM-GL'!AC28+'TX-HPL-GL '!AC28</f>
        <v>0</v>
      </c>
      <c r="AD28" s="60">
        <f>'TX-EGM-GL'!AD28+'TX-HPL-GL '!AD28</f>
        <v>0</v>
      </c>
      <c r="AE28" s="38">
        <f>'TX-EGM-GL'!AE28+'TX-HPL-GL '!AE28</f>
        <v>0</v>
      </c>
      <c r="AF28" s="60">
        <f>'TX-EGM-GL'!AL28+'TX-HPL-GL '!AL28</f>
        <v>0</v>
      </c>
      <c r="AG28" s="38">
        <f>'TX-EGM-GL'!AM28+'TX-HPL-GL '!AM28</f>
        <v>0</v>
      </c>
      <c r="AH28" s="60">
        <f>'TX-EGM-GL'!AP28+'TX-HPL-GL '!AP28</f>
        <v>0</v>
      </c>
      <c r="AI28" s="38">
        <f>'TX-EGM-GL'!AQ28+'TX-HPL-GL '!AQ28</f>
        <v>0</v>
      </c>
      <c r="AJ28" s="60">
        <f>'TX-EGM-GL'!AT28+'TX-HPL-GL '!AT28</f>
        <v>0</v>
      </c>
      <c r="AK28" s="38">
        <f>'TX-EGM-GL'!AU28+'TX-HPL-GL '!AU28</f>
        <v>0</v>
      </c>
      <c r="AL28" s="60">
        <f>'TX-EGM-GL'!AV28+'TX-HPL-GL '!AV28</f>
        <v>0</v>
      </c>
      <c r="AM28" s="38">
        <f>'TX-EGM-GL'!AW28+'TX-HPL-GL '!AW28</f>
        <v>0</v>
      </c>
      <c r="AN28" s="60">
        <f>'TX-EGM-GL'!AX28+'TX-HPL-GL '!AX28</f>
        <v>0</v>
      </c>
      <c r="AO28" s="38">
        <f>'TX-EGM-GL'!AY28+'TX-HPL-GL '!AY28</f>
        <v>0</v>
      </c>
      <c r="AP28" s="60">
        <f>'TX-EGM-GL'!AZ28+'TX-HPL-GL '!AZ28</f>
        <v>0</v>
      </c>
      <c r="AQ28" s="38">
        <f>'TX-EGM-GL'!BA28+'TX-HPL-GL '!BA28</f>
        <v>0</v>
      </c>
      <c r="AR28" s="60">
        <f>'TX-EGM-GL'!BB28+'TX-HPL-GL '!BB28</f>
        <v>0</v>
      </c>
      <c r="AS28" s="38">
        <f>'TX-EGM-GL'!BC28+'TX-HPL-GL '!BC28</f>
        <v>0</v>
      </c>
    </row>
    <row r="29" spans="1:45" x14ac:dyDescent="0.2">
      <c r="A29" s="9"/>
      <c r="B29" s="7" t="s">
        <v>41</v>
      </c>
      <c r="C29" s="18"/>
      <c r="D29" s="61">
        <f>SUM(D27:D28)</f>
        <v>-13990683</v>
      </c>
      <c r="E29" s="39">
        <f>SUM(E27:E28)</f>
        <v>-22984411.042999983</v>
      </c>
      <c r="F29" s="61">
        <f t="shared" ref="F29:AB29" si="10">SUM(F27:F28)</f>
        <v>0</v>
      </c>
      <c r="G29" s="39">
        <f t="shared" si="10"/>
        <v>0</v>
      </c>
      <c r="H29" s="61">
        <f t="shared" si="10"/>
        <v>-13948816</v>
      </c>
      <c r="I29" s="39">
        <f t="shared" si="10"/>
        <v>-22918342.82</v>
      </c>
      <c r="J29" s="61">
        <f t="shared" si="10"/>
        <v>-12827288</v>
      </c>
      <c r="K29" s="39">
        <f t="shared" si="10"/>
        <v>-20985216.444399998</v>
      </c>
      <c r="L29" s="61">
        <f t="shared" si="10"/>
        <v>-82437</v>
      </c>
      <c r="M29" s="39">
        <f t="shared" si="10"/>
        <v>-134296.927</v>
      </c>
      <c r="N29" s="61">
        <f t="shared" si="10"/>
        <v>12967816</v>
      </c>
      <c r="O29" s="39">
        <f t="shared" si="10"/>
        <v>21217673.3402</v>
      </c>
      <c r="P29" s="61">
        <f t="shared" si="10"/>
        <v>-97842</v>
      </c>
      <c r="Q29" s="39">
        <f t="shared" si="10"/>
        <v>-161440</v>
      </c>
      <c r="R29" s="61">
        <f t="shared" si="10"/>
        <v>-48917</v>
      </c>
      <c r="S29" s="39">
        <f t="shared" si="10"/>
        <v>-80712.149999999994</v>
      </c>
      <c r="T29" s="61">
        <f t="shared" si="10"/>
        <v>-2838</v>
      </c>
      <c r="U29" s="39">
        <f t="shared" ref="U29:AC29" si="11">SUM(U27:U28)</f>
        <v>-4402.8732</v>
      </c>
      <c r="V29" s="61">
        <f t="shared" si="10"/>
        <v>20116</v>
      </c>
      <c r="W29" s="39">
        <f t="shared" si="11"/>
        <v>33689.132800000007</v>
      </c>
      <c r="X29" s="61">
        <f t="shared" si="10"/>
        <v>29523</v>
      </c>
      <c r="Y29" s="39">
        <f t="shared" si="11"/>
        <v>48637.698599999996</v>
      </c>
      <c r="Z29" s="61">
        <f t="shared" si="10"/>
        <v>0</v>
      </c>
      <c r="AA29" s="39">
        <f t="shared" si="11"/>
        <v>0</v>
      </c>
      <c r="AB29" s="61">
        <f t="shared" si="10"/>
        <v>0</v>
      </c>
      <c r="AC29" s="39">
        <f t="shared" si="11"/>
        <v>0</v>
      </c>
      <c r="AD29" s="61">
        <f t="shared" ref="AD29:AI29" si="12">SUM(AD27:AD28)</f>
        <v>0</v>
      </c>
      <c r="AE29" s="39">
        <f t="shared" si="12"/>
        <v>0</v>
      </c>
      <c r="AF29" s="61">
        <f t="shared" si="12"/>
        <v>0</v>
      </c>
      <c r="AG29" s="39">
        <f t="shared" si="12"/>
        <v>0</v>
      </c>
      <c r="AH29" s="61">
        <f t="shared" si="12"/>
        <v>0</v>
      </c>
      <c r="AI29" s="39">
        <f t="shared" si="12"/>
        <v>0</v>
      </c>
      <c r="AJ29" s="61">
        <f t="shared" ref="AJ29:AO29" si="13">SUM(AJ27:AJ28)</f>
        <v>0</v>
      </c>
      <c r="AK29" s="39">
        <f t="shared" si="13"/>
        <v>0</v>
      </c>
      <c r="AL29" s="61">
        <f t="shared" si="13"/>
        <v>0</v>
      </c>
      <c r="AM29" s="39">
        <f t="shared" si="13"/>
        <v>0</v>
      </c>
      <c r="AN29" s="61">
        <f t="shared" si="13"/>
        <v>0</v>
      </c>
      <c r="AO29" s="39">
        <f t="shared" si="13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SUM(F32,H32,J32,L32,N32,P32,R32,T32,V32,X32,Z32,AB32,AD32,AF32,AH32,AJ32,AL32,AN32,AP32,AR32)</f>
        <v>-520207</v>
      </c>
      <c r="E32" s="38">
        <f t="shared" si="14"/>
        <v>-800078.92400000012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76102</v>
      </c>
      <c r="I32" s="38">
        <f>'TX-EGM-GL'!I32+'TX-HPL-GL '!I32</f>
        <v>117045</v>
      </c>
      <c r="J32" s="60">
        <f>'TX-EGM-GL'!J32+'TX-HPL-GL '!J32</f>
        <v>-108883</v>
      </c>
      <c r="K32" s="38">
        <f>'TX-EGM-GL'!K32+'TX-HPL-GL '!K32</f>
        <v>-170961.342</v>
      </c>
      <c r="L32" s="60">
        <f>'TX-EGM-GL'!L32+'TX-HPL-GL '!L32</f>
        <v>-13513</v>
      </c>
      <c r="M32" s="38">
        <f>'TX-EGM-GL'!M32+'TX-HPL-GL '!M32</f>
        <v>-17531.905999999995</v>
      </c>
      <c r="N32" s="60">
        <f>'TX-EGM-GL'!N32+'TX-HPL-GL '!N32</f>
        <v>-3422</v>
      </c>
      <c r="O32" s="38">
        <f>'TX-EGM-GL'!O32+'TX-HPL-GL '!O32</f>
        <v>-36982.35</v>
      </c>
      <c r="P32" s="60">
        <f>'TX-EGM-GL'!P32+'TX-HPL-GL '!P32</f>
        <v>5585</v>
      </c>
      <c r="Q32" s="38">
        <f>'TX-EGM-GL'!Q32+'TX-HPL-GL '!Q32</f>
        <v>12566.25</v>
      </c>
      <c r="R32" s="60">
        <f>'TX-EGM-GL'!R32+'TX-HPL-GL '!R32</f>
        <v>32059</v>
      </c>
      <c r="S32" s="38">
        <f>'TX-EGM-GL'!S32+'TX-HPL-GL '!S32</f>
        <v>124307.336</v>
      </c>
      <c r="T32" s="60">
        <f>'TX-EGM-GL'!T32+'TX-HPL-GL '!T32</f>
        <v>-55319</v>
      </c>
      <c r="U32" s="38">
        <f>'TX-EGM-GL'!U32+'TX-HPL-GL '!U32</f>
        <v>-186147.446</v>
      </c>
      <c r="V32" s="60">
        <f>'TX-EGM-GL'!V32+'TX-HPL-GL '!V32</f>
        <v>-13361</v>
      </c>
      <c r="W32" s="38">
        <f>'TX-EGM-GL'!W32+'TX-HPL-GL '!W32</f>
        <v>-5173.9080000000004</v>
      </c>
      <c r="X32" s="60">
        <f>'TX-EGM-GL'!X32+'TX-HPL-GL '!X32</f>
        <v>-487016</v>
      </c>
      <c r="Y32" s="38">
        <f>'TX-EGM-GL'!Y32+'TX-HPL-GL '!Y32</f>
        <v>-742316.76800000004</v>
      </c>
      <c r="Z32" s="60">
        <f>'TX-EGM-GL'!Z32+'TX-HPL-GL '!Z32</f>
        <v>0</v>
      </c>
      <c r="AA32" s="38">
        <f>'TX-EGM-GL'!AA32+'TX-HPL-GL '!AA32</f>
        <v>0</v>
      </c>
      <c r="AB32" s="60">
        <f>'TX-EGM-GL'!AB32+'TX-HPL-GL '!AB32</f>
        <v>0</v>
      </c>
      <c r="AC32" s="38">
        <f>'TX-EGM-GL'!AC32+'TX-HPL-GL '!AC32</f>
        <v>0</v>
      </c>
      <c r="AD32" s="60">
        <f>'TX-EGM-GL'!AD32+'TX-HPL-GL '!AD32</f>
        <v>49716</v>
      </c>
      <c r="AE32" s="38">
        <f>'TX-EGM-GL'!AE32+'TX-HPL-GL '!AE32</f>
        <v>108430.6</v>
      </c>
      <c r="AF32" s="60">
        <f>'TX-EGM-GL'!AL32+'TX-HPL-GL '!AL32</f>
        <v>0</v>
      </c>
      <c r="AG32" s="38">
        <f>'TX-EGM-GL'!AM32+'TX-HPL-GL '!AM32</f>
        <v>0</v>
      </c>
      <c r="AH32" s="60">
        <f>'TX-EGM-GL'!AP32+'TX-HPL-GL '!AP32</f>
        <v>-2155</v>
      </c>
      <c r="AI32" s="38">
        <f>'TX-EGM-GL'!AQ32+'TX-HPL-GL '!AQ32</f>
        <v>-3314.39</v>
      </c>
      <c r="AJ32" s="60">
        <f>'TX-EGM-GL'!AT32+'TX-HPL-GL '!AT32</f>
        <v>0</v>
      </c>
      <c r="AK32" s="38">
        <f>'TX-EGM-GL'!AU32+'TX-HPL-GL '!AU32</f>
        <v>0</v>
      </c>
      <c r="AL32" s="60">
        <f>'TX-EGM-GL'!AV32+'TX-HPL-GL '!AV32</f>
        <v>0</v>
      </c>
      <c r="AM32" s="38">
        <f>'TX-EGM-GL'!AW32+'TX-HPL-GL '!AW32</f>
        <v>0</v>
      </c>
      <c r="AN32" s="60">
        <f>'TX-EGM-GL'!AX32+'TX-HPL-GL '!AX32</f>
        <v>0</v>
      </c>
      <c r="AO32" s="38">
        <f>'TX-EGM-GL'!AY32+'TX-HPL-GL '!AY32</f>
        <v>0</v>
      </c>
      <c r="AP32" s="60">
        <f>'TX-EGM-GL'!AZ32+'TX-HPL-GL '!AZ32</f>
        <v>0</v>
      </c>
      <c r="AQ32" s="38">
        <f>'TX-EGM-GL'!BA32+'TX-HPL-GL '!BA32</f>
        <v>0</v>
      </c>
      <c r="AR32" s="60">
        <f>'TX-EGM-GL'!BB32+'TX-HPL-GL '!BB32</f>
        <v>0</v>
      </c>
      <c r="AS32" s="38">
        <f>'TX-EGM-GL'!BC32+'TX-HPL-GL '!BC32</f>
        <v>0</v>
      </c>
    </row>
    <row r="33" spans="1:45" x14ac:dyDescent="0.2">
      <c r="A33" s="9">
        <v>14</v>
      </c>
      <c r="B33" s="7"/>
      <c r="C33" s="18" t="s">
        <v>44</v>
      </c>
      <c r="D33" s="60">
        <f t="shared" si="14"/>
        <v>12</v>
      </c>
      <c r="E33" s="38">
        <f t="shared" si="14"/>
        <v>20.88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'TX-EGM-GL'!AL33+'TX-HPL-GL '!AL33</f>
        <v>0</v>
      </c>
      <c r="AG33" s="38">
        <f>'TX-EGM-GL'!AM33+'TX-HPL-GL '!AM33</f>
        <v>0</v>
      </c>
      <c r="AH33" s="60">
        <f>'TX-EGM-GL'!AP33+'TX-HPL-GL '!AP33</f>
        <v>12</v>
      </c>
      <c r="AI33" s="38">
        <f>'TX-EGM-GL'!AQ33+'TX-HPL-GL '!AQ33</f>
        <v>20.88</v>
      </c>
      <c r="AJ33" s="60">
        <f>'TX-EGM-GL'!AT33+'TX-HPL-GL '!AT33</f>
        <v>0</v>
      </c>
      <c r="AK33" s="38">
        <f>'TX-EGM-GL'!AU33+'TX-HPL-GL '!AU33</f>
        <v>0</v>
      </c>
      <c r="AL33" s="60">
        <f>'TX-EGM-GL'!AV33+'TX-HPL-GL '!AV33</f>
        <v>0</v>
      </c>
      <c r="AM33" s="38">
        <f>'TX-EGM-GL'!AW33+'TX-HPL-GL '!AW33</f>
        <v>0</v>
      </c>
      <c r="AN33" s="60">
        <f>'TX-EGM-GL'!AX33+'TX-HPL-GL '!AX33</f>
        <v>0</v>
      </c>
      <c r="AO33" s="38">
        <f>'TX-EGM-GL'!AY33+'TX-HPL-GL '!AY33</f>
        <v>0</v>
      </c>
      <c r="AP33" s="60">
        <f>'TX-EGM-GL'!AZ33+'TX-HPL-GL '!AZ33</f>
        <v>0</v>
      </c>
      <c r="AQ33" s="38">
        <f>'TX-EGM-GL'!BA33+'TX-HPL-GL '!BA33</f>
        <v>0</v>
      </c>
      <c r="AR33" s="60">
        <f>'TX-EGM-GL'!BB33+'TX-HPL-GL '!BB33</f>
        <v>0</v>
      </c>
      <c r="AS33" s="38">
        <f>'TX-EGM-GL'!BC33+'TX-HPL-GL '!BC33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'TX-EGM-GL'!AL34+'TX-HPL-GL '!AL34</f>
        <v>0</v>
      </c>
      <c r="AG34" s="38">
        <f>'TX-EGM-GL'!AM34+'TX-HPL-GL '!AM34</f>
        <v>0</v>
      </c>
      <c r="AH34" s="60">
        <f>'TX-EGM-GL'!AP34+'TX-HPL-GL '!AP34</f>
        <v>0</v>
      </c>
      <c r="AI34" s="38">
        <f>'TX-EGM-GL'!AQ34+'TX-HPL-GL '!AQ34</f>
        <v>0</v>
      </c>
      <c r="AJ34" s="60">
        <f>'TX-EGM-GL'!AT34+'TX-HPL-GL '!AT34</f>
        <v>0</v>
      </c>
      <c r="AK34" s="38">
        <f>'TX-EGM-GL'!AU34+'TX-HPL-GL '!AU34</f>
        <v>0</v>
      </c>
      <c r="AL34" s="60">
        <f>'TX-EGM-GL'!AV34+'TX-HPL-GL '!AV34</f>
        <v>0</v>
      </c>
      <c r="AM34" s="38">
        <f>'TX-EGM-GL'!AW34+'TX-HPL-GL '!AW34</f>
        <v>0</v>
      </c>
      <c r="AN34" s="60">
        <f>'TX-EGM-GL'!AX34+'TX-HPL-GL '!AX34</f>
        <v>0</v>
      </c>
      <c r="AO34" s="38">
        <f>'TX-EGM-GL'!AY34+'TX-HPL-GL '!AY34</f>
        <v>0</v>
      </c>
      <c r="AP34" s="60">
        <f>'TX-EGM-GL'!AZ34+'TX-HPL-GL '!AZ34</f>
        <v>0</v>
      </c>
      <c r="AQ34" s="38">
        <f>'TX-EGM-GL'!BA34+'TX-HPL-GL '!BA34</f>
        <v>0</v>
      </c>
      <c r="AR34" s="60">
        <f>'TX-EGM-GL'!BB34+'TX-HPL-GL '!BB34</f>
        <v>0</v>
      </c>
      <c r="AS34" s="38">
        <f>'TX-EGM-GL'!BC34+'TX-HPL-GL '!BC34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'TX-EGM-GL'!AL35+'TX-HPL-GL '!AL35</f>
        <v>0</v>
      </c>
      <c r="AG35" s="38">
        <f>'TX-EGM-GL'!AM35+'TX-HPL-GL '!AM35</f>
        <v>0</v>
      </c>
      <c r="AH35" s="60">
        <f>'TX-EGM-GL'!AP35+'TX-HPL-GL '!AP35</f>
        <v>0</v>
      </c>
      <c r="AI35" s="38">
        <f>'TX-EGM-GL'!AQ35+'TX-HPL-GL '!AQ35</f>
        <v>0</v>
      </c>
      <c r="AJ35" s="60">
        <f>'TX-EGM-GL'!AT35+'TX-HPL-GL '!AT35</f>
        <v>0</v>
      </c>
      <c r="AK35" s="38">
        <f>'TX-EGM-GL'!AU35+'TX-HPL-GL '!AU35</f>
        <v>0</v>
      </c>
      <c r="AL35" s="60">
        <f>'TX-EGM-GL'!AV35+'TX-HPL-GL '!AV35</f>
        <v>0</v>
      </c>
      <c r="AM35" s="38">
        <f>'TX-EGM-GL'!AW35+'TX-HPL-GL '!AW35</f>
        <v>0</v>
      </c>
      <c r="AN35" s="60">
        <f>'TX-EGM-GL'!AX35+'TX-HPL-GL '!AX35</f>
        <v>0</v>
      </c>
      <c r="AO35" s="38">
        <f>'TX-EGM-GL'!AY35+'TX-HPL-GL '!AY35</f>
        <v>0</v>
      </c>
      <c r="AP35" s="60">
        <f>'TX-EGM-GL'!AZ35+'TX-HPL-GL '!AZ35</f>
        <v>0</v>
      </c>
      <c r="AQ35" s="38">
        <f>'TX-EGM-GL'!BA35+'TX-HPL-GL '!BA35</f>
        <v>0</v>
      </c>
      <c r="AR35" s="60">
        <f>'TX-EGM-GL'!BB35+'TX-HPL-GL '!BB35</f>
        <v>0</v>
      </c>
      <c r="AS35" s="38">
        <f>'TX-EGM-GL'!BC35+'TX-HPL-GL '!BC35</f>
        <v>0</v>
      </c>
    </row>
    <row r="36" spans="1:45" x14ac:dyDescent="0.2">
      <c r="A36" s="9"/>
      <c r="B36" s="7" t="s">
        <v>47</v>
      </c>
      <c r="C36" s="6"/>
      <c r="D36" s="61">
        <f>SUM(D32:D35)</f>
        <v>-520195</v>
      </c>
      <c r="E36" s="39">
        <f>SUM(E32:E35)</f>
        <v>-800058.0340000001</v>
      </c>
      <c r="F36" s="61">
        <f t="shared" ref="F36:AB36" si="15">SUM(F32:F35)</f>
        <v>0</v>
      </c>
      <c r="G36" s="39">
        <f t="shared" si="15"/>
        <v>0</v>
      </c>
      <c r="H36" s="61">
        <f t="shared" si="15"/>
        <v>76102</v>
      </c>
      <c r="I36" s="39">
        <f t="shared" si="15"/>
        <v>117045.01</v>
      </c>
      <c r="J36" s="61">
        <f t="shared" si="15"/>
        <v>-108883</v>
      </c>
      <c r="K36" s="39">
        <f t="shared" si="15"/>
        <v>-170961.342</v>
      </c>
      <c r="L36" s="61">
        <f t="shared" si="15"/>
        <v>-13513</v>
      </c>
      <c r="M36" s="39">
        <f t="shared" si="15"/>
        <v>-17531.905999999995</v>
      </c>
      <c r="N36" s="61">
        <f t="shared" si="15"/>
        <v>-3422</v>
      </c>
      <c r="O36" s="39">
        <f t="shared" si="15"/>
        <v>-36982.35</v>
      </c>
      <c r="P36" s="61">
        <f t="shared" si="15"/>
        <v>5585</v>
      </c>
      <c r="Q36" s="39">
        <f t="shared" si="15"/>
        <v>12566.25</v>
      </c>
      <c r="R36" s="61">
        <f t="shared" si="15"/>
        <v>32059</v>
      </c>
      <c r="S36" s="39">
        <f t="shared" si="15"/>
        <v>124307.336</v>
      </c>
      <c r="T36" s="61">
        <f t="shared" si="15"/>
        <v>-55319</v>
      </c>
      <c r="U36" s="39">
        <f t="shared" ref="U36:AC36" si="16">SUM(U32:U35)</f>
        <v>-186147.446</v>
      </c>
      <c r="V36" s="61">
        <f t="shared" si="15"/>
        <v>-13361</v>
      </c>
      <c r="W36" s="39">
        <f t="shared" si="16"/>
        <v>-5173.9080000000004</v>
      </c>
      <c r="X36" s="61">
        <f t="shared" si="15"/>
        <v>-487016</v>
      </c>
      <c r="Y36" s="39">
        <f t="shared" si="16"/>
        <v>-742316.76800000004</v>
      </c>
      <c r="Z36" s="61">
        <f t="shared" si="15"/>
        <v>0</v>
      </c>
      <c r="AA36" s="39">
        <f t="shared" si="16"/>
        <v>0</v>
      </c>
      <c r="AB36" s="61">
        <f t="shared" si="15"/>
        <v>0</v>
      </c>
      <c r="AC36" s="39">
        <f t="shared" si="16"/>
        <v>0</v>
      </c>
      <c r="AD36" s="61">
        <f t="shared" ref="AD36:AI36" si="17">SUM(AD32:AD35)</f>
        <v>49716</v>
      </c>
      <c r="AE36" s="39">
        <f t="shared" si="17"/>
        <v>108430.6</v>
      </c>
      <c r="AF36" s="61">
        <f t="shared" si="17"/>
        <v>0</v>
      </c>
      <c r="AG36" s="39">
        <f t="shared" si="17"/>
        <v>0</v>
      </c>
      <c r="AH36" s="61">
        <f t="shared" si="17"/>
        <v>-2143</v>
      </c>
      <c r="AI36" s="39">
        <f t="shared" si="17"/>
        <v>-3293.5099999999998</v>
      </c>
      <c r="AJ36" s="61">
        <f t="shared" ref="AJ36:AO36" si="18">SUM(AJ32:AJ35)</f>
        <v>0</v>
      </c>
      <c r="AK36" s="39">
        <f t="shared" si="18"/>
        <v>0</v>
      </c>
      <c r="AL36" s="61">
        <f t="shared" si="18"/>
        <v>0</v>
      </c>
      <c r="AM36" s="39">
        <f t="shared" si="18"/>
        <v>0</v>
      </c>
      <c r="AN36" s="61">
        <f t="shared" si="18"/>
        <v>0</v>
      </c>
      <c r="AO36" s="39">
        <f t="shared" si="18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SUM(F39,H39,J39,L39,N39,P39,R39,T39,V39,X39,Z39,AB39,AD39,AF39,AH39,AJ39,AL39,AN39,AP39,AR39)</f>
        <v>0</v>
      </c>
      <c r="E39" s="38">
        <f t="shared" si="19"/>
        <v>0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0</v>
      </c>
      <c r="I39" s="38">
        <f>'TX-EGM-GL'!I39+'TX-HPL-GL '!I39</f>
        <v>0</v>
      </c>
      <c r="J39" s="60">
        <f>'TX-EGM-GL'!J39+'TX-HPL-GL '!J39</f>
        <v>0</v>
      </c>
      <c r="K39" s="38">
        <f>'TX-EGM-GL'!K39+'TX-HPL-GL '!K39</f>
        <v>0</v>
      </c>
      <c r="L39" s="60">
        <f>'TX-EGM-GL'!L39+'TX-HPL-GL '!L39</f>
        <v>0</v>
      </c>
      <c r="M39" s="38">
        <f>'TX-EGM-GL'!M39+'TX-HPL-GL '!M39</f>
        <v>0</v>
      </c>
      <c r="N39" s="60">
        <f>'TX-EGM-GL'!N39+'TX-HPL-GL '!N39</f>
        <v>0</v>
      </c>
      <c r="O39" s="38">
        <f>'TX-EGM-GL'!O39+'TX-HPL-GL '!O39</f>
        <v>0</v>
      </c>
      <c r="P39" s="60">
        <f>'TX-EGM-GL'!P39+'TX-HPL-GL '!P39</f>
        <v>0</v>
      </c>
      <c r="Q39" s="38">
        <f>'TX-EGM-GL'!Q39+'TX-HPL-GL '!Q39</f>
        <v>0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0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0</v>
      </c>
      <c r="AE39" s="38">
        <f>'TX-EGM-GL'!AE39+'TX-HPL-GL '!AE39</f>
        <v>0</v>
      </c>
      <c r="AF39" s="60">
        <f>'TX-EGM-GL'!AL39+'TX-HPL-GL '!AL39</f>
        <v>0</v>
      </c>
      <c r="AG39" s="38">
        <f>'TX-EGM-GL'!AM39+'TX-HPL-GL '!AM39</f>
        <v>0</v>
      </c>
      <c r="AH39" s="60">
        <f>'TX-EGM-GL'!AP39+'TX-HPL-GL '!AP39</f>
        <v>0</v>
      </c>
      <c r="AI39" s="38">
        <f>'TX-EGM-GL'!AQ39+'TX-HPL-GL '!AQ39</f>
        <v>0</v>
      </c>
      <c r="AJ39" s="60">
        <f>'TX-EGM-GL'!AT39+'TX-HPL-GL '!AT39</f>
        <v>0</v>
      </c>
      <c r="AK39" s="38">
        <f>'TX-EGM-GL'!AU39+'TX-HPL-GL '!AU39</f>
        <v>0</v>
      </c>
      <c r="AL39" s="60">
        <f>'TX-EGM-GL'!AV39+'TX-HPL-GL '!AV39</f>
        <v>0</v>
      </c>
      <c r="AM39" s="38">
        <f>'TX-EGM-GL'!AW39+'TX-HPL-GL '!AW39</f>
        <v>0</v>
      </c>
      <c r="AN39" s="60">
        <f>'TX-EGM-GL'!AX39+'TX-HPL-GL '!AX39</f>
        <v>0</v>
      </c>
      <c r="AO39" s="38">
        <f>'TX-EGM-GL'!AY39+'TX-HPL-GL '!AY39</f>
        <v>0</v>
      </c>
      <c r="AP39" s="60">
        <f>'TX-EGM-GL'!AZ39+'TX-HPL-GL '!AZ39</f>
        <v>0</v>
      </c>
      <c r="AQ39" s="38">
        <f>'TX-EGM-GL'!BA39+'TX-HPL-GL '!BA39</f>
        <v>0</v>
      </c>
      <c r="AR39" s="60">
        <f>'TX-EGM-GL'!BB39+'TX-HPL-GL '!BB39</f>
        <v>0</v>
      </c>
      <c r="AS39" s="38">
        <f>'TX-EGM-GL'!BC39+'TX-HPL-GL '!BC39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9"/>
        <v>-5361288</v>
      </c>
      <c r="E40" s="38">
        <f t="shared" si="19"/>
        <v>-9627903.6499999985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-4204391</v>
      </c>
      <c r="I40" s="38">
        <f>'TX-EGM-GL'!I40+'TX-HPL-GL '!I40</f>
        <v>-7739576.7199999997</v>
      </c>
      <c r="J40" s="60">
        <f>'TX-EGM-GL'!J40+'TX-HPL-GL '!J40</f>
        <v>-1157935</v>
      </c>
      <c r="K40" s="38">
        <f>'TX-EGM-GL'!K40+'TX-HPL-GL '!K40</f>
        <v>-2121637.98</v>
      </c>
      <c r="L40" s="60">
        <f>'TX-EGM-GL'!L40+'TX-HPL-GL '!L40</f>
        <v>-15400</v>
      </c>
      <c r="M40" s="38">
        <f>'TX-EGM-GL'!M40+'TX-HPL-GL '!M40</f>
        <v>49295.4</v>
      </c>
      <c r="N40" s="60">
        <f>'TX-EGM-GL'!N40+'TX-HPL-GL '!N40</f>
        <v>-56482</v>
      </c>
      <c r="O40" s="38">
        <f>'TX-EGM-GL'!O40+'TX-HPL-GL '!O40</f>
        <v>-103489.71</v>
      </c>
      <c r="P40" s="60">
        <f>'TX-EGM-GL'!P40+'TX-HPL-GL '!P40</f>
        <v>62233</v>
      </c>
      <c r="Q40" s="38">
        <f>'TX-EGM-GL'!Q40+'TX-HPL-GL '!Q40</f>
        <v>58231.67</v>
      </c>
      <c r="R40" s="60">
        <f>'TX-EGM-GL'!R40+'TX-HPL-GL '!R40</f>
        <v>-31676</v>
      </c>
      <c r="S40" s="38">
        <f>'TX-EGM-GL'!S40+'TX-HPL-GL '!S40</f>
        <v>-178367.79</v>
      </c>
      <c r="T40" s="60">
        <f>'TX-EGM-GL'!T40+'TX-HPL-GL '!T40</f>
        <v>-15392</v>
      </c>
      <c r="U40" s="38">
        <f>'TX-EGM-GL'!U40+'TX-HPL-GL '!U40</f>
        <v>-28970.95</v>
      </c>
      <c r="V40" s="60">
        <f>'TX-EGM-GL'!V40+'TX-HPL-GL '!V40</f>
        <v>20850</v>
      </c>
      <c r="W40" s="38">
        <f>'TX-EGM-GL'!W40+'TX-HPL-GL '!W40</f>
        <v>39113.269999999997</v>
      </c>
      <c r="X40" s="60">
        <f>'TX-EGM-GL'!X40+'TX-HPL-GL '!X40</f>
        <v>-16581</v>
      </c>
      <c r="Y40" s="38">
        <f>'TX-EGM-GL'!Y40+'TX-HPL-GL '!Y40</f>
        <v>-31093.53</v>
      </c>
      <c r="Z40" s="60">
        <f>'TX-EGM-GL'!Z40+'TX-HPL-GL '!Z40</f>
        <v>53486</v>
      </c>
      <c r="AA40" s="38">
        <f>'TX-EGM-GL'!AA40+'TX-HPL-GL '!AA40</f>
        <v>428996.82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'TX-EGM-GL'!AL40+'TX-HPL-GL '!AL40</f>
        <v>0</v>
      </c>
      <c r="AG40" s="38">
        <f>'TX-EGM-GL'!AM40+'TX-HPL-GL '!AM40</f>
        <v>0</v>
      </c>
      <c r="AH40" s="60">
        <f>'TX-EGM-GL'!AP40+'TX-HPL-GL '!AP40</f>
        <v>0</v>
      </c>
      <c r="AI40" s="38">
        <f>'TX-EGM-GL'!AQ40+'TX-HPL-GL '!AQ40</f>
        <v>-404.13</v>
      </c>
      <c r="AJ40" s="60">
        <f>'TX-EGM-GL'!AT40+'TX-HPL-GL '!AT40</f>
        <v>0</v>
      </c>
      <c r="AK40" s="38">
        <f>'TX-EGM-GL'!AU40+'TX-HPL-GL '!AU40</f>
        <v>0</v>
      </c>
      <c r="AL40" s="60">
        <f>'TX-EGM-GL'!AV40+'TX-HPL-GL '!AV40</f>
        <v>0</v>
      </c>
      <c r="AM40" s="38">
        <f>'TX-EGM-GL'!AW40+'TX-HPL-GL '!AW40</f>
        <v>0</v>
      </c>
      <c r="AN40" s="60">
        <f>'TX-EGM-GL'!AX40+'TX-HPL-GL '!AX40</f>
        <v>0</v>
      </c>
      <c r="AO40" s="38">
        <f>'TX-EGM-GL'!AY40+'TX-HPL-GL '!AY40</f>
        <v>0</v>
      </c>
      <c r="AP40" s="60">
        <f>'TX-EGM-GL'!AZ40+'TX-HPL-GL '!AZ40</f>
        <v>0</v>
      </c>
      <c r="AQ40" s="38">
        <f>'TX-EGM-GL'!BA40+'TX-HPL-GL '!BA40</f>
        <v>0</v>
      </c>
      <c r="AR40" s="60">
        <f>'TX-EGM-GL'!BB40+'TX-HPL-GL '!BB40</f>
        <v>0</v>
      </c>
      <c r="AS40" s="38">
        <f>'TX-EGM-GL'!BC40+'TX-HPL-GL '!BC40</f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558463</v>
      </c>
      <c r="F41" s="81">
        <f>('TIE-OUT'!P41+'TIE-OUT'!R41)+(RECLASS!P41+RECLASS!R41)</f>
        <v>0</v>
      </c>
      <c r="G41" s="82">
        <f>('TIE-OUT'!Q41+'TIE-OUT'!S41)+(RECLASS!Q41+RECLASS!S41)</f>
        <v>-443620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1002083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'TX-EGM-GL'!AL41+'TX-HPL-GL '!AL41</f>
        <v>0</v>
      </c>
      <c r="AG41" s="38">
        <f>'TX-EGM-GL'!AM41+'TX-HPL-GL '!AM41</f>
        <v>0</v>
      </c>
      <c r="AH41" s="60">
        <f>'TX-EGM-GL'!AP41+'TX-HPL-GL '!AP41</f>
        <v>0</v>
      </c>
      <c r="AI41" s="38">
        <f>'TX-EGM-GL'!AQ41+'TX-HPL-GL '!AQ41</f>
        <v>0</v>
      </c>
      <c r="AJ41" s="60">
        <f>'TX-EGM-GL'!AT41+'TX-HPL-GL '!AT41</f>
        <v>0</v>
      </c>
      <c r="AK41" s="38">
        <f>'TX-EGM-GL'!AU41+'TX-HPL-GL '!AU41</f>
        <v>0</v>
      </c>
      <c r="AL41" s="60">
        <f>'TX-EGM-GL'!AV41+'TX-HPL-GL '!AV41</f>
        <v>0</v>
      </c>
      <c r="AM41" s="38">
        <f>'TX-EGM-GL'!AW41+'TX-HPL-GL '!AW41</f>
        <v>0</v>
      </c>
      <c r="AN41" s="60">
        <f>'TX-EGM-GL'!AX41+'TX-HPL-GL '!AX41</f>
        <v>0</v>
      </c>
      <c r="AO41" s="38">
        <f>'TX-EGM-GL'!AY41+'TX-HPL-GL '!AY41</f>
        <v>0</v>
      </c>
      <c r="AP41" s="60">
        <f>'TX-EGM-GL'!AZ41+'TX-HPL-GL '!AZ41</f>
        <v>0</v>
      </c>
      <c r="AQ41" s="38">
        <f>'TX-EGM-GL'!BA41+'TX-HPL-GL '!BA41</f>
        <v>0</v>
      </c>
      <c r="AR41" s="60">
        <f>'TX-EGM-GL'!BB41+'TX-HPL-GL '!BB41</f>
        <v>0</v>
      </c>
      <c r="AS41" s="38">
        <f>'TX-EGM-GL'!BC41+'TX-HPL-GL '!BC41</f>
        <v>0</v>
      </c>
    </row>
    <row r="42" spans="1:45" x14ac:dyDescent="0.2">
      <c r="A42" s="9"/>
      <c r="B42" s="7"/>
      <c r="C42" s="53" t="s">
        <v>52</v>
      </c>
      <c r="D42" s="61">
        <f>SUM(D40:D41)</f>
        <v>-5361288</v>
      </c>
      <c r="E42" s="39">
        <f>SUM(E40:E41)</f>
        <v>-9069440.6499999985</v>
      </c>
      <c r="F42" s="61">
        <f t="shared" ref="F42:AB42" si="20">SUM(F40:F41)</f>
        <v>0</v>
      </c>
      <c r="G42" s="39">
        <f t="shared" si="20"/>
        <v>-443620</v>
      </c>
      <c r="H42" s="61">
        <f t="shared" si="20"/>
        <v>-4204391</v>
      </c>
      <c r="I42" s="39">
        <f t="shared" si="20"/>
        <v>-7739576.7199999997</v>
      </c>
      <c r="J42" s="61">
        <f t="shared" si="20"/>
        <v>-1157935</v>
      </c>
      <c r="K42" s="39">
        <f t="shared" si="20"/>
        <v>-2121637.98</v>
      </c>
      <c r="L42" s="61">
        <f t="shared" si="20"/>
        <v>-15400</v>
      </c>
      <c r="M42" s="39">
        <f t="shared" si="20"/>
        <v>49295.4</v>
      </c>
      <c r="N42" s="61">
        <f t="shared" si="20"/>
        <v>-56482</v>
      </c>
      <c r="O42" s="39">
        <f t="shared" si="20"/>
        <v>-103489.71</v>
      </c>
      <c r="P42" s="61">
        <f t="shared" si="20"/>
        <v>62233</v>
      </c>
      <c r="Q42" s="39">
        <f t="shared" si="20"/>
        <v>58231.67</v>
      </c>
      <c r="R42" s="61">
        <f t="shared" si="20"/>
        <v>-31676</v>
      </c>
      <c r="S42" s="39">
        <f t="shared" si="20"/>
        <v>-178367.79</v>
      </c>
      <c r="T42" s="61">
        <f t="shared" si="20"/>
        <v>-15392</v>
      </c>
      <c r="U42" s="39">
        <f t="shared" ref="U42:AC42" si="21">SUM(U40:U41)</f>
        <v>-28970.95</v>
      </c>
      <c r="V42" s="61">
        <f t="shared" si="20"/>
        <v>20850</v>
      </c>
      <c r="W42" s="39">
        <f t="shared" si="21"/>
        <v>1041196.27</v>
      </c>
      <c r="X42" s="61">
        <f t="shared" si="20"/>
        <v>-16581</v>
      </c>
      <c r="Y42" s="39">
        <f t="shared" si="21"/>
        <v>-31093.53</v>
      </c>
      <c r="Z42" s="61">
        <f t="shared" si="20"/>
        <v>53486</v>
      </c>
      <c r="AA42" s="39">
        <f t="shared" si="21"/>
        <v>428996.82</v>
      </c>
      <c r="AB42" s="61">
        <f t="shared" si="20"/>
        <v>0</v>
      </c>
      <c r="AC42" s="39">
        <f t="shared" si="21"/>
        <v>0</v>
      </c>
      <c r="AD42" s="61">
        <f t="shared" ref="AD42:AI42" si="22">SUM(AD40:AD41)</f>
        <v>0</v>
      </c>
      <c r="AE42" s="39">
        <f t="shared" si="22"/>
        <v>0</v>
      </c>
      <c r="AF42" s="61">
        <f t="shared" si="22"/>
        <v>0</v>
      </c>
      <c r="AG42" s="39">
        <f t="shared" si="22"/>
        <v>0</v>
      </c>
      <c r="AH42" s="61">
        <f t="shared" si="22"/>
        <v>0</v>
      </c>
      <c r="AI42" s="39">
        <f t="shared" si="22"/>
        <v>-404.13</v>
      </c>
      <c r="AJ42" s="61">
        <f t="shared" ref="AJ42:AO42" si="23">SUM(AJ40:AJ41)</f>
        <v>0</v>
      </c>
      <c r="AK42" s="39">
        <f t="shared" si="23"/>
        <v>0</v>
      </c>
      <c r="AL42" s="61">
        <f t="shared" si="23"/>
        <v>0</v>
      </c>
      <c r="AM42" s="39">
        <f t="shared" si="23"/>
        <v>0</v>
      </c>
      <c r="AN42" s="61">
        <f t="shared" si="23"/>
        <v>0</v>
      </c>
      <c r="AO42" s="39">
        <f t="shared" si="23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>D42+D39</f>
        <v>-5361288</v>
      </c>
      <c r="E43" s="39">
        <f>E42+E39</f>
        <v>-9069440.6499999985</v>
      </c>
      <c r="F43" s="61">
        <f t="shared" ref="F43:AB43" si="24">F42+F39</f>
        <v>0</v>
      </c>
      <c r="G43" s="39">
        <f t="shared" si="24"/>
        <v>-443620</v>
      </c>
      <c r="H43" s="61">
        <f t="shared" si="24"/>
        <v>-4204391</v>
      </c>
      <c r="I43" s="39">
        <f t="shared" si="24"/>
        <v>-7739576.7199999997</v>
      </c>
      <c r="J43" s="61">
        <f t="shared" si="24"/>
        <v>-1157935</v>
      </c>
      <c r="K43" s="39">
        <f t="shared" si="24"/>
        <v>-2121637.98</v>
      </c>
      <c r="L43" s="61">
        <f t="shared" si="24"/>
        <v>-15400</v>
      </c>
      <c r="M43" s="39">
        <f t="shared" si="24"/>
        <v>49295.4</v>
      </c>
      <c r="N43" s="61">
        <f t="shared" si="24"/>
        <v>-56482</v>
      </c>
      <c r="O43" s="39">
        <f t="shared" si="24"/>
        <v>-103489.71</v>
      </c>
      <c r="P43" s="61">
        <f t="shared" si="24"/>
        <v>62233</v>
      </c>
      <c r="Q43" s="39">
        <f t="shared" si="24"/>
        <v>58231.67</v>
      </c>
      <c r="R43" s="61">
        <f t="shared" si="24"/>
        <v>-31676</v>
      </c>
      <c r="S43" s="39">
        <f t="shared" si="24"/>
        <v>-178367.79</v>
      </c>
      <c r="T43" s="61">
        <f t="shared" si="24"/>
        <v>-15392</v>
      </c>
      <c r="U43" s="39">
        <f t="shared" ref="U43:AC43" si="25">U42+U39</f>
        <v>-28970.95</v>
      </c>
      <c r="V43" s="61">
        <f t="shared" si="24"/>
        <v>20850</v>
      </c>
      <c r="W43" s="39">
        <f t="shared" si="25"/>
        <v>1041196.27</v>
      </c>
      <c r="X43" s="61">
        <f t="shared" si="24"/>
        <v>-16581</v>
      </c>
      <c r="Y43" s="39">
        <f t="shared" si="25"/>
        <v>-31093.53</v>
      </c>
      <c r="Z43" s="61">
        <f t="shared" si="24"/>
        <v>53486</v>
      </c>
      <c r="AA43" s="39">
        <f t="shared" si="25"/>
        <v>428996.82</v>
      </c>
      <c r="AB43" s="61">
        <f t="shared" si="24"/>
        <v>0</v>
      </c>
      <c r="AC43" s="39">
        <f t="shared" si="25"/>
        <v>0</v>
      </c>
      <c r="AD43" s="61">
        <f t="shared" ref="AD43:AI43" si="26">AD42+AD39</f>
        <v>0</v>
      </c>
      <c r="AE43" s="39">
        <f t="shared" si="26"/>
        <v>0</v>
      </c>
      <c r="AF43" s="61">
        <f t="shared" si="26"/>
        <v>0</v>
      </c>
      <c r="AG43" s="39">
        <f t="shared" si="26"/>
        <v>0</v>
      </c>
      <c r="AH43" s="61">
        <f t="shared" si="26"/>
        <v>0</v>
      </c>
      <c r="AI43" s="39">
        <f t="shared" si="26"/>
        <v>-404.13</v>
      </c>
      <c r="AJ43" s="61">
        <f t="shared" ref="AJ43:AO43" si="27">AJ42+AJ39</f>
        <v>0</v>
      </c>
      <c r="AK43" s="39">
        <f t="shared" si="27"/>
        <v>0</v>
      </c>
      <c r="AL43" s="61">
        <f t="shared" si="27"/>
        <v>0</v>
      </c>
      <c r="AM43" s="39">
        <f t="shared" si="27"/>
        <v>0</v>
      </c>
      <c r="AN43" s="61">
        <f t="shared" si="27"/>
        <v>0</v>
      </c>
      <c r="AO43" s="39">
        <f t="shared" si="27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8">SUM(F45,H45,J45,L45,N45,P45,R45,T45,V45,X45,Z45,AB45,AD45,AF45,AH45,AJ45,AL45,AN45,AP45,AR45)</f>
        <v>0</v>
      </c>
      <c r="E45" s="38">
        <f t="shared" si="28"/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'TX-EGM-GL'!AL45+'TX-HPL-GL '!AL45</f>
        <v>0</v>
      </c>
      <c r="AG45" s="38">
        <f>'TX-EGM-GL'!AM45+'TX-HPL-GL '!AM45</f>
        <v>0</v>
      </c>
      <c r="AH45" s="60">
        <f>'TX-EGM-GL'!AP45+'TX-HPL-GL '!AP45</f>
        <v>0</v>
      </c>
      <c r="AI45" s="38">
        <f>'TX-EGM-GL'!AQ45+'TX-HPL-GL '!AQ45</f>
        <v>0</v>
      </c>
      <c r="AJ45" s="60">
        <f>'TX-EGM-GL'!AT45+'TX-HPL-GL '!AT45</f>
        <v>0</v>
      </c>
      <c r="AK45" s="38">
        <f>'TX-EGM-GL'!AU45+'TX-HPL-GL '!AU45</f>
        <v>0</v>
      </c>
      <c r="AL45" s="60">
        <f>'TX-EGM-GL'!AV45+'TX-HPL-GL '!AV45</f>
        <v>0</v>
      </c>
      <c r="AM45" s="38">
        <f>'TX-EGM-GL'!AW45+'TX-HPL-GL '!AW45</f>
        <v>0</v>
      </c>
      <c r="AN45" s="60">
        <f>'TX-EGM-GL'!AX45+'TX-HPL-GL '!AX45</f>
        <v>0</v>
      </c>
      <c r="AO45" s="38">
        <f>'TX-EGM-GL'!AY45+'TX-HPL-GL '!AY45</f>
        <v>0</v>
      </c>
      <c r="AP45" s="60">
        <f>'TX-EGM-GL'!AZ45+'TX-HPL-GL '!AZ45</f>
        <v>0</v>
      </c>
      <c r="AQ45" s="38">
        <f>'TX-EGM-GL'!BA45+'TX-HPL-GL '!BA45</f>
        <v>0</v>
      </c>
      <c r="AR45" s="60">
        <f>'TX-EGM-GL'!BB45+'TX-HPL-GL '!BB45</f>
        <v>0</v>
      </c>
      <c r="AS45" s="38">
        <f>'TX-EGM-GL'!BC45+'TX-HPL-GL '!BC45</f>
        <v>0</v>
      </c>
    </row>
    <row r="46" spans="1:45" x14ac:dyDescent="0.2">
      <c r="A46" s="9"/>
      <c r="B46" s="11"/>
      <c r="C46" s="6"/>
      <c r="D46" s="60">
        <f t="shared" si="28"/>
        <v>0</v>
      </c>
      <c r="E46" s="38">
        <f t="shared" si="28"/>
        <v>0</v>
      </c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8"/>
        <v>0</v>
      </c>
      <c r="E47" s="38">
        <f t="shared" si="28"/>
        <v>-14647.13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-9000</v>
      </c>
      <c r="L47" s="60">
        <f>'TX-EGM-GL'!L47+'TX-HPL-GL '!L47</f>
        <v>0</v>
      </c>
      <c r="M47" s="38">
        <f>'TX-EGM-GL'!M47+'TX-HPL-GL '!M47</f>
        <v>9717.56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-24364.69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'TX-EGM-GL'!AL47+'TX-HPL-GL '!AL47</f>
        <v>0</v>
      </c>
      <c r="AG47" s="38">
        <f>'TX-EGM-GL'!AM47+'TX-HPL-GL '!AM47</f>
        <v>0</v>
      </c>
      <c r="AH47" s="60">
        <f>'TX-EGM-GL'!AP47+'TX-HPL-GL '!AP47</f>
        <v>0</v>
      </c>
      <c r="AI47" s="38">
        <f>'TX-EGM-GL'!AQ47+'TX-HPL-GL '!AQ47</f>
        <v>0</v>
      </c>
      <c r="AJ47" s="60">
        <f>'TX-EGM-GL'!AT47+'TX-HPL-GL '!AT47</f>
        <v>0</v>
      </c>
      <c r="AK47" s="38">
        <f>'TX-EGM-GL'!AU47+'TX-HPL-GL '!AU47</f>
        <v>0</v>
      </c>
      <c r="AL47" s="60">
        <f>'TX-EGM-GL'!AV47+'TX-HPL-GL '!AV47</f>
        <v>0</v>
      </c>
      <c r="AM47" s="38">
        <f>'TX-EGM-GL'!AW47+'TX-HPL-GL '!AW47</f>
        <v>0</v>
      </c>
      <c r="AN47" s="60">
        <f>'TX-EGM-GL'!AX47+'TX-HPL-GL '!AX47</f>
        <v>0</v>
      </c>
      <c r="AO47" s="38">
        <f>'TX-EGM-GL'!AY47+'TX-HPL-GL '!AY47</f>
        <v>0</v>
      </c>
      <c r="AP47" s="60">
        <f>'TX-EGM-GL'!AZ47+'TX-HPL-GL '!AZ47</f>
        <v>0</v>
      </c>
      <c r="AQ47" s="38">
        <f>'TX-EGM-GL'!BA47+'TX-HPL-GL '!BA47</f>
        <v>0</v>
      </c>
      <c r="AR47" s="60">
        <f>'TX-EGM-GL'!BB47+'TX-HPL-GL '!BB47</f>
        <v>0</v>
      </c>
      <c r="AS47" s="38">
        <f>'TX-EGM-GL'!BC47+'TX-HPL-GL '!BC47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291574</v>
      </c>
      <c r="E49" s="38">
        <f>SUM(G49,I49,K49,M49,O49,Q49,S49,U49,W49,Y49,AA49,AC49,AE49,AG49,AI49,AK49,AM49,AO49,AQ49,AS49)</f>
        <v>448221.28599999996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-17032</v>
      </c>
      <c r="I49" s="38">
        <f>'TX-EGM-GL'!I49+'TX-HPL-GL '!I49</f>
        <v>-26195.216</v>
      </c>
      <c r="J49" s="60">
        <f>'TX-EGM-GL'!J49+'TX-HPL-GL '!J49</f>
        <v>-338674</v>
      </c>
      <c r="K49" s="38">
        <f>'TX-EGM-GL'!K49+'TX-HPL-GL '!K49</f>
        <v>-520880.61199999996</v>
      </c>
      <c r="L49" s="60">
        <f>'TX-EGM-GL'!L49+'TX-HPL-GL '!L49</f>
        <v>45914</v>
      </c>
      <c r="M49" s="38">
        <f>'TX-EGM-GL'!M49+'TX-HPL-GL '!M49</f>
        <v>70615.732000000004</v>
      </c>
      <c r="N49" s="60">
        <f>'TX-EGM-GL'!N49+'TX-HPL-GL '!N49</f>
        <v>89199</v>
      </c>
      <c r="O49" s="38">
        <f>'TX-EGM-GL'!O49+'TX-HPL-GL '!O49</f>
        <v>137188.06200000001</v>
      </c>
      <c r="P49" s="60">
        <f>'TX-EGM-GL'!P49+'TX-HPL-GL '!P49</f>
        <v>72513</v>
      </c>
      <c r="Q49" s="38">
        <f>'TX-EGM-GL'!Q49+'TX-HPL-GL '!Q49</f>
        <v>111524.99400000001</v>
      </c>
      <c r="R49" s="60">
        <f>'TX-EGM-GL'!R49+'TX-HPL-GL '!R49</f>
        <v>866493</v>
      </c>
      <c r="S49" s="38">
        <f>'TX-EGM-GL'!S49+'TX-HPL-GL '!S49</f>
        <v>1332666.2339999999</v>
      </c>
      <c r="T49" s="60">
        <f>'TX-EGM-GL'!T49+'TX-HPL-GL '!T49</f>
        <v>-871155</v>
      </c>
      <c r="U49" s="38">
        <f>'TX-EGM-GL'!U49+'TX-HPL-GL '!U49</f>
        <v>-1339836.3899999999</v>
      </c>
      <c r="V49" s="60">
        <f>'TX-EGM-GL'!V49+'TX-HPL-GL '!V49</f>
        <v>-10774</v>
      </c>
      <c r="W49" s="38">
        <f>'TX-EGM-GL'!W49+'TX-HPL-GL '!W49</f>
        <v>-16570.412</v>
      </c>
      <c r="X49" s="60">
        <f>'TX-EGM-GL'!X49+'TX-HPL-GL '!X49</f>
        <v>540660</v>
      </c>
      <c r="Y49" s="38">
        <f>'TX-EGM-GL'!Y49+'TX-HPL-GL '!Y49</f>
        <v>831535.08</v>
      </c>
      <c r="Z49" s="60">
        <f>'TX-EGM-GL'!Z49+'TX-HPL-GL '!Z49</f>
        <v>-250628</v>
      </c>
      <c r="AA49" s="38">
        <f>'TX-EGM-GL'!AA49+'TX-HPL-GL '!AA49</f>
        <v>-385465.864</v>
      </c>
      <c r="AB49" s="60">
        <f>'TX-EGM-GL'!AB49+'TX-HPL-GL '!AB49</f>
        <v>236980</v>
      </c>
      <c r="AC49" s="38">
        <f>'TX-EGM-GL'!AC49+'TX-HPL-GL '!AC49</f>
        <v>364475.24</v>
      </c>
      <c r="AD49" s="60">
        <f>'TX-EGM-GL'!AD49+'TX-HPL-GL '!AD49</f>
        <v>-49716</v>
      </c>
      <c r="AE49" s="38">
        <f>'TX-EGM-GL'!AE49+'TX-HPL-GL '!AE49</f>
        <v>-76463.207999999999</v>
      </c>
      <c r="AF49" s="60">
        <f>'TX-EGM-GL'!AL49+'TX-HPL-GL '!AL49</f>
        <v>577</v>
      </c>
      <c r="AG49" s="38">
        <f>'TX-EGM-GL'!AM49+'TX-HPL-GL '!AM49</f>
        <v>887.42600000000004</v>
      </c>
      <c r="AH49" s="60">
        <f>'TX-EGM-GL'!AP49+'TX-HPL-GL '!AP49</f>
        <v>-22783</v>
      </c>
      <c r="AI49" s="38">
        <f>'TX-EGM-GL'!AQ49+'TX-HPL-GL '!AQ49</f>
        <v>-35259.78</v>
      </c>
      <c r="AJ49" s="60">
        <f>'TX-EGM-GL'!AT49+'TX-HPL-GL '!AT49</f>
        <v>0</v>
      </c>
      <c r="AK49" s="38">
        <f>'TX-EGM-GL'!AU49+'TX-HPL-GL '!AU49</f>
        <v>0</v>
      </c>
      <c r="AL49" s="60">
        <f>'TX-EGM-GL'!AV49+'TX-HPL-GL '!AV49</f>
        <v>0</v>
      </c>
      <c r="AM49" s="38">
        <f>'TX-EGM-GL'!AW49+'TX-HPL-GL '!AW49</f>
        <v>0</v>
      </c>
      <c r="AN49" s="60">
        <f>'TX-EGM-GL'!AX49+'TX-HPL-GL '!AX49</f>
        <v>0</v>
      </c>
      <c r="AO49" s="38">
        <f>'TX-EGM-GL'!AY49+'TX-HPL-GL '!AY49</f>
        <v>0</v>
      </c>
      <c r="AP49" s="60">
        <f>'TX-EGM-GL'!AZ49+'TX-HPL-GL '!AZ49</f>
        <v>0</v>
      </c>
      <c r="AQ49" s="38">
        <f>'TX-EGM-GL'!BA49+'TX-HPL-GL '!BA49</f>
        <v>0</v>
      </c>
      <c r="AR49" s="60">
        <f>'TX-EGM-GL'!BB49+'TX-HPL-GL '!BB49</f>
        <v>0</v>
      </c>
      <c r="AS49" s="38">
        <f>'TX-EGM-GL'!BC49+'TX-HPL-GL '!BC49</f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-2400</v>
      </c>
      <c r="E51" s="38">
        <f>SUM(G51,I51,K51,M51,O51,Q51,S51,U51,W51,Y51,AA51,AC51,AE51,AG51,AI51,AK51,AM51,AO51,AQ51,AS51)</f>
        <v>-3691.55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1904</v>
      </c>
      <c r="I51" s="38">
        <f>'TX-EGM-GL'!I51+'TX-HPL-GL '!I51</f>
        <v>2928</v>
      </c>
      <c r="J51" s="60">
        <f>'TX-EGM-GL'!J51+'TX-HPL-GL '!J51</f>
        <v>-4304</v>
      </c>
      <c r="K51" s="38">
        <f>'TX-EGM-GL'!K51+'TX-HPL-GL '!K51</f>
        <v>-6619.55</v>
      </c>
      <c r="L51" s="60">
        <f>'TX-EGM-GL'!L51+'TX-HPL-GL '!L51</f>
        <v>0</v>
      </c>
      <c r="M51" s="38">
        <f>'TX-EGM-GL'!M51+'TX-HPL-GL '!M51</f>
        <v>0</v>
      </c>
      <c r="N51" s="60">
        <f>'TX-EGM-GL'!N51+'TX-HPL-GL '!N51</f>
        <v>0</v>
      </c>
      <c r="O51" s="38">
        <f>'TX-EGM-GL'!O51+'TX-HPL-GL '!O51</f>
        <v>0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'TX-EGM-GL'!AL51+'TX-HPL-GL '!AL51</f>
        <v>0</v>
      </c>
      <c r="AG51" s="38">
        <f>'TX-EGM-GL'!AM51+'TX-HPL-GL '!AM51</f>
        <v>0</v>
      </c>
      <c r="AH51" s="60">
        <f>'TX-EGM-GL'!AP51+'TX-HPL-GL '!AP51</f>
        <v>0</v>
      </c>
      <c r="AI51" s="38">
        <f>'TX-EGM-GL'!AQ51+'TX-HPL-GL '!AQ51</f>
        <v>0</v>
      </c>
      <c r="AJ51" s="60">
        <f>'TX-EGM-GL'!AT51+'TX-HPL-GL '!AT51</f>
        <v>0</v>
      </c>
      <c r="AK51" s="38">
        <f>'TX-EGM-GL'!AU51+'TX-HPL-GL '!AU51</f>
        <v>0</v>
      </c>
      <c r="AL51" s="60">
        <f>'TX-EGM-GL'!AV51+'TX-HPL-GL '!AV51</f>
        <v>0</v>
      </c>
      <c r="AM51" s="38">
        <f>'TX-EGM-GL'!AW51+'TX-HPL-GL '!AW51</f>
        <v>0</v>
      </c>
      <c r="AN51" s="60">
        <f>'TX-EGM-GL'!AX51+'TX-HPL-GL '!AX51</f>
        <v>0</v>
      </c>
      <c r="AO51" s="38">
        <f>'TX-EGM-GL'!AY51+'TX-HPL-GL '!AY51</f>
        <v>0</v>
      </c>
      <c r="AP51" s="60">
        <f>'TX-EGM-GL'!AZ51+'TX-HPL-GL '!AZ51</f>
        <v>0</v>
      </c>
      <c r="AQ51" s="38">
        <f>'TX-EGM-GL'!BA51+'TX-HPL-GL '!BA51</f>
        <v>0</v>
      </c>
      <c r="AR51" s="60">
        <f>'TX-EGM-GL'!BB51+'TX-HPL-GL '!BB51</f>
        <v>0</v>
      </c>
      <c r="AS51" s="38">
        <f>'TX-EGM-GL'!BC51+'TX-HPL-GL '!BC51</f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19487739</v>
      </c>
      <c r="E54" s="38">
        <f>SUM(G54,I54,K54,M54,O54,Q54,S54,U54,W54,Y54,AA54,AC54,AE54,AG54,AI54,AK54,AM54,AO54,AQ54,AS54)</f>
        <v>166454.32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-32728540</v>
      </c>
      <c r="I54" s="38">
        <f>'TX-EGM-GL'!I54+'TX-HPL-GL '!I54</f>
        <v>-196814.14</v>
      </c>
      <c r="J54" s="60">
        <f>'TX-EGM-GL'!J54+'TX-HPL-GL '!J54</f>
        <v>52687885</v>
      </c>
      <c r="K54" s="38">
        <f>'TX-EGM-GL'!K54+'TX-HPL-GL '!K54</f>
        <v>468366.06</v>
      </c>
      <c r="L54" s="60">
        <f>'TX-EGM-GL'!L54+'TX-HPL-GL '!L54</f>
        <v>-463618</v>
      </c>
      <c r="M54" s="38">
        <f>'TX-EGM-GL'!M54+'TX-HPL-GL '!M54</f>
        <v>-109322.85</v>
      </c>
      <c r="N54" s="60">
        <f>'TX-EGM-GL'!N54+'TX-HPL-GL '!N54</f>
        <v>144367</v>
      </c>
      <c r="O54" s="38">
        <f>'TX-EGM-GL'!O54+'TX-HPL-GL '!O54</f>
        <v>6046.8</v>
      </c>
      <c r="P54" s="60">
        <f>'TX-EGM-GL'!P54+'TX-HPL-GL '!P54</f>
        <v>0</v>
      </c>
      <c r="Q54" s="38">
        <f>'TX-EGM-GL'!Q54+'TX-HPL-GL '!Q54</f>
        <v>984</v>
      </c>
      <c r="R54" s="60">
        <f>'TX-EGM-GL'!R54+'TX-HPL-GL '!R54</f>
        <v>0</v>
      </c>
      <c r="S54" s="38">
        <f>'TX-EGM-GL'!S54+'TX-HPL-GL '!S54</f>
        <v>0</v>
      </c>
      <c r="T54" s="60">
        <f>'TX-EGM-GL'!T54+'TX-HPL-GL '!T54</f>
        <v>28062</v>
      </c>
      <c r="U54" s="38">
        <f>'TX-EGM-GL'!U54+'TX-HPL-GL '!U54</f>
        <v>592.48</v>
      </c>
      <c r="V54" s="60">
        <f>'TX-EGM-GL'!V54+'TX-HPL-GL '!V54</f>
        <v>-252477</v>
      </c>
      <c r="W54" s="38">
        <f>'TX-EGM-GL'!W54+'TX-HPL-GL '!W54</f>
        <v>-46.05</v>
      </c>
      <c r="X54" s="60">
        <f>'TX-EGM-GL'!X54+'TX-HPL-GL '!X54</f>
        <v>-61537</v>
      </c>
      <c r="Y54" s="38">
        <f>'TX-EGM-GL'!Y54+'TX-HPL-GL '!Y54</f>
        <v>90.15</v>
      </c>
      <c r="Z54" s="60">
        <f>'TX-EGM-GL'!Z54+'TX-HPL-GL '!Z54</f>
        <v>-100678</v>
      </c>
      <c r="AA54" s="38">
        <f>'TX-EGM-GL'!AA54+'TX-HPL-GL '!AA54</f>
        <v>-35.03</v>
      </c>
      <c r="AB54" s="60">
        <f>'TX-EGM-GL'!AB54+'TX-HPL-GL '!AB54</f>
        <v>-6294</v>
      </c>
      <c r="AC54" s="38">
        <f>'TX-EGM-GL'!AC54+'TX-HPL-GL '!AC54</f>
        <v>-1258.8</v>
      </c>
      <c r="AD54" s="60">
        <f>'TX-EGM-GL'!AD54+'TX-HPL-GL '!AD54</f>
        <v>0</v>
      </c>
      <c r="AE54" s="38">
        <f>'TX-EGM-GL'!AE54+'TX-HPL-GL '!AE54</f>
        <v>0</v>
      </c>
      <c r="AF54" s="60">
        <f>'TX-EGM-GL'!AL54+'TX-HPL-GL '!AL54</f>
        <v>232813</v>
      </c>
      <c r="AG54" s="38">
        <f>'TX-EGM-GL'!AM54+'TX-HPL-GL '!AM54</f>
        <v>-1414.84</v>
      </c>
      <c r="AH54" s="60">
        <f>'TX-EGM-GL'!AP54+'TX-HPL-GL '!AP54</f>
        <v>7756</v>
      </c>
      <c r="AI54" s="38">
        <f>'TX-EGM-GL'!AQ54+'TX-HPL-GL '!AQ54</f>
        <v>-733.46</v>
      </c>
      <c r="AJ54" s="60">
        <f>'TX-EGM-GL'!AT54+'TX-HPL-GL '!AT54</f>
        <v>0</v>
      </c>
      <c r="AK54" s="38">
        <f>'TX-EGM-GL'!AU54+'TX-HPL-GL '!AU54</f>
        <v>0</v>
      </c>
      <c r="AL54" s="60">
        <f>'TX-EGM-GL'!AV54+'TX-HPL-GL '!AV54</f>
        <v>0</v>
      </c>
      <c r="AM54" s="38">
        <f>'TX-EGM-GL'!AW54+'TX-HPL-GL '!AW54</f>
        <v>0</v>
      </c>
      <c r="AN54" s="60">
        <f>'TX-EGM-GL'!AX54+'TX-HPL-GL '!AX54</f>
        <v>0</v>
      </c>
      <c r="AO54" s="38">
        <f>'TX-EGM-GL'!AY54+'TX-HPL-GL '!AY54</f>
        <v>0</v>
      </c>
      <c r="AP54" s="60">
        <f>'TX-EGM-GL'!AZ54+'TX-HPL-GL '!AZ54</f>
        <v>0</v>
      </c>
      <c r="AQ54" s="38">
        <f>'TX-EGM-GL'!BA54+'TX-HPL-GL '!BA54</f>
        <v>0</v>
      </c>
      <c r="AR54" s="60">
        <f>'TX-EGM-GL'!BB54+'TX-HPL-GL '!BB54</f>
        <v>0</v>
      </c>
      <c r="AS54" s="38">
        <f>'TX-EGM-GL'!BC54+'TX-HPL-GL '!BC54</f>
        <v>0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-3993812</v>
      </c>
      <c r="E55" s="38">
        <f>SUM(G55,I55,K55,M55,O55,Q55,S55,U55,W55,Y55,AA55,AC55,AE55,AG55,AI55,AK55,AM55,AO55,AQ55,AS55)</f>
        <v>-691937.68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-803059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221107</v>
      </c>
      <c r="R55" s="60">
        <f>'TX-EGM-GL'!R55+'TX-HPL-GL '!R55</f>
        <v>-3992658</v>
      </c>
      <c r="S55" s="38">
        <f>'TX-EGM-GL'!S55+'TX-HPL-GL '!S55</f>
        <v>-109928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0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'TX-EGM-GL'!AL55+'TX-HPL-GL '!AL55</f>
        <v>0</v>
      </c>
      <c r="AG55" s="38">
        <f>'TX-EGM-GL'!AM55+'TX-HPL-GL '!AM55</f>
        <v>0</v>
      </c>
      <c r="AH55" s="60">
        <f>'TX-EGM-GL'!AP55+'TX-HPL-GL '!AP55</f>
        <v>-1154</v>
      </c>
      <c r="AI55" s="38">
        <f>'TX-EGM-GL'!AQ55+'TX-HPL-GL '!AQ55</f>
        <v>-57.68</v>
      </c>
      <c r="AJ55" s="60">
        <f>'TX-EGM-GL'!AT55+'TX-HPL-GL '!AT55</f>
        <v>0</v>
      </c>
      <c r="AK55" s="38">
        <f>'TX-EGM-GL'!AU55+'TX-HPL-GL '!AU55</f>
        <v>0</v>
      </c>
      <c r="AL55" s="60">
        <f>'TX-EGM-GL'!AV55+'TX-HPL-GL '!AV55</f>
        <v>0</v>
      </c>
      <c r="AM55" s="38">
        <f>'TX-EGM-GL'!AW55+'TX-HPL-GL '!AW55</f>
        <v>0</v>
      </c>
      <c r="AN55" s="60">
        <f>'TX-EGM-GL'!AX55+'TX-HPL-GL '!AX55</f>
        <v>0</v>
      </c>
      <c r="AO55" s="38">
        <f>'TX-EGM-GL'!AY55+'TX-HPL-GL '!AY55</f>
        <v>0</v>
      </c>
      <c r="AP55" s="60">
        <f>'TX-EGM-GL'!AZ55+'TX-HPL-GL '!AZ55</f>
        <v>0</v>
      </c>
      <c r="AQ55" s="38">
        <f>'TX-EGM-GL'!BA55+'TX-HPL-GL '!BA55</f>
        <v>0</v>
      </c>
      <c r="AR55" s="60">
        <f>'TX-EGM-GL'!BB55+'TX-HPL-GL '!BB55</f>
        <v>0</v>
      </c>
      <c r="AS55" s="38">
        <f>'TX-EGM-GL'!BC55+'TX-HPL-GL '!BC55</f>
        <v>0</v>
      </c>
    </row>
    <row r="56" spans="1:45" x14ac:dyDescent="0.2">
      <c r="A56" s="9"/>
      <c r="B56" s="7" t="s">
        <v>61</v>
      </c>
      <c r="C56" s="6"/>
      <c r="D56" s="61">
        <f>SUM(D54:D55)</f>
        <v>15493927</v>
      </c>
      <c r="E56" s="39">
        <f>SUM(E54:E55)</f>
        <v>-525483.3600000001</v>
      </c>
      <c r="F56" s="61">
        <f t="shared" ref="F56:AB56" si="29">SUM(F54:F55)</f>
        <v>0</v>
      </c>
      <c r="G56" s="39">
        <f t="shared" si="29"/>
        <v>0</v>
      </c>
      <c r="H56" s="61">
        <f t="shared" si="29"/>
        <v>-32728540</v>
      </c>
      <c r="I56" s="39">
        <f t="shared" si="29"/>
        <v>-196814.14</v>
      </c>
      <c r="J56" s="61">
        <f t="shared" si="29"/>
        <v>52687885</v>
      </c>
      <c r="K56" s="39">
        <f t="shared" si="29"/>
        <v>468366.06</v>
      </c>
      <c r="L56" s="61">
        <f t="shared" si="29"/>
        <v>-463618</v>
      </c>
      <c r="M56" s="39">
        <f t="shared" si="29"/>
        <v>-912381.85</v>
      </c>
      <c r="N56" s="61">
        <f t="shared" si="29"/>
        <v>144367</v>
      </c>
      <c r="O56" s="39">
        <f t="shared" si="29"/>
        <v>6046.8</v>
      </c>
      <c r="P56" s="61">
        <f t="shared" si="29"/>
        <v>0</v>
      </c>
      <c r="Q56" s="39">
        <f t="shared" si="29"/>
        <v>222091</v>
      </c>
      <c r="R56" s="61">
        <f t="shared" si="29"/>
        <v>-3992658</v>
      </c>
      <c r="S56" s="39">
        <f t="shared" si="29"/>
        <v>-109928</v>
      </c>
      <c r="T56" s="61">
        <f t="shared" si="29"/>
        <v>28062</v>
      </c>
      <c r="U56" s="39">
        <f t="shared" ref="U56:AC56" si="30">SUM(U54:U55)</f>
        <v>592.48</v>
      </c>
      <c r="V56" s="61">
        <f t="shared" si="29"/>
        <v>-252477</v>
      </c>
      <c r="W56" s="39">
        <f t="shared" si="30"/>
        <v>-46.05</v>
      </c>
      <c r="X56" s="61">
        <f t="shared" si="29"/>
        <v>-61537</v>
      </c>
      <c r="Y56" s="39">
        <f t="shared" si="30"/>
        <v>90.15</v>
      </c>
      <c r="Z56" s="61">
        <f t="shared" si="29"/>
        <v>-100678</v>
      </c>
      <c r="AA56" s="39">
        <f t="shared" si="30"/>
        <v>-35.03</v>
      </c>
      <c r="AB56" s="61">
        <f t="shared" si="29"/>
        <v>-6294</v>
      </c>
      <c r="AC56" s="39">
        <f t="shared" si="30"/>
        <v>-1258.8</v>
      </c>
      <c r="AD56" s="61">
        <f t="shared" ref="AD56:AI56" si="31">SUM(AD54:AD55)</f>
        <v>0</v>
      </c>
      <c r="AE56" s="39">
        <f t="shared" si="31"/>
        <v>0</v>
      </c>
      <c r="AF56" s="61">
        <f t="shared" si="31"/>
        <v>232813</v>
      </c>
      <c r="AG56" s="39">
        <f t="shared" si="31"/>
        <v>-1414.84</v>
      </c>
      <c r="AH56" s="61">
        <f t="shared" si="31"/>
        <v>6602</v>
      </c>
      <c r="AI56" s="39">
        <f t="shared" si="31"/>
        <v>-791.14</v>
      </c>
      <c r="AJ56" s="61">
        <f t="shared" ref="AJ56:AO56" si="32">SUM(AJ54:AJ55)</f>
        <v>0</v>
      </c>
      <c r="AK56" s="39">
        <f t="shared" si="32"/>
        <v>0</v>
      </c>
      <c r="AL56" s="61">
        <f t="shared" si="32"/>
        <v>0</v>
      </c>
      <c r="AM56" s="39">
        <f t="shared" si="32"/>
        <v>0</v>
      </c>
      <c r="AN56" s="61">
        <f t="shared" si="32"/>
        <v>0</v>
      </c>
      <c r="AO56" s="39">
        <f t="shared" si="32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35931.5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350</v>
      </c>
      <c r="J59" s="60">
        <f>'TX-EGM-GL'!J59+'TX-HPL-GL '!J59</f>
        <v>0</v>
      </c>
      <c r="K59" s="38">
        <f>'TX-EGM-GL'!K59+'TX-HPL-GL '!K59</f>
        <v>35000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312.5</v>
      </c>
      <c r="P59" s="60">
        <f>'TX-EGM-GL'!P59+'TX-HPL-GL '!P59</f>
        <v>0</v>
      </c>
      <c r="Q59" s="38">
        <f>'TX-EGM-GL'!Q59+'TX-HPL-GL '!Q59</f>
        <v>0</v>
      </c>
      <c r="R59" s="60">
        <f>'TX-EGM-GL'!R59+'TX-HPL-GL '!R59</f>
        <v>0</v>
      </c>
      <c r="S59" s="38">
        <f>'TX-EGM-GL'!S59+'TX-HPL-GL '!S59</f>
        <v>200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269</v>
      </c>
      <c r="AB59" s="60">
        <f>'TX-EGM-GL'!AB59+'TX-HPL-GL '!AB59</f>
        <v>0</v>
      </c>
      <c r="AC59" s="38">
        <f>'TX-EGM-GL'!AC59+'TX-HPL-GL '!AC59</f>
        <v>-200</v>
      </c>
      <c r="AD59" s="60">
        <f>'TX-EGM-GL'!AD59+'TX-HPL-GL '!AD59</f>
        <v>0</v>
      </c>
      <c r="AE59" s="38">
        <f>'TX-EGM-GL'!AE59+'TX-HPL-GL '!AE59</f>
        <v>0</v>
      </c>
      <c r="AF59" s="60">
        <f>'TX-EGM-GL'!AL59+'TX-HPL-GL '!AL59</f>
        <v>0</v>
      </c>
      <c r="AG59" s="38">
        <f>'TX-EGM-GL'!AM59+'TX-HPL-GL '!AM59</f>
        <v>0</v>
      </c>
      <c r="AH59" s="60">
        <f>'TX-EGM-GL'!AP59+'TX-HPL-GL '!AP59</f>
        <v>0</v>
      </c>
      <c r="AI59" s="38">
        <f>'TX-EGM-GL'!AQ59+'TX-HPL-GL '!AQ59</f>
        <v>0</v>
      </c>
      <c r="AJ59" s="60">
        <f>'TX-EGM-GL'!AT59+'TX-HPL-GL '!AT59</f>
        <v>0</v>
      </c>
      <c r="AK59" s="38">
        <f>'TX-EGM-GL'!AU59+'TX-HPL-GL '!AU59</f>
        <v>0</v>
      </c>
      <c r="AL59" s="60">
        <f>'TX-EGM-GL'!AV59+'TX-HPL-GL '!AV59</f>
        <v>0</v>
      </c>
      <c r="AM59" s="38">
        <f>'TX-EGM-GL'!AW59+'TX-HPL-GL '!AW59</f>
        <v>0</v>
      </c>
      <c r="AN59" s="60">
        <f>'TX-EGM-GL'!AX59+'TX-HPL-GL '!AX59</f>
        <v>0</v>
      </c>
      <c r="AO59" s="38">
        <f>'TX-EGM-GL'!AY59+'TX-HPL-GL '!AY59</f>
        <v>0</v>
      </c>
      <c r="AP59" s="60">
        <f>'TX-EGM-GL'!AZ59+'TX-HPL-GL '!AZ59</f>
        <v>0</v>
      </c>
      <c r="AQ59" s="38">
        <f>'TX-EGM-GL'!BA59+'TX-HPL-GL '!BA59</f>
        <v>0</v>
      </c>
      <c r="AR59" s="60">
        <f>'TX-EGM-GL'!BB59+'TX-HPL-GL '!BB59</f>
        <v>0</v>
      </c>
      <c r="AS59" s="38">
        <f>'TX-EGM-GL'!BC59+'TX-HPL-GL '!BC59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'TX-EGM-GL'!AL60+'TX-HPL-GL '!AL60</f>
        <v>0</v>
      </c>
      <c r="AG60" s="38">
        <f>'TX-EGM-GL'!AM60+'TX-HPL-GL '!AM60</f>
        <v>0</v>
      </c>
      <c r="AH60" s="60">
        <f>'TX-EGM-GL'!AP60+'TX-HPL-GL '!AP60</f>
        <v>0</v>
      </c>
      <c r="AI60" s="38">
        <f>'TX-EGM-GL'!AQ60+'TX-HPL-GL '!AQ60</f>
        <v>0</v>
      </c>
      <c r="AJ60" s="60">
        <f>'TX-EGM-GL'!AT60+'TX-HPL-GL '!AT60</f>
        <v>0</v>
      </c>
      <c r="AK60" s="38">
        <f>'TX-EGM-GL'!AU60+'TX-HPL-GL '!AU60</f>
        <v>0</v>
      </c>
      <c r="AL60" s="60">
        <f>'TX-EGM-GL'!AV60+'TX-HPL-GL '!AV60</f>
        <v>0</v>
      </c>
      <c r="AM60" s="38">
        <f>'TX-EGM-GL'!AW60+'TX-HPL-GL '!AW60</f>
        <v>0</v>
      </c>
      <c r="AN60" s="60">
        <f>'TX-EGM-GL'!AX60+'TX-HPL-GL '!AX60</f>
        <v>0</v>
      </c>
      <c r="AO60" s="38">
        <f>'TX-EGM-GL'!AY60+'TX-HPL-GL '!AY60</f>
        <v>0</v>
      </c>
      <c r="AP60" s="60">
        <f>'TX-EGM-GL'!AZ60+'TX-HPL-GL '!AZ60</f>
        <v>0</v>
      </c>
      <c r="AQ60" s="38">
        <f>'TX-EGM-GL'!BA60+'TX-HPL-GL '!BA60</f>
        <v>0</v>
      </c>
      <c r="AR60" s="60">
        <f>'TX-EGM-GL'!BB60+'TX-HPL-GL '!BB60</f>
        <v>0</v>
      </c>
      <c r="AS60" s="38">
        <f>'TX-EGM-GL'!BC60+'TX-HPL-GL '!BC60</f>
        <v>0</v>
      </c>
    </row>
    <row r="61" spans="1:4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35931.5</v>
      </c>
      <c r="F61" s="61">
        <f t="shared" ref="F61:AB61" si="33">SUM(F59:F60)</f>
        <v>0</v>
      </c>
      <c r="G61" s="39">
        <f t="shared" si="33"/>
        <v>0</v>
      </c>
      <c r="H61" s="61">
        <f t="shared" si="33"/>
        <v>0</v>
      </c>
      <c r="I61" s="39">
        <f t="shared" si="33"/>
        <v>350</v>
      </c>
      <c r="J61" s="61">
        <f t="shared" si="33"/>
        <v>0</v>
      </c>
      <c r="K61" s="39">
        <f t="shared" si="33"/>
        <v>35000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312.5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200</v>
      </c>
      <c r="T61" s="61">
        <f t="shared" si="33"/>
        <v>0</v>
      </c>
      <c r="U61" s="39">
        <f t="shared" ref="U61:AC61" si="34">SUM(U59:U60)</f>
        <v>0</v>
      </c>
      <c r="V61" s="61">
        <f t="shared" si="33"/>
        <v>0</v>
      </c>
      <c r="W61" s="39">
        <f t="shared" si="34"/>
        <v>0</v>
      </c>
      <c r="X61" s="61">
        <f t="shared" si="33"/>
        <v>0</v>
      </c>
      <c r="Y61" s="39">
        <f t="shared" si="34"/>
        <v>0</v>
      </c>
      <c r="Z61" s="61">
        <f t="shared" si="33"/>
        <v>0</v>
      </c>
      <c r="AA61" s="39">
        <f t="shared" si="34"/>
        <v>269</v>
      </c>
      <c r="AB61" s="61">
        <f t="shared" si="33"/>
        <v>0</v>
      </c>
      <c r="AC61" s="39">
        <f t="shared" si="34"/>
        <v>-200</v>
      </c>
      <c r="AD61" s="61">
        <f t="shared" ref="AD61:AI61" si="35">SUM(AD59:AD60)</f>
        <v>0</v>
      </c>
      <c r="AE61" s="39">
        <f t="shared" si="35"/>
        <v>0</v>
      </c>
      <c r="AF61" s="61">
        <f t="shared" si="35"/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ref="AJ61:AO61" si="36">SUM(AJ59:AJ60)</f>
        <v>0</v>
      </c>
      <c r="AK61" s="39">
        <f t="shared" si="36"/>
        <v>0</v>
      </c>
      <c r="AL61" s="61">
        <f t="shared" si="36"/>
        <v>0</v>
      </c>
      <c r="AM61" s="39">
        <f t="shared" si="36"/>
        <v>0</v>
      </c>
      <c r="AN61" s="61">
        <f t="shared" si="36"/>
        <v>0</v>
      </c>
      <c r="AO61" s="39">
        <f t="shared" si="36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37">SUM(F63,H63,J63,L63,N63,P63,R63,T63,V63,X63,Z63,AB63,AD63,AF63,AH63,AJ63,AL63,AN63,AP63,AR63)</f>
        <v>0</v>
      </c>
      <c r="E63" s="38">
        <f t="shared" si="37"/>
        <v>0</v>
      </c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37"/>
        <v>-61016546</v>
      </c>
      <c r="E64" s="38">
        <f t="shared" si="37"/>
        <v>-1261116.8100000003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-30961780</v>
      </c>
      <c r="I64" s="38">
        <f>'TX-EGM-GL'!I64+'TX-HPL-GL '!I64</f>
        <v>-890866.33000000007</v>
      </c>
      <c r="J64" s="60">
        <f>'TX-EGM-GL'!J64+'TX-HPL-GL '!J64</f>
        <v>-29817752</v>
      </c>
      <c r="K64" s="38">
        <f>'TX-EGM-GL'!K64+'TX-HPL-GL '!K64</f>
        <v>-467888.83</v>
      </c>
      <c r="L64" s="60">
        <f>'TX-EGM-GL'!L64+'TX-HPL-GL '!L64</f>
        <v>184753</v>
      </c>
      <c r="M64" s="38">
        <f>'TX-EGM-GL'!M64+'TX-HPL-GL '!M64</f>
        <v>-66872.56</v>
      </c>
      <c r="N64" s="60">
        <f>'TX-EGM-GL'!N64+'TX-HPL-GL '!N64</f>
        <v>-524166</v>
      </c>
      <c r="O64" s="38">
        <f>'TX-EGM-GL'!O64+'TX-HPL-GL '!O64</f>
        <v>235.28000000000003</v>
      </c>
      <c r="P64" s="60">
        <f>'TX-EGM-GL'!P64+'TX-HPL-GL '!P64</f>
        <v>-75490</v>
      </c>
      <c r="Q64" s="38">
        <f>'TX-EGM-GL'!Q64+'TX-HPL-GL '!Q64</f>
        <v>420.84</v>
      </c>
      <c r="R64" s="60">
        <f>'TX-EGM-GL'!R64+'TX-HPL-GL '!R64</f>
        <v>12012</v>
      </c>
      <c r="S64" s="38">
        <f>'TX-EGM-GL'!S64+'TX-HPL-GL '!S64</f>
        <v>68582.91</v>
      </c>
      <c r="T64" s="60">
        <f>'TX-EGM-GL'!T64+'TX-HPL-GL '!T64</f>
        <v>170925</v>
      </c>
      <c r="U64" s="38">
        <f>'TX-EGM-GL'!U64+'TX-HPL-GL '!U64</f>
        <v>2.4700000000000002</v>
      </c>
      <c r="V64" s="60">
        <f>'TX-EGM-GL'!V64+'TX-HPL-GL '!V64</f>
        <v>-5048</v>
      </c>
      <c r="W64" s="38">
        <f>'TX-EGM-GL'!W64+'TX-HPL-GL '!W64</f>
        <v>-2015</v>
      </c>
      <c r="X64" s="60">
        <f>'TX-EGM-GL'!X64+'TX-HPL-GL '!X64</f>
        <v>0</v>
      </c>
      <c r="Y64" s="38">
        <f>'TX-EGM-GL'!Y64+'TX-HPL-GL '!Y64</f>
        <v>181.69</v>
      </c>
      <c r="Z64" s="60">
        <f>'TX-EGM-GL'!Z64+'TX-HPL-GL '!Z64</f>
        <v>0</v>
      </c>
      <c r="AA64" s="38">
        <f>'TX-EGM-GL'!AA64+'TX-HPL-GL '!AA64</f>
        <v>0</v>
      </c>
      <c r="AB64" s="60">
        <f>'TX-EGM-GL'!AB64+'TX-HPL-GL '!AB64</f>
        <v>0</v>
      </c>
      <c r="AC64" s="38">
        <f>'TX-EGM-GL'!AC64+'TX-HPL-GL '!AC64</f>
        <v>0</v>
      </c>
      <c r="AD64" s="60">
        <f>'TX-EGM-GL'!AD64+'TX-HPL-GL '!AD64</f>
        <v>0</v>
      </c>
      <c r="AE64" s="38">
        <f>'TX-EGM-GL'!AE64+'TX-HPL-GL '!AE64</f>
        <v>0</v>
      </c>
      <c r="AF64" s="60">
        <f>'TX-EGM-GL'!AL64+'TX-HPL-GL '!AL64</f>
        <v>0</v>
      </c>
      <c r="AG64" s="38">
        <f>'TX-EGM-GL'!AM64+'TX-HPL-GL '!AM64</f>
        <v>3802.72</v>
      </c>
      <c r="AH64" s="60">
        <f>'TX-EGM-GL'!AP64+'TX-HPL-GL '!AP64</f>
        <v>0</v>
      </c>
      <c r="AI64" s="38">
        <f>'TX-EGM-GL'!AQ64+'TX-HPL-GL '!AQ64</f>
        <v>0</v>
      </c>
      <c r="AJ64" s="60">
        <f>'TX-EGM-GL'!AT64+'TX-HPL-GL '!AT64</f>
        <v>0</v>
      </c>
      <c r="AK64" s="38">
        <f>'TX-EGM-GL'!AU64+'TX-HPL-GL '!AU64</f>
        <v>0</v>
      </c>
      <c r="AL64" s="60">
        <f>'TX-EGM-GL'!AV64+'TX-HPL-GL '!AV64</f>
        <v>0</v>
      </c>
      <c r="AM64" s="38">
        <f>'TX-EGM-GL'!AW64+'TX-HPL-GL '!AW64</f>
        <v>0</v>
      </c>
      <c r="AN64" s="60">
        <f>'TX-EGM-GL'!AX64+'TX-HPL-GL '!AX64</f>
        <v>0</v>
      </c>
      <c r="AO64" s="38">
        <f>'TX-EGM-GL'!AY64+'TX-HPL-GL '!AY64</f>
        <v>0</v>
      </c>
      <c r="AP64" s="60">
        <f>'TX-EGM-GL'!AZ64+'TX-HPL-GL '!AZ64</f>
        <v>0</v>
      </c>
      <c r="AQ64" s="38">
        <f>'TX-EGM-GL'!BA64+'TX-HPL-GL '!BA64</f>
        <v>0</v>
      </c>
      <c r="AR64" s="60">
        <f>'TX-EGM-GL'!BB64+'TX-HPL-GL '!BB64</f>
        <v>0</v>
      </c>
      <c r="AS64" s="38">
        <f>'TX-EGM-GL'!BC64+'TX-HPL-GL '!BC64</f>
        <v>0</v>
      </c>
    </row>
    <row r="65" spans="1:45" x14ac:dyDescent="0.2">
      <c r="A65" s="9">
        <v>29</v>
      </c>
      <c r="B65" s="11"/>
      <c r="C65" s="18" t="s">
        <v>67</v>
      </c>
      <c r="D65" s="60">
        <f t="shared" si="37"/>
        <v>0</v>
      </c>
      <c r="E65" s="38">
        <f t="shared" si="37"/>
        <v>1014729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1022341</v>
      </c>
      <c r="N65" s="60">
        <f>'TX-EGM-GL'!N65+'TX-HPL-GL '!N65</f>
        <v>0</v>
      </c>
      <c r="O65" s="38">
        <f>'TX-EGM-GL'!O65+'TX-HPL-GL '!O65</f>
        <v>-131</v>
      </c>
      <c r="P65" s="60">
        <f>'TX-EGM-GL'!P65+'TX-HPL-GL '!P65</f>
        <v>0</v>
      </c>
      <c r="Q65" s="38">
        <f>'TX-EGM-GL'!Q65+'TX-HPL-GL '!Q65</f>
        <v>0</v>
      </c>
      <c r="R65" s="60">
        <f>'TX-EGM-GL'!R65+'TX-HPL-GL '!R65</f>
        <v>0</v>
      </c>
      <c r="S65" s="38">
        <f>'TX-EGM-GL'!S65+'TX-HPL-GL '!S65</f>
        <v>-415</v>
      </c>
      <c r="T65" s="60">
        <f>'TX-EGM-GL'!T65+'TX-HPL-GL '!T65</f>
        <v>0</v>
      </c>
      <c r="U65" s="38">
        <f>'TX-EGM-GL'!U65+'TX-HPL-GL '!U65</f>
        <v>-4395</v>
      </c>
      <c r="V65" s="60">
        <f>'TX-EGM-GL'!V65+'TX-HPL-GL '!V65</f>
        <v>0</v>
      </c>
      <c r="W65" s="38">
        <f>'TX-EGM-GL'!W65+'TX-HPL-GL '!W65</f>
        <v>0</v>
      </c>
      <c r="X65" s="60">
        <f>'TX-EGM-GL'!X65+'TX-HPL-GL '!X65</f>
        <v>0</v>
      </c>
      <c r="Y65" s="38">
        <f>'TX-EGM-GL'!Y65+'TX-HPL-GL '!Y65</f>
        <v>-3473</v>
      </c>
      <c r="Z65" s="60">
        <f>'TX-EGM-GL'!Z65+'TX-HPL-GL '!Z65</f>
        <v>0</v>
      </c>
      <c r="AA65" s="38">
        <f>'TX-EGM-GL'!AA65+'TX-HPL-GL '!AA65</f>
        <v>802</v>
      </c>
      <c r="AB65" s="60">
        <f>'TX-EGM-GL'!AB65+'TX-HPL-GL '!AB65</f>
        <v>0</v>
      </c>
      <c r="AC65" s="38">
        <f>'TX-EGM-GL'!AC65+'TX-HPL-GL '!AC65</f>
        <v>0</v>
      </c>
      <c r="AD65" s="60">
        <f>'TX-EGM-GL'!AD65+'TX-HPL-GL '!AD65</f>
        <v>0</v>
      </c>
      <c r="AE65" s="38">
        <f>'TX-EGM-GL'!AE65+'TX-HPL-GL '!AE65</f>
        <v>0</v>
      </c>
      <c r="AF65" s="60">
        <f>'TX-EGM-GL'!AL65+'TX-HPL-GL '!AL65</f>
        <v>0</v>
      </c>
      <c r="AG65" s="38">
        <f>'TX-EGM-GL'!AM65+'TX-HPL-GL '!AM65</f>
        <v>0</v>
      </c>
      <c r="AH65" s="60">
        <f>'TX-EGM-GL'!AP65+'TX-HPL-GL '!AP65</f>
        <v>0</v>
      </c>
      <c r="AI65" s="38">
        <f>'TX-EGM-GL'!AQ65+'TX-HPL-GL '!AQ65</f>
        <v>0</v>
      </c>
      <c r="AJ65" s="60">
        <f>'TX-EGM-GL'!AT65+'TX-HPL-GL '!AT65</f>
        <v>0</v>
      </c>
      <c r="AK65" s="38">
        <f>'TX-EGM-GL'!AU65+'TX-HPL-GL '!AU65</f>
        <v>0</v>
      </c>
      <c r="AL65" s="60">
        <f>'TX-EGM-GL'!AV65+'TX-HPL-GL '!AV65</f>
        <v>0</v>
      </c>
      <c r="AM65" s="38">
        <f>'TX-EGM-GL'!AW65+'TX-HPL-GL '!AW65</f>
        <v>0</v>
      </c>
      <c r="AN65" s="60">
        <f>'TX-EGM-GL'!AX65+'TX-HPL-GL '!AX65</f>
        <v>0</v>
      </c>
      <c r="AO65" s="38">
        <f>'TX-EGM-GL'!AY65+'TX-HPL-GL '!AY65</f>
        <v>0</v>
      </c>
      <c r="AP65" s="60">
        <f>'TX-EGM-GL'!AZ65+'TX-HPL-GL '!AZ65</f>
        <v>0</v>
      </c>
      <c r="AQ65" s="38">
        <f>'TX-EGM-GL'!BA65+'TX-HPL-GL '!BA65</f>
        <v>0</v>
      </c>
      <c r="AR65" s="60">
        <f>'TX-EGM-GL'!BB65+'TX-HPL-GL '!BB65</f>
        <v>0</v>
      </c>
      <c r="AS65" s="38">
        <f>'TX-EGM-GL'!BC65+'TX-HPL-GL '!BC65</f>
        <v>0</v>
      </c>
    </row>
    <row r="66" spans="1:45" x14ac:dyDescent="0.2">
      <c r="A66" s="9"/>
      <c r="B66" s="7" t="s">
        <v>68</v>
      </c>
      <c r="C66" s="6"/>
      <c r="D66" s="61">
        <f>SUM(D64:D65)</f>
        <v>-61016546</v>
      </c>
      <c r="E66" s="39">
        <f>SUM(E64:E65)</f>
        <v>-246387.81000000029</v>
      </c>
      <c r="F66" s="61">
        <f t="shared" ref="F66:AB66" si="38">SUM(F64:F65)</f>
        <v>0</v>
      </c>
      <c r="G66" s="39">
        <f t="shared" si="38"/>
        <v>93300</v>
      </c>
      <c r="H66" s="61">
        <f t="shared" si="38"/>
        <v>-30961780</v>
      </c>
      <c r="I66" s="39">
        <f t="shared" si="38"/>
        <v>-890866.33000000007</v>
      </c>
      <c r="J66" s="61">
        <f t="shared" si="38"/>
        <v>-29817752</v>
      </c>
      <c r="K66" s="39">
        <f t="shared" si="38"/>
        <v>-467888.83</v>
      </c>
      <c r="L66" s="61">
        <f t="shared" si="38"/>
        <v>184753</v>
      </c>
      <c r="M66" s="39">
        <f t="shared" si="38"/>
        <v>955468.44</v>
      </c>
      <c r="N66" s="61">
        <f t="shared" si="38"/>
        <v>-524166</v>
      </c>
      <c r="O66" s="39">
        <f t="shared" si="38"/>
        <v>104.28000000000003</v>
      </c>
      <c r="P66" s="61">
        <f t="shared" si="38"/>
        <v>-75490</v>
      </c>
      <c r="Q66" s="39">
        <f t="shared" si="38"/>
        <v>420.84</v>
      </c>
      <c r="R66" s="61">
        <f t="shared" si="38"/>
        <v>12012</v>
      </c>
      <c r="S66" s="39">
        <f t="shared" si="38"/>
        <v>68167.91</v>
      </c>
      <c r="T66" s="61">
        <f t="shared" si="38"/>
        <v>170925</v>
      </c>
      <c r="U66" s="39">
        <f t="shared" ref="U66:AC66" si="39">SUM(U64:U65)</f>
        <v>-4392.53</v>
      </c>
      <c r="V66" s="61">
        <f t="shared" si="38"/>
        <v>-5048</v>
      </c>
      <c r="W66" s="39">
        <f t="shared" si="39"/>
        <v>-2015</v>
      </c>
      <c r="X66" s="61">
        <f t="shared" si="38"/>
        <v>0</v>
      </c>
      <c r="Y66" s="39">
        <f t="shared" si="39"/>
        <v>-3291.31</v>
      </c>
      <c r="Z66" s="61">
        <f t="shared" si="38"/>
        <v>0</v>
      </c>
      <c r="AA66" s="39">
        <f t="shared" si="39"/>
        <v>802</v>
      </c>
      <c r="AB66" s="61">
        <f t="shared" si="38"/>
        <v>0</v>
      </c>
      <c r="AC66" s="39">
        <f t="shared" si="39"/>
        <v>0</v>
      </c>
      <c r="AD66" s="61">
        <f t="shared" ref="AD66:AI66" si="40">SUM(AD64:AD65)</f>
        <v>0</v>
      </c>
      <c r="AE66" s="39">
        <f t="shared" si="40"/>
        <v>0</v>
      </c>
      <c r="AF66" s="61">
        <f t="shared" si="40"/>
        <v>0</v>
      </c>
      <c r="AG66" s="39">
        <f t="shared" si="40"/>
        <v>3802.72</v>
      </c>
      <c r="AH66" s="61">
        <f t="shared" si="40"/>
        <v>0</v>
      </c>
      <c r="AI66" s="39">
        <f t="shared" si="40"/>
        <v>0</v>
      </c>
      <c r="AJ66" s="61">
        <f t="shared" ref="AJ66:AO66" si="41">SUM(AJ64:AJ65)</f>
        <v>0</v>
      </c>
      <c r="AK66" s="39">
        <f t="shared" si="41"/>
        <v>0</v>
      </c>
      <c r="AL66" s="61">
        <f t="shared" si="41"/>
        <v>0</v>
      </c>
      <c r="AM66" s="39">
        <f t="shared" si="41"/>
        <v>0</v>
      </c>
      <c r="AN66" s="61">
        <f t="shared" si="41"/>
        <v>0</v>
      </c>
      <c r="AO66" s="39">
        <f t="shared" si="41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162385.08000000007</v>
      </c>
      <c r="F70" s="64">
        <f>('TIE-OUT'!P70+'TIE-OUT'!R70)+(RECLASS!P70+RECLASS!R70)</f>
        <v>0</v>
      </c>
      <c r="G70" s="68">
        <f>('TIE-OUT'!Q70+'TIE-OUT'!S70)+(RECLASS!Q70+RECLASS!S70)</f>
        <v>162385.08000000007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'TX-EGM-GL'!AL70+'TX-HPL-GL '!AL70</f>
        <v>0</v>
      </c>
      <c r="AG70" s="38">
        <f>'TX-EGM-GL'!AM70+'TX-HPL-GL '!AM70</f>
        <v>0</v>
      </c>
      <c r="AH70" s="60">
        <f>'TX-EGM-GL'!AP70+'TX-HPL-GL '!AP70</f>
        <v>0</v>
      </c>
      <c r="AI70" s="38">
        <f>'TX-EGM-GL'!AQ70+'TX-HPL-GL '!AQ70</f>
        <v>0</v>
      </c>
      <c r="AJ70" s="60">
        <f>'TX-EGM-GL'!AT70+'TX-HPL-GL '!AT70</f>
        <v>0</v>
      </c>
      <c r="AK70" s="38">
        <f>'TX-EGM-GL'!AU70+'TX-HPL-GL '!AU70</f>
        <v>0</v>
      </c>
      <c r="AL70" s="60">
        <f>'TX-EGM-GL'!AV70+'TX-HPL-GL '!AV70</f>
        <v>0</v>
      </c>
      <c r="AM70" s="38">
        <f>'TX-EGM-GL'!AW70+'TX-HPL-GL '!AW70</f>
        <v>0</v>
      </c>
      <c r="AN70" s="60">
        <f>'TX-EGM-GL'!AX70+'TX-HPL-GL '!AX70</f>
        <v>0</v>
      </c>
      <c r="AO70" s="38">
        <f>'TX-EGM-GL'!AY70+'TX-HPL-GL '!AY70</f>
        <v>0</v>
      </c>
      <c r="AP70" s="60">
        <f>'TX-EGM-GL'!AZ70+'TX-HPL-GL '!AZ70</f>
        <v>0</v>
      </c>
      <c r="AQ70" s="38">
        <f>'TX-EGM-GL'!BA70+'TX-HPL-GL '!BA70</f>
        <v>0</v>
      </c>
      <c r="AR70" s="60">
        <f>'TX-EGM-GL'!BB70+'TX-HPL-GL '!BB70</f>
        <v>0</v>
      </c>
      <c r="AS70" s="38">
        <f>'TX-EGM-GL'!BC70+'TX-HPL-GL '!BC70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'TX-EGM-GL'!AL71+'TX-HPL-GL '!AL71</f>
        <v>0</v>
      </c>
      <c r="AG71" s="38">
        <f>'TX-EGM-GL'!AM71+'TX-HPL-GL '!AM71</f>
        <v>0</v>
      </c>
      <c r="AH71" s="60">
        <f>'TX-EGM-GL'!AP71+'TX-HPL-GL '!AP71</f>
        <v>0</v>
      </c>
      <c r="AI71" s="38">
        <f>'TX-EGM-GL'!AQ71+'TX-HPL-GL '!AQ71</f>
        <v>0</v>
      </c>
      <c r="AJ71" s="60">
        <f>'TX-EGM-GL'!AT71+'TX-HPL-GL '!AT71</f>
        <v>0</v>
      </c>
      <c r="AK71" s="38">
        <f>'TX-EGM-GL'!AU71+'TX-HPL-GL '!AU71</f>
        <v>0</v>
      </c>
      <c r="AL71" s="60">
        <f>'TX-EGM-GL'!AV71+'TX-HPL-GL '!AV71</f>
        <v>0</v>
      </c>
      <c r="AM71" s="38">
        <f>'TX-EGM-GL'!AW71+'TX-HPL-GL '!AW71</f>
        <v>0</v>
      </c>
      <c r="AN71" s="60">
        <f>'TX-EGM-GL'!AX71+'TX-HPL-GL '!AX71</f>
        <v>0</v>
      </c>
      <c r="AO71" s="38">
        <f>'TX-EGM-GL'!AY71+'TX-HPL-GL '!AY71</f>
        <v>0</v>
      </c>
      <c r="AP71" s="60">
        <f>'TX-EGM-GL'!AZ71+'TX-HPL-GL '!AZ71</f>
        <v>0</v>
      </c>
      <c r="AQ71" s="38">
        <f>'TX-EGM-GL'!BA71+'TX-HPL-GL '!BA71</f>
        <v>0</v>
      </c>
      <c r="AR71" s="60">
        <f>'TX-EGM-GL'!BB71+'TX-HPL-GL '!BB71</f>
        <v>0</v>
      </c>
      <c r="AS71" s="38">
        <f>'TX-EGM-GL'!BC71+'TX-HPL-GL '!BC71</f>
        <v>0</v>
      </c>
    </row>
    <row r="72" spans="1:4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162385.08000000007</v>
      </c>
      <c r="F72" s="61">
        <f t="shared" ref="F72:AB72" si="42">SUM(F70:F71)</f>
        <v>0</v>
      </c>
      <c r="G72" s="39">
        <f t="shared" si="42"/>
        <v>162385.08000000007</v>
      </c>
      <c r="H72" s="61">
        <f t="shared" si="42"/>
        <v>0</v>
      </c>
      <c r="I72" s="39">
        <f t="shared" si="42"/>
        <v>0</v>
      </c>
      <c r="J72" s="61">
        <f t="shared" si="42"/>
        <v>0</v>
      </c>
      <c r="K72" s="39">
        <f t="shared" si="42"/>
        <v>0</v>
      </c>
      <c r="L72" s="61">
        <f t="shared" si="42"/>
        <v>0</v>
      </c>
      <c r="M72" s="39">
        <f t="shared" si="42"/>
        <v>0</v>
      </c>
      <c r="N72" s="61">
        <f t="shared" si="42"/>
        <v>0</v>
      </c>
      <c r="O72" s="39">
        <f t="shared" si="42"/>
        <v>0</v>
      </c>
      <c r="P72" s="61">
        <f t="shared" si="42"/>
        <v>0</v>
      </c>
      <c r="Q72" s="39">
        <f t="shared" si="42"/>
        <v>0</v>
      </c>
      <c r="R72" s="61">
        <f t="shared" si="42"/>
        <v>0</v>
      </c>
      <c r="S72" s="39">
        <f t="shared" si="42"/>
        <v>0</v>
      </c>
      <c r="T72" s="61">
        <f t="shared" si="42"/>
        <v>0</v>
      </c>
      <c r="U72" s="39">
        <f t="shared" ref="U72:AC72" si="43">SUM(U70:U71)</f>
        <v>0</v>
      </c>
      <c r="V72" s="61">
        <f t="shared" si="42"/>
        <v>0</v>
      </c>
      <c r="W72" s="39">
        <f t="shared" si="43"/>
        <v>0</v>
      </c>
      <c r="X72" s="61">
        <f t="shared" si="42"/>
        <v>0</v>
      </c>
      <c r="Y72" s="39">
        <f t="shared" si="43"/>
        <v>0</v>
      </c>
      <c r="Z72" s="61">
        <f t="shared" si="42"/>
        <v>0</v>
      </c>
      <c r="AA72" s="39">
        <f t="shared" si="43"/>
        <v>0</v>
      </c>
      <c r="AB72" s="61">
        <f t="shared" si="42"/>
        <v>0</v>
      </c>
      <c r="AC72" s="39">
        <f t="shared" si="43"/>
        <v>0</v>
      </c>
      <c r="AD72" s="61">
        <f t="shared" ref="AD72:AI72" si="44">SUM(AD70:AD71)</f>
        <v>0</v>
      </c>
      <c r="AE72" s="39">
        <f t="shared" si="44"/>
        <v>0</v>
      </c>
      <c r="AF72" s="61">
        <f t="shared" si="44"/>
        <v>0</v>
      </c>
      <c r="AG72" s="39">
        <f t="shared" si="44"/>
        <v>0</v>
      </c>
      <c r="AH72" s="61">
        <f t="shared" si="44"/>
        <v>0</v>
      </c>
      <c r="AI72" s="39">
        <f t="shared" si="44"/>
        <v>0</v>
      </c>
      <c r="AJ72" s="61">
        <f t="shared" ref="AJ72:AO72" si="45">SUM(AJ70:AJ71)</f>
        <v>0</v>
      </c>
      <c r="AK72" s="39">
        <f t="shared" si="45"/>
        <v>0</v>
      </c>
      <c r="AL72" s="61">
        <f t="shared" si="45"/>
        <v>0</v>
      </c>
      <c r="AM72" s="39">
        <f t="shared" si="45"/>
        <v>0</v>
      </c>
      <c r="AN72" s="61">
        <f t="shared" si="45"/>
        <v>0</v>
      </c>
      <c r="AO72" s="39">
        <f t="shared" si="4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46">SUM(F73,H73,J73,L73,N73,P73,R73,T73,V73,X73,Z73,AB73,AD73,AF73,AH73,AJ73,AL73,AN73,AP73,AR73)</f>
        <v>0</v>
      </c>
      <c r="E73" s="38">
        <f t="shared" ref="E73:E81" si="47">SUM(G73,I73,K73,M73,O73,Q73,S73,U73,W73,Y73,AA73,AC73,AE73,AG73,AI73,AK73,AM73,AO73,AQ73,AS73)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'TX-EGM-GL'!AL73+'TX-HPL-GL '!AL73</f>
        <v>0</v>
      </c>
      <c r="AG73" s="38">
        <f>'TX-EGM-GL'!AM73+'TX-HPL-GL '!AM73</f>
        <v>0</v>
      </c>
      <c r="AH73" s="60">
        <f>'TX-EGM-GL'!AP73+'TX-HPL-GL '!AP73</f>
        <v>0</v>
      </c>
      <c r="AI73" s="38">
        <f>'TX-EGM-GL'!AQ73+'TX-HPL-GL '!AQ73</f>
        <v>0</v>
      </c>
      <c r="AJ73" s="60">
        <f>'TX-EGM-GL'!AT73+'TX-HPL-GL '!AT73</f>
        <v>0</v>
      </c>
      <c r="AK73" s="38">
        <f>'TX-EGM-GL'!AU73+'TX-HPL-GL '!AU73</f>
        <v>0</v>
      </c>
      <c r="AL73" s="60">
        <f>'TX-EGM-GL'!AV73+'TX-HPL-GL '!AV73</f>
        <v>0</v>
      </c>
      <c r="AM73" s="38">
        <f>'TX-EGM-GL'!AW73+'TX-HPL-GL '!AW73</f>
        <v>0</v>
      </c>
      <c r="AN73" s="60">
        <f>'TX-EGM-GL'!AX73+'TX-HPL-GL '!AX73</f>
        <v>0</v>
      </c>
      <c r="AO73" s="38">
        <f>'TX-EGM-GL'!AY73+'TX-HPL-GL '!AY73</f>
        <v>0</v>
      </c>
      <c r="AP73" s="60">
        <f>'TX-EGM-GL'!AZ73+'TX-HPL-GL '!AZ73</f>
        <v>0</v>
      </c>
      <c r="AQ73" s="38">
        <f>'TX-EGM-GL'!BA73+'TX-HPL-GL '!BA73</f>
        <v>0</v>
      </c>
      <c r="AR73" s="60">
        <f>'TX-EGM-GL'!BB73+'TX-HPL-GL '!BB73</f>
        <v>0</v>
      </c>
      <c r="AS73" s="38">
        <f>'TX-EGM-GL'!BC73+'TX-HPL-GL '!BC73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46"/>
        <v>0</v>
      </c>
      <c r="E74" s="38">
        <f t="shared" si="47"/>
        <v>910467</v>
      </c>
      <c r="F74" s="60">
        <f>('TIE-OUT'!P74+'TIE-OUT'!R74)+(RECLASS!P74+RECLASS!R74)</f>
        <v>0</v>
      </c>
      <c r="G74" s="60">
        <f>('TIE-OUT'!Q74+'TIE-OUT'!S74)+(RECLASS!Q74+RECLASS!S74)</f>
        <v>1006913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0</v>
      </c>
      <c r="L74" s="60">
        <f>'TX-EGM-GL'!L74+'TX-HPL-GL '!L74</f>
        <v>0</v>
      </c>
      <c r="M74" s="38">
        <f>'TX-EGM-GL'!M74+'TX-HPL-GL '!M74</f>
        <v>-1688285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0</v>
      </c>
      <c r="R74" s="60">
        <f>'TX-EGM-GL'!R74+'TX-HPL-GL '!R74</f>
        <v>0</v>
      </c>
      <c r="S74" s="38">
        <f>'TX-EGM-GL'!S74+'TX-HPL-GL '!S74</f>
        <v>1591839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'TX-EGM-GL'!AL74+'TX-HPL-GL '!AL74</f>
        <v>0</v>
      </c>
      <c r="AG74" s="38">
        <f>'TX-EGM-GL'!AM74+'TX-HPL-GL '!AM74</f>
        <v>0</v>
      </c>
      <c r="AH74" s="60">
        <f>'TX-EGM-GL'!AP74+'TX-HPL-GL '!AP74</f>
        <v>0</v>
      </c>
      <c r="AI74" s="38">
        <f>'TX-EGM-GL'!AQ74+'TX-HPL-GL '!AQ74</f>
        <v>0</v>
      </c>
      <c r="AJ74" s="60">
        <f>'TX-EGM-GL'!AT74+'TX-HPL-GL '!AT74</f>
        <v>0</v>
      </c>
      <c r="AK74" s="38">
        <f>'TX-EGM-GL'!AU74+'TX-HPL-GL '!AU74</f>
        <v>0</v>
      </c>
      <c r="AL74" s="60">
        <f>'TX-EGM-GL'!AV74+'TX-HPL-GL '!AV74</f>
        <v>0</v>
      </c>
      <c r="AM74" s="38">
        <f>'TX-EGM-GL'!AW74+'TX-HPL-GL '!AW74</f>
        <v>0</v>
      </c>
      <c r="AN74" s="60">
        <f>'TX-EGM-GL'!AX74+'TX-HPL-GL '!AX74</f>
        <v>0</v>
      </c>
      <c r="AO74" s="38">
        <f>'TX-EGM-GL'!AY74+'TX-HPL-GL '!AY74</f>
        <v>0</v>
      </c>
      <c r="AP74" s="60">
        <f>'TX-EGM-GL'!AZ74+'TX-HPL-GL '!AZ74</f>
        <v>0</v>
      </c>
      <c r="AQ74" s="38">
        <f>'TX-EGM-GL'!BA74+'TX-HPL-GL '!BA74</f>
        <v>0</v>
      </c>
      <c r="AR74" s="60">
        <f>'TX-EGM-GL'!BB74+'TX-HPL-GL '!BB74</f>
        <v>0</v>
      </c>
      <c r="AS74" s="38">
        <f>'TX-EGM-GL'!BC74+'TX-HPL-GL '!BC74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46"/>
        <v>0</v>
      </c>
      <c r="E75" s="38">
        <f t="shared" si="47"/>
        <v>1777100</v>
      </c>
      <c r="F75" s="60">
        <f>('TIE-OUT'!P75+'TIE-OUT'!R75)+(RECLASS!P75+RECLASS!R75)</f>
        <v>0</v>
      </c>
      <c r="G75" s="60">
        <f>('TIE-OUT'!Q75+'TIE-OUT'!S75)+(RECLASS!Q75+RECLASS!S75)</f>
        <v>1777100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'TX-EGM-GL'!AL75+'TX-HPL-GL '!AL75</f>
        <v>0</v>
      </c>
      <c r="AG75" s="38">
        <f>'TX-EGM-GL'!AM75+'TX-HPL-GL '!AM75</f>
        <v>0</v>
      </c>
      <c r="AH75" s="60">
        <f>'TX-EGM-GL'!AP75+'TX-HPL-GL '!AP75</f>
        <v>0</v>
      </c>
      <c r="AI75" s="38">
        <f>'TX-EGM-GL'!AQ75+'TX-HPL-GL '!AQ75</f>
        <v>0</v>
      </c>
      <c r="AJ75" s="60">
        <f>'TX-EGM-GL'!AT75+'TX-HPL-GL '!AT75</f>
        <v>0</v>
      </c>
      <c r="AK75" s="38">
        <f>'TX-EGM-GL'!AU75+'TX-HPL-GL '!AU75</f>
        <v>0</v>
      </c>
      <c r="AL75" s="60">
        <f>'TX-EGM-GL'!AV75+'TX-HPL-GL '!AV75</f>
        <v>0</v>
      </c>
      <c r="AM75" s="38">
        <f>'TX-EGM-GL'!AW75+'TX-HPL-GL '!AW75</f>
        <v>0</v>
      </c>
      <c r="AN75" s="60">
        <f>'TX-EGM-GL'!AX75+'TX-HPL-GL '!AX75</f>
        <v>0</v>
      </c>
      <c r="AO75" s="38">
        <f>'TX-EGM-GL'!AY75+'TX-HPL-GL '!AY75</f>
        <v>0</v>
      </c>
      <c r="AP75" s="60">
        <f>'TX-EGM-GL'!AZ75+'TX-HPL-GL '!AZ75</f>
        <v>0</v>
      </c>
      <c r="AQ75" s="38">
        <f>'TX-EGM-GL'!BA75+'TX-HPL-GL '!BA75</f>
        <v>0</v>
      </c>
      <c r="AR75" s="60">
        <f>'TX-EGM-GL'!BB75+'TX-HPL-GL '!BB75</f>
        <v>0</v>
      </c>
      <c r="AS75" s="38">
        <f>'TX-EGM-GL'!BC75+'TX-HPL-GL '!BC75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46"/>
        <v>0</v>
      </c>
      <c r="E76" s="38">
        <f t="shared" si="47"/>
        <v>-7855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-7855</v>
      </c>
      <c r="J76" s="60">
        <f>'TX-EGM-GL'!J76+'TX-HPL-GL '!J76</f>
        <v>0</v>
      </c>
      <c r="K76" s="38">
        <f>'TX-EGM-GL'!K76+'TX-HPL-GL '!K76</f>
        <v>0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'TX-EGM-GL'!AL76+'TX-HPL-GL '!AL76</f>
        <v>0</v>
      </c>
      <c r="AG76" s="38">
        <f>'TX-EGM-GL'!AM76+'TX-HPL-GL '!AM76</f>
        <v>0</v>
      </c>
      <c r="AH76" s="60">
        <f>'TX-EGM-GL'!AP76+'TX-HPL-GL '!AP76</f>
        <v>0</v>
      </c>
      <c r="AI76" s="38">
        <f>'TX-EGM-GL'!AQ76+'TX-HPL-GL '!AQ76</f>
        <v>0</v>
      </c>
      <c r="AJ76" s="60">
        <f>'TX-EGM-GL'!AT76+'TX-HPL-GL '!AT76</f>
        <v>0</v>
      </c>
      <c r="AK76" s="38">
        <f>'TX-EGM-GL'!AU76+'TX-HPL-GL '!AU76</f>
        <v>0</v>
      </c>
      <c r="AL76" s="60">
        <f>'TX-EGM-GL'!AV76+'TX-HPL-GL '!AV76</f>
        <v>0</v>
      </c>
      <c r="AM76" s="38">
        <f>'TX-EGM-GL'!AW76+'TX-HPL-GL '!AW76</f>
        <v>0</v>
      </c>
      <c r="AN76" s="60">
        <f>'TX-EGM-GL'!AX76+'TX-HPL-GL '!AX76</f>
        <v>0</v>
      </c>
      <c r="AO76" s="38">
        <f>'TX-EGM-GL'!AY76+'TX-HPL-GL '!AY76</f>
        <v>0</v>
      </c>
      <c r="AP76" s="60">
        <f>'TX-EGM-GL'!AZ76+'TX-HPL-GL '!AZ76</f>
        <v>0</v>
      </c>
      <c r="AQ76" s="38">
        <f>'TX-EGM-GL'!BA76+'TX-HPL-GL '!BA76</f>
        <v>0</v>
      </c>
      <c r="AR76" s="60">
        <f>'TX-EGM-GL'!BB76+'TX-HPL-GL '!BB76</f>
        <v>0</v>
      </c>
      <c r="AS76" s="38">
        <f>'TX-EGM-GL'!BC76+'TX-HPL-GL '!BC76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46"/>
        <v>0</v>
      </c>
      <c r="E77" s="38">
        <f t="shared" si="47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'TX-EGM-GL'!AL77+'TX-HPL-GL '!AL77</f>
        <v>0</v>
      </c>
      <c r="AG77" s="38">
        <f>'TX-EGM-GL'!AM77+'TX-HPL-GL '!AM77</f>
        <v>0</v>
      </c>
      <c r="AH77" s="60">
        <f>'TX-EGM-GL'!AP77+'TX-HPL-GL '!AP77</f>
        <v>0</v>
      </c>
      <c r="AI77" s="38">
        <f>'TX-EGM-GL'!AQ77+'TX-HPL-GL '!AQ77</f>
        <v>0</v>
      </c>
      <c r="AJ77" s="60">
        <f>'TX-EGM-GL'!AT77+'TX-HPL-GL '!AT77</f>
        <v>0</v>
      </c>
      <c r="AK77" s="38">
        <f>'TX-EGM-GL'!AU77+'TX-HPL-GL '!AU77</f>
        <v>0</v>
      </c>
      <c r="AL77" s="60">
        <f>'TX-EGM-GL'!AV77+'TX-HPL-GL '!AV77</f>
        <v>0</v>
      </c>
      <c r="AM77" s="38">
        <f>'TX-EGM-GL'!AW77+'TX-HPL-GL '!AW77</f>
        <v>0</v>
      </c>
      <c r="AN77" s="60">
        <f>'TX-EGM-GL'!AX77+'TX-HPL-GL '!AX77</f>
        <v>0</v>
      </c>
      <c r="AO77" s="38">
        <f>'TX-EGM-GL'!AY77+'TX-HPL-GL '!AY77</f>
        <v>0</v>
      </c>
      <c r="AP77" s="60">
        <f>'TX-EGM-GL'!AZ77+'TX-HPL-GL '!AZ77</f>
        <v>0</v>
      </c>
      <c r="AQ77" s="38">
        <f>'TX-EGM-GL'!BA77+'TX-HPL-GL '!BA77</f>
        <v>0</v>
      </c>
      <c r="AR77" s="60">
        <f>'TX-EGM-GL'!BB77+'TX-HPL-GL '!BB77</f>
        <v>0</v>
      </c>
      <c r="AS77" s="38">
        <f>'TX-EGM-GL'!BC77+'TX-HPL-GL '!BC77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46"/>
        <v>0</v>
      </c>
      <c r="E78" s="38">
        <f t="shared" si="47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'TX-EGM-GL'!AL78+'TX-HPL-GL '!AL78</f>
        <v>0</v>
      </c>
      <c r="AG78" s="38">
        <f>'TX-EGM-GL'!AM78+'TX-HPL-GL '!AM78</f>
        <v>0</v>
      </c>
      <c r="AH78" s="60">
        <f>'TX-EGM-GL'!AP78+'TX-HPL-GL '!AP78</f>
        <v>0</v>
      </c>
      <c r="AI78" s="38">
        <f>'TX-EGM-GL'!AQ78+'TX-HPL-GL '!AQ78</f>
        <v>0</v>
      </c>
      <c r="AJ78" s="60">
        <f>'TX-EGM-GL'!AT78+'TX-HPL-GL '!AT78</f>
        <v>0</v>
      </c>
      <c r="AK78" s="38">
        <f>'TX-EGM-GL'!AU78+'TX-HPL-GL '!AU78</f>
        <v>0</v>
      </c>
      <c r="AL78" s="60">
        <f>'TX-EGM-GL'!AV78+'TX-HPL-GL '!AV78</f>
        <v>0</v>
      </c>
      <c r="AM78" s="38">
        <f>'TX-EGM-GL'!AW78+'TX-HPL-GL '!AW78</f>
        <v>0</v>
      </c>
      <c r="AN78" s="60">
        <f>'TX-EGM-GL'!AX78+'TX-HPL-GL '!AX78</f>
        <v>0</v>
      </c>
      <c r="AO78" s="38">
        <f>'TX-EGM-GL'!AY78+'TX-HPL-GL '!AY78</f>
        <v>0</v>
      </c>
      <c r="AP78" s="60">
        <f>'TX-EGM-GL'!AZ78+'TX-HPL-GL '!AZ78</f>
        <v>0</v>
      </c>
      <c r="AQ78" s="38">
        <f>'TX-EGM-GL'!BA78+'TX-HPL-GL '!BA78</f>
        <v>0</v>
      </c>
      <c r="AR78" s="60">
        <f>'TX-EGM-GL'!BB78+'TX-HPL-GL '!BB78</f>
        <v>0</v>
      </c>
      <c r="AS78" s="38">
        <f>'TX-EGM-GL'!BC78+'TX-HPL-GL '!BC78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46"/>
        <v>0</v>
      </c>
      <c r="E79" s="38">
        <f t="shared" si="47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'TX-EGM-GL'!AL79+'TX-HPL-GL '!AL79</f>
        <v>0</v>
      </c>
      <c r="AG79" s="38">
        <f>'TX-EGM-GL'!AM79+'TX-HPL-GL '!AM79</f>
        <v>0</v>
      </c>
      <c r="AH79" s="60">
        <f>'TX-EGM-GL'!AP79+'TX-HPL-GL '!AP79</f>
        <v>0</v>
      </c>
      <c r="AI79" s="38">
        <f>'TX-EGM-GL'!AQ79+'TX-HPL-GL '!AQ79</f>
        <v>0</v>
      </c>
      <c r="AJ79" s="60">
        <f>'TX-EGM-GL'!AT79+'TX-HPL-GL '!AT79</f>
        <v>0</v>
      </c>
      <c r="AK79" s="38">
        <f>'TX-EGM-GL'!AU79+'TX-HPL-GL '!AU79</f>
        <v>0</v>
      </c>
      <c r="AL79" s="60">
        <f>'TX-EGM-GL'!AV79+'TX-HPL-GL '!AV79</f>
        <v>0</v>
      </c>
      <c r="AM79" s="38">
        <f>'TX-EGM-GL'!AW79+'TX-HPL-GL '!AW79</f>
        <v>0</v>
      </c>
      <c r="AN79" s="60">
        <f>'TX-EGM-GL'!AX79+'TX-HPL-GL '!AX79</f>
        <v>0</v>
      </c>
      <c r="AO79" s="38">
        <f>'TX-EGM-GL'!AY79+'TX-HPL-GL '!AY79</f>
        <v>0</v>
      </c>
      <c r="AP79" s="60">
        <f>'TX-EGM-GL'!AZ79+'TX-HPL-GL '!AZ79</f>
        <v>0</v>
      </c>
      <c r="AQ79" s="38">
        <f>'TX-EGM-GL'!BA79+'TX-HPL-GL '!BA79</f>
        <v>0</v>
      </c>
      <c r="AR79" s="60">
        <f>'TX-EGM-GL'!BB79+'TX-HPL-GL '!BB79</f>
        <v>0</v>
      </c>
      <c r="AS79" s="38">
        <f>'TX-EGM-GL'!BC79+'TX-HPL-GL '!BC79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46"/>
        <v>0</v>
      </c>
      <c r="E80" s="38">
        <f t="shared" si="47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'TX-EGM-GL'!AL80+'TX-HPL-GL '!AL80</f>
        <v>0</v>
      </c>
      <c r="AG80" s="38">
        <f>'TX-EGM-GL'!AM80+'TX-HPL-GL '!AM80</f>
        <v>0</v>
      </c>
      <c r="AH80" s="60">
        <f>'TX-EGM-GL'!AP80+'TX-HPL-GL '!AP80</f>
        <v>0</v>
      </c>
      <c r="AI80" s="38">
        <f>'TX-EGM-GL'!AQ80+'TX-HPL-GL '!AQ80</f>
        <v>0</v>
      </c>
      <c r="AJ80" s="60">
        <f>'TX-EGM-GL'!AT80+'TX-HPL-GL '!AT80</f>
        <v>0</v>
      </c>
      <c r="AK80" s="38">
        <f>'TX-EGM-GL'!AU80+'TX-HPL-GL '!AU80</f>
        <v>0</v>
      </c>
      <c r="AL80" s="60">
        <f>'TX-EGM-GL'!AV80+'TX-HPL-GL '!AV80</f>
        <v>0</v>
      </c>
      <c r="AM80" s="38">
        <f>'TX-EGM-GL'!AW80+'TX-HPL-GL '!AW80</f>
        <v>0</v>
      </c>
      <c r="AN80" s="60">
        <f>'TX-EGM-GL'!AX80+'TX-HPL-GL '!AX80</f>
        <v>0</v>
      </c>
      <c r="AO80" s="38">
        <f>'TX-EGM-GL'!AY80+'TX-HPL-GL '!AY80</f>
        <v>0</v>
      </c>
      <c r="AP80" s="60">
        <f>'TX-EGM-GL'!AZ80+'TX-HPL-GL '!AZ80</f>
        <v>0</v>
      </c>
      <c r="AQ80" s="38">
        <f>'TX-EGM-GL'!BA80+'TX-HPL-GL '!BA80</f>
        <v>0</v>
      </c>
      <c r="AR80" s="60">
        <f>'TX-EGM-GL'!BB80+'TX-HPL-GL '!BB80</f>
        <v>0</v>
      </c>
      <c r="AS80" s="38">
        <f>'TX-EGM-GL'!BC80+'TX-HPL-GL '!BC80</f>
        <v>0</v>
      </c>
    </row>
    <row r="81" spans="1:77" x14ac:dyDescent="0.2">
      <c r="A81" s="9">
        <v>40</v>
      </c>
      <c r="B81" s="3"/>
      <c r="C81" s="10" t="s">
        <v>82</v>
      </c>
      <c r="D81" s="60">
        <f t="shared" si="46"/>
        <v>0</v>
      </c>
      <c r="E81" s="38">
        <f t="shared" si="47"/>
        <v>-50000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0</v>
      </c>
      <c r="J81" s="60">
        <f>'TX-EGM-GL'!J81+'TX-HPL-GL '!J81</f>
        <v>0</v>
      </c>
      <c r="K81" s="38">
        <f>'TX-EGM-GL'!K81+'TX-HPL-GL '!K81</f>
        <v>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-50000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'TX-EGM-GL'!AL81+'TX-HPL-GL '!AL81</f>
        <v>0</v>
      </c>
      <c r="AG81" s="38">
        <f>'TX-EGM-GL'!AM81+'TX-HPL-GL '!AM81</f>
        <v>0</v>
      </c>
      <c r="AH81" s="60">
        <f>'TX-EGM-GL'!AP81+'TX-HPL-GL '!AP81</f>
        <v>0</v>
      </c>
      <c r="AI81" s="38">
        <f>'TX-EGM-GL'!AQ81+'TX-HPL-GL '!AQ81</f>
        <v>0</v>
      </c>
      <c r="AJ81" s="60">
        <f>'TX-EGM-GL'!AT81+'TX-HPL-GL '!AT81</f>
        <v>0</v>
      </c>
      <c r="AK81" s="38">
        <f>'TX-EGM-GL'!AU81+'TX-HPL-GL '!AU81</f>
        <v>0</v>
      </c>
      <c r="AL81" s="60">
        <f>'TX-EGM-GL'!AV81+'TX-HPL-GL '!AV81</f>
        <v>0</v>
      </c>
      <c r="AM81" s="38">
        <f>'TX-EGM-GL'!AW81+'TX-HPL-GL '!AW81</f>
        <v>0</v>
      </c>
      <c r="AN81" s="60">
        <f>'TX-EGM-GL'!AX81+'TX-HPL-GL '!AX81</f>
        <v>0</v>
      </c>
      <c r="AO81" s="38">
        <f>'TX-EGM-GL'!AY81+'TX-HPL-GL '!AY81</f>
        <v>0</v>
      </c>
      <c r="AP81" s="60">
        <f>'TX-EGM-GL'!AZ81+'TX-HPL-GL '!AZ81</f>
        <v>0</v>
      </c>
      <c r="AQ81" s="38">
        <f>'TX-EGM-GL'!BA81+'TX-HPL-GL '!BA81</f>
        <v>0</v>
      </c>
      <c r="AR81" s="60">
        <f>'TX-EGM-GL'!BB81+'TX-HPL-GL '!BB81</f>
        <v>0</v>
      </c>
      <c r="AS81" s="38">
        <f>'TX-EGM-GL'!BC81+'TX-HPL-GL '!BC81</f>
        <v>0</v>
      </c>
    </row>
    <row r="82" spans="1:7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1459151.0890000211</v>
      </c>
      <c r="F82" s="92">
        <f>F16+F24+F29+F36+F43+F45+F47+F49</f>
        <v>0</v>
      </c>
      <c r="G82" s="93">
        <f>SUM(G72:G81)+G16+G24+G29+G36+G43+G45+G47+G49+G51+G56+G61+G66</f>
        <v>-5870684.3600000003</v>
      </c>
      <c r="H82" s="92">
        <f>H16+H24+H29+H36+H43+H45+H47+H49</f>
        <v>0</v>
      </c>
      <c r="I82" s="93">
        <f>SUM(I72:I81)+I16+I24+I29+I36+I43+I45+I47+I49+I51+I56+I61+I66</f>
        <v>7944499.0139999986</v>
      </c>
      <c r="J82" s="92">
        <f>J16+J24+J29+J36+J43+J45+J47+J49</f>
        <v>0</v>
      </c>
      <c r="K82" s="93">
        <f>SUM(K72:K81)+K16+K24+K29+K36+K43+K45+K47+K49+K51+K56+K61+K66</f>
        <v>-2214109.8383999979</v>
      </c>
      <c r="L82" s="92">
        <f>L16+L24+L29+L36+L43+L45+L47+L49</f>
        <v>0</v>
      </c>
      <c r="M82" s="93">
        <f>SUM(M72:M81)+M16+M24+M29+M36+M43+M45+M47+M49+M51+M56+M61+M66</f>
        <v>-1296331.531</v>
      </c>
      <c r="N82" s="92">
        <f>N16+N24+N29+N36+N43+N45+N47+N49</f>
        <v>0</v>
      </c>
      <c r="O82" s="93">
        <f>SUM(O72:O81)+O16+O24+O29+O36+O43+O45+O47+O49+O51+O56+O61+O66</f>
        <v>-8565.747799998544</v>
      </c>
      <c r="P82" s="92">
        <f>P16+P24+P29+P36+P43+P45+P47+P49</f>
        <v>0</v>
      </c>
      <c r="Q82" s="93">
        <f>SUM(Q72:Q81)+Q16+Q24+Q29+Q36+Q43+Q45+Q47+Q49+Q51+Q56+Q61+Q66</f>
        <v>93499.253999999986</v>
      </c>
      <c r="R82" s="92">
        <f>R16+R24+R29+R36+R43+R45+R47+R49</f>
        <v>0</v>
      </c>
      <c r="S82" s="93">
        <f>SUM(S72:S81)+S16+S24+S29+S36+S43+S45+S47+S49+S51+S56+S61+S66</f>
        <v>906664.7</v>
      </c>
      <c r="T82" s="92">
        <f>T16+T24+T29+T36+T43+T45+T47+T49</f>
        <v>0</v>
      </c>
      <c r="U82" s="93">
        <f>SUM(U72:U81)+U16+U24+U29+U36+U43+U45+U47+U49+U51+U56+U61+U66</f>
        <v>528362.61080000014</v>
      </c>
      <c r="V82" s="92">
        <f>V16+V24+V29+V36+V43+V45+V47+V49</f>
        <v>0</v>
      </c>
      <c r="W82" s="93">
        <f>SUM(W72:W81)+W16+W24+W29+W36+W43+W45+W47+W49+W51+W56+W61+W66</f>
        <v>1020334.5828</v>
      </c>
      <c r="X82" s="92">
        <f>X16+X24+X29+X36+X43+X45+X47+X49</f>
        <v>0</v>
      </c>
      <c r="Y82" s="93">
        <f>SUM(Y72:Y81)+Y16+Y24+Y29+Y36+Y43+Y45+Y47+Y49+Y51+Y56+Y61+Y66</f>
        <v>-25412.809400000227</v>
      </c>
      <c r="Z82" s="92">
        <f>Z16+Z24+Z29+Z36+Z43+Z45+Z47+Z49</f>
        <v>0</v>
      </c>
      <c r="AA82" s="93">
        <f>SUM(AA72:AA81)+AA16+AA24+AA29+AA36+AA43+AA45+AA47+AA49+AA51+AA56+AA61+AA66</f>
        <v>370620.05599999992</v>
      </c>
      <c r="AB82" s="92">
        <f>AB16+AB24+AB29+AB36+AB43+AB45+AB47+AB49</f>
        <v>0</v>
      </c>
      <c r="AC82" s="93">
        <f>SUM(AC72:AC81)+AC16+AC24+AC29+AC36+AC43+AC45+AC47+AC49+AC51+AC56+AC61+AC66</f>
        <v>-37336.479999999938</v>
      </c>
      <c r="AD82" s="92">
        <f>AD16+AD24+AD29+AD36+AD43+AD45+AD47+AD49</f>
        <v>0</v>
      </c>
      <c r="AE82" s="93">
        <f>SUM(AE72:AE81)+AE16+AE24+AE29+AE36+AE43+AE45+AE47+AE49+AE51+AE56+AE61+AE66</f>
        <v>31591.702000000005</v>
      </c>
      <c r="AF82" s="92">
        <f>AF16+AF24+AF29+AF36+AF43+AF45+AF47+AF49</f>
        <v>0</v>
      </c>
      <c r="AG82" s="93">
        <f>SUM(AG72:AG81)+AG16+AG24+AG29+AG36+AG43+AG45+AG47+AG49+AG51+AG56+AG61+AG66</f>
        <v>17348.136000000002</v>
      </c>
      <c r="AH82" s="92">
        <f>AH16+AH24+AH29+AH36+AH43+AH45+AH47+AH49</f>
        <v>0</v>
      </c>
      <c r="AI82" s="93">
        <f>SUM(AI72:AI81)+AI16+AI24+AI29+AI36+AI43+AI45+AI47+AI49+AI51+AI56+AI61+AI66</f>
        <v>-1328.1999999999975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189</v>
      </c>
      <c r="B85" s="3"/>
      <c r="F85" s="31"/>
      <c r="G85" s="31"/>
      <c r="H85" s="31"/>
      <c r="I85" s="31"/>
      <c r="L85" s="45"/>
    </row>
    <row r="86" spans="1:77" s="3" customFormat="1" x14ac:dyDescent="0.2">
      <c r="A86" s="182"/>
      <c r="C86" s="10" t="s">
        <v>191</v>
      </c>
      <c r="D86" s="183">
        <f t="shared" ref="D86:E88" si="48">SUM(F86,H86,J86,L86,N86,P86,R86,T86,V86,X86,Z86,AB86,AD86)</f>
        <v>0</v>
      </c>
      <c r="E86" s="183">
        <f t="shared" si="48"/>
        <v>11696533.92</v>
      </c>
      <c r="F86" s="183">
        <f>('TIE-OUT'!P86+'TIE-OUT'!R86)+(RECLASS!P86+RECLASS!R86)</f>
        <v>0</v>
      </c>
      <c r="G86" s="183">
        <f>('TIE-OUT'!Q86+'TIE-OUT'!S86)+(RECLASS!Q86+RECLASS!S86)</f>
        <v>7896533.9199999999</v>
      </c>
      <c r="H86" s="183">
        <f>'TX-EGM-GL'!H86+'TX-HPL-GL '!H86</f>
        <v>0</v>
      </c>
      <c r="I86" s="183">
        <f>'TX-EGM-GL'!I86+'TX-HPL-GL '!I86</f>
        <v>0</v>
      </c>
      <c r="J86" s="183">
        <f>'TX-EGM-GL'!J86+'TX-HPL-GL '!J86</f>
        <v>0</v>
      </c>
      <c r="K86" s="183">
        <f>'TX-EGM-GL'!K86+'TX-HPL-GL '!K86</f>
        <v>0</v>
      </c>
      <c r="L86" s="183">
        <f>'TX-EGM-GL'!L86+'TX-HPL-GL '!L86</f>
        <v>0</v>
      </c>
      <c r="M86" s="183">
        <f>'TX-EGM-GL'!M86+'TX-HPL-GL '!M86</f>
        <v>3800000</v>
      </c>
      <c r="N86" s="183">
        <f>'TX-EGM-GL'!N86+'TX-HPL-GL '!N86</f>
        <v>0</v>
      </c>
      <c r="O86" s="183">
        <f>'TX-EGM-GL'!O86+'TX-HPL-GL '!O86</f>
        <v>0</v>
      </c>
      <c r="P86" s="183">
        <f>'TX-EGM-GL'!P86+'TX-HPL-GL '!P86</f>
        <v>0</v>
      </c>
      <c r="Q86" s="183">
        <f>'TX-EGM-GL'!Q86+'TX-HPL-GL '!Q86</f>
        <v>0</v>
      </c>
      <c r="R86" s="183">
        <f>'TX-EGM-GL'!R86+'TX-HPL-GL '!R86</f>
        <v>0</v>
      </c>
      <c r="S86" s="183">
        <f>'TX-EGM-GL'!S86+'TX-HPL-GL '!S86</f>
        <v>0</v>
      </c>
      <c r="T86" s="183">
        <f>'TX-EGM-GL'!T86+'TX-HPL-GL '!T86</f>
        <v>0</v>
      </c>
      <c r="U86" s="183">
        <f>'TX-EGM-GL'!U86+'TX-HPL-GL '!U86</f>
        <v>0</v>
      </c>
      <c r="V86" s="183">
        <f>'TX-EGM-GL'!V86+'TX-HPL-GL '!V86</f>
        <v>0</v>
      </c>
      <c r="W86" s="183">
        <f>'TX-EGM-GL'!W86+'TX-HPL-GL '!W86</f>
        <v>0</v>
      </c>
      <c r="X86" s="183">
        <f>'TX-EGM-GL'!X86+'TX-HPL-GL '!X86</f>
        <v>0</v>
      </c>
      <c r="Y86" s="183">
        <f>'TX-EGM-GL'!Y86+'TX-HPL-GL '!Y86</f>
        <v>0</v>
      </c>
      <c r="Z86" s="183">
        <f>'TX-EGM-GL'!Z86+'TX-HPL-GL '!Z86</f>
        <v>0</v>
      </c>
      <c r="AA86" s="183">
        <f>'TX-EGM-GL'!AA86+'TX-HPL-GL '!AA86</f>
        <v>0</v>
      </c>
      <c r="AB86" s="183">
        <f>'TX-EGM-GL'!AB86+'TX-HPL-GL '!AB86</f>
        <v>0</v>
      </c>
      <c r="AC86" s="183">
        <f>'TX-EGM-GL'!AC86+'TX-HPL-GL '!AC86</f>
        <v>0</v>
      </c>
      <c r="AD86" s="183">
        <f>'TX-EGM-GL'!AD86+'TX-HPL-GL '!AD86</f>
        <v>0</v>
      </c>
      <c r="AE86" s="183">
        <f>'TX-EGM-GL'!AE86+'TX-HPL-GL '!AE86</f>
        <v>0</v>
      </c>
      <c r="AF86" s="183">
        <f>'TX-EGM-GL'!AL86+'TX-HPL-GL '!AL86</f>
        <v>0</v>
      </c>
      <c r="AG86" s="183">
        <f>'TX-EGM-GL'!AM86+'TX-HPL-GL '!AM86</f>
        <v>0</v>
      </c>
      <c r="AH86" s="183">
        <f>'TX-EGM-GL'!AP86+'TX-HPL-GL '!AP86</f>
        <v>0</v>
      </c>
      <c r="AI86" s="183">
        <f>'TX-EGM-GL'!AQ86+'TX-HPL-GL '!AQ86</f>
        <v>0</v>
      </c>
      <c r="AJ86" s="183">
        <f>'TX-EGM-GL'!AT86+'TX-HPL-GL '!AT86</f>
        <v>0</v>
      </c>
      <c r="AK86" s="183">
        <f>'TX-EGM-GL'!AU86+'TX-HPL-GL '!AU86</f>
        <v>0</v>
      </c>
      <c r="AL86" s="183">
        <f>'TX-EGM-GL'!AV86+'TX-HPL-GL '!AV86</f>
        <v>0</v>
      </c>
      <c r="AM86" s="183">
        <f>'TX-EGM-GL'!AW86+'TX-HPL-GL '!AW86</f>
        <v>0</v>
      </c>
      <c r="AN86" s="183">
        <f>'TX-EGM-GL'!AX86+'TX-HPL-GL '!AX86</f>
        <v>0</v>
      </c>
      <c r="AO86" s="183">
        <f>'TX-EGM-GL'!AY86+'TX-HPL-GL '!AY86</f>
        <v>0</v>
      </c>
      <c r="AP86" s="183">
        <f>'TX-EGM-GL'!AZ86+'TX-HPL-GL '!AZ86</f>
        <v>0</v>
      </c>
      <c r="AQ86" s="183">
        <f>'TX-EGM-GL'!BA86+'TX-HPL-GL '!BA86</f>
        <v>0</v>
      </c>
      <c r="AR86" s="183">
        <f>'TX-EGM-GL'!BB86+'TX-HPL-GL '!BB86</f>
        <v>0</v>
      </c>
      <c r="AS86" s="183">
        <f>'TX-EGM-GL'!BC86+'TX-HPL-GL '!BC86</f>
        <v>0</v>
      </c>
    </row>
    <row r="87" spans="1:77" s="3" customFormat="1" x14ac:dyDescent="0.2">
      <c r="A87" s="182"/>
      <c r="C87" s="10" t="s">
        <v>75</v>
      </c>
      <c r="D87" s="184">
        <f t="shared" si="48"/>
        <v>0</v>
      </c>
      <c r="E87" s="184">
        <f t="shared" si="48"/>
        <v>0</v>
      </c>
      <c r="F87" s="184">
        <f>('TIE-OUT'!P87+'TIE-OUT'!R87)+(RECLASS!P87+RECLASS!R87)</f>
        <v>0</v>
      </c>
      <c r="G87" s="184">
        <f>('TIE-OUT'!Q87+'TIE-OUT'!S87)+(RECLASS!Q87+RECLASS!S87)</f>
        <v>0</v>
      </c>
      <c r="H87" s="184">
        <f>'TX-EGM-GL'!H87+'TX-HPL-GL '!H87</f>
        <v>0</v>
      </c>
      <c r="I87" s="184">
        <f>'TX-EGM-GL'!I87+'TX-HPL-GL '!I87</f>
        <v>0</v>
      </c>
      <c r="J87" s="184">
        <f>'TX-EGM-GL'!J87+'TX-HPL-GL '!J87</f>
        <v>0</v>
      </c>
      <c r="K87" s="184">
        <f>'TX-EGM-GL'!K87+'TX-HPL-GL '!K87</f>
        <v>0</v>
      </c>
      <c r="L87" s="184">
        <f>'TX-EGM-GL'!L87+'TX-HPL-GL '!L87</f>
        <v>0</v>
      </c>
      <c r="M87" s="184">
        <f>'TX-EGM-GL'!M87+'TX-HPL-GL '!M87</f>
        <v>0</v>
      </c>
      <c r="N87" s="184">
        <f>'TX-EGM-GL'!N87+'TX-HPL-GL '!N87</f>
        <v>0</v>
      </c>
      <c r="O87" s="184">
        <f>'TX-EGM-GL'!O87+'TX-HPL-GL '!O87</f>
        <v>0</v>
      </c>
      <c r="P87" s="184">
        <f>'TX-EGM-GL'!P87+'TX-HPL-GL '!P87</f>
        <v>0</v>
      </c>
      <c r="Q87" s="184">
        <f>'TX-EGM-GL'!Q87+'TX-HPL-GL '!Q87</f>
        <v>0</v>
      </c>
      <c r="R87" s="184">
        <f>'TX-EGM-GL'!R87+'TX-HPL-GL '!R87</f>
        <v>0</v>
      </c>
      <c r="S87" s="184">
        <f>'TX-EGM-GL'!S87+'TX-HPL-GL '!S87</f>
        <v>0</v>
      </c>
      <c r="T87" s="184">
        <f>'TX-EGM-GL'!T87+'TX-HPL-GL '!T87</f>
        <v>0</v>
      </c>
      <c r="U87" s="184">
        <f>'TX-EGM-GL'!U87+'TX-HPL-GL '!U87</f>
        <v>0</v>
      </c>
      <c r="V87" s="184">
        <f>'TX-EGM-GL'!V87+'TX-HPL-GL '!V87</f>
        <v>0</v>
      </c>
      <c r="W87" s="184">
        <f>'TX-EGM-GL'!W87+'TX-HPL-GL '!W87</f>
        <v>0</v>
      </c>
      <c r="X87" s="184">
        <f>'TX-EGM-GL'!X87+'TX-HPL-GL '!X87</f>
        <v>0</v>
      </c>
      <c r="Y87" s="184">
        <f>'TX-EGM-GL'!Y87+'TX-HPL-GL '!Y87</f>
        <v>0</v>
      </c>
      <c r="Z87" s="184">
        <f>'TX-EGM-GL'!Z87+'TX-HPL-GL '!Z87</f>
        <v>0</v>
      </c>
      <c r="AA87" s="184">
        <f>'TX-EGM-GL'!AA87+'TX-HPL-GL '!AA87</f>
        <v>0</v>
      </c>
      <c r="AB87" s="184">
        <f>'TX-EGM-GL'!AB87+'TX-HPL-GL '!AB87</f>
        <v>0</v>
      </c>
      <c r="AC87" s="184">
        <f>'TX-EGM-GL'!AC87+'TX-HPL-GL '!AC87</f>
        <v>0</v>
      </c>
      <c r="AD87" s="184">
        <f>'TX-EGM-GL'!AD87+'TX-HPL-GL '!AD87</f>
        <v>0</v>
      </c>
      <c r="AE87" s="184">
        <f>'TX-EGM-GL'!AE87+'TX-HPL-GL '!AE87</f>
        <v>0</v>
      </c>
      <c r="AF87" s="184">
        <f>'TX-EGM-GL'!AL87+'TX-HPL-GL '!AL87</f>
        <v>0</v>
      </c>
      <c r="AG87" s="184">
        <f>'TX-EGM-GL'!AM87+'TX-HPL-GL '!AM87</f>
        <v>0</v>
      </c>
      <c r="AH87" s="184">
        <f>'TX-EGM-GL'!AP87+'TX-HPL-GL '!AP87</f>
        <v>0</v>
      </c>
      <c r="AI87" s="184">
        <f>'TX-EGM-GL'!AQ87+'TX-HPL-GL '!AQ87</f>
        <v>0</v>
      </c>
      <c r="AJ87" s="184">
        <f>'TX-EGM-GL'!AT87+'TX-HPL-GL '!AT87</f>
        <v>0</v>
      </c>
      <c r="AK87" s="184">
        <f>'TX-EGM-GL'!AU87+'TX-HPL-GL '!AU87</f>
        <v>0</v>
      </c>
      <c r="AL87" s="184">
        <f>'TX-EGM-GL'!AV87+'TX-HPL-GL '!AV87</f>
        <v>0</v>
      </c>
      <c r="AM87" s="184">
        <f>'TX-EGM-GL'!AW87+'TX-HPL-GL '!AW87</f>
        <v>0</v>
      </c>
      <c r="AN87" s="184">
        <f>'TX-EGM-GL'!AX87+'TX-HPL-GL '!AX87</f>
        <v>0</v>
      </c>
      <c r="AO87" s="184">
        <f>'TX-EGM-GL'!AY87+'TX-HPL-GL '!AY87</f>
        <v>0</v>
      </c>
      <c r="AP87" s="184">
        <f>'TX-EGM-GL'!AZ87+'TX-HPL-GL '!AZ87</f>
        <v>0</v>
      </c>
      <c r="AQ87" s="184">
        <f>'TX-EGM-GL'!BA87+'TX-HPL-GL '!BA87</f>
        <v>0</v>
      </c>
      <c r="AR87" s="184">
        <f>'TX-EGM-GL'!BB87+'TX-HPL-GL '!BB87</f>
        <v>0</v>
      </c>
      <c r="AS87" s="184">
        <f>'TX-EGM-GL'!BC87+'TX-HPL-GL '!BC87</f>
        <v>0</v>
      </c>
    </row>
    <row r="88" spans="1:77" s="3" customFormat="1" x14ac:dyDescent="0.2">
      <c r="A88" s="182"/>
      <c r="C88" s="10" t="s">
        <v>76</v>
      </c>
      <c r="D88" s="185">
        <f t="shared" si="48"/>
        <v>0</v>
      </c>
      <c r="E88" s="185">
        <f t="shared" si="48"/>
        <v>-11438300</v>
      </c>
      <c r="F88" s="185">
        <f>('TIE-OUT'!P88+'TIE-OUT'!R88)+(RECLASS!P88+RECLASS!R88)</f>
        <v>0</v>
      </c>
      <c r="G88" s="185">
        <f>('TIE-OUT'!Q88+'TIE-OUT'!S88)+(RECLASS!Q88+RECLASS!S88)</f>
        <v>-11438300</v>
      </c>
      <c r="H88" s="185">
        <f>'TX-EGM-GL'!H88+'TX-HPL-GL '!H88</f>
        <v>0</v>
      </c>
      <c r="I88" s="185">
        <f>'TX-EGM-GL'!I88+'TX-HPL-GL '!I88</f>
        <v>0</v>
      </c>
      <c r="J88" s="185">
        <f>'TX-EGM-GL'!J88+'TX-HPL-GL '!J88</f>
        <v>0</v>
      </c>
      <c r="K88" s="185">
        <f>'TX-EGM-GL'!K88+'TX-HPL-GL '!K88</f>
        <v>0</v>
      </c>
      <c r="L88" s="185">
        <f>'TX-EGM-GL'!L88+'TX-HPL-GL '!L88</f>
        <v>0</v>
      </c>
      <c r="M88" s="185">
        <f>'TX-EGM-GL'!M88+'TX-HPL-GL '!M88</f>
        <v>0</v>
      </c>
      <c r="N88" s="185">
        <f>'TX-EGM-GL'!N88+'TX-HPL-GL '!N88</f>
        <v>0</v>
      </c>
      <c r="O88" s="185">
        <f>'TX-EGM-GL'!O88+'TX-HPL-GL '!O88</f>
        <v>0</v>
      </c>
      <c r="P88" s="185">
        <f>'TX-EGM-GL'!P88+'TX-HPL-GL '!P88</f>
        <v>0</v>
      </c>
      <c r="Q88" s="185">
        <f>'TX-EGM-GL'!Q88+'TX-HPL-GL '!Q88</f>
        <v>0</v>
      </c>
      <c r="R88" s="185">
        <f>'TX-EGM-GL'!R88+'TX-HPL-GL '!R88</f>
        <v>0</v>
      </c>
      <c r="S88" s="185">
        <f>'TX-EGM-GL'!S88+'TX-HPL-GL '!S88</f>
        <v>0</v>
      </c>
      <c r="T88" s="185">
        <f>'TX-EGM-GL'!T88+'TX-HPL-GL '!T88</f>
        <v>0</v>
      </c>
      <c r="U88" s="185">
        <f>'TX-EGM-GL'!U88+'TX-HPL-GL '!U88</f>
        <v>0</v>
      </c>
      <c r="V88" s="185">
        <f>'TX-EGM-GL'!V88+'TX-HPL-GL '!V88</f>
        <v>0</v>
      </c>
      <c r="W88" s="185">
        <f>'TX-EGM-GL'!W88+'TX-HPL-GL '!W88</f>
        <v>0</v>
      </c>
      <c r="X88" s="185">
        <f>'TX-EGM-GL'!X88+'TX-HPL-GL '!X88</f>
        <v>0</v>
      </c>
      <c r="Y88" s="185">
        <f>'TX-EGM-GL'!Y88+'TX-HPL-GL '!Y88</f>
        <v>0</v>
      </c>
      <c r="Z88" s="185">
        <f>'TX-EGM-GL'!Z88+'TX-HPL-GL '!Z88</f>
        <v>0</v>
      </c>
      <c r="AA88" s="185">
        <f>'TX-EGM-GL'!AA88+'TX-HPL-GL '!AA88</f>
        <v>0</v>
      </c>
      <c r="AB88" s="185">
        <f>'TX-EGM-GL'!AB88+'TX-HPL-GL '!AB88</f>
        <v>0</v>
      </c>
      <c r="AC88" s="185">
        <f>'TX-EGM-GL'!AC88+'TX-HPL-GL '!AC88</f>
        <v>0</v>
      </c>
      <c r="AD88" s="185">
        <f>'TX-EGM-GL'!AD88+'TX-HPL-GL '!AD88</f>
        <v>0</v>
      </c>
      <c r="AE88" s="185">
        <f>'TX-EGM-GL'!AE88+'TX-HPL-GL '!AE88</f>
        <v>0</v>
      </c>
      <c r="AF88" s="185">
        <f>'TX-EGM-GL'!AL88+'TX-HPL-GL '!AL88</f>
        <v>0</v>
      </c>
      <c r="AG88" s="185">
        <f>'TX-EGM-GL'!AM88+'TX-HPL-GL '!AM88</f>
        <v>0</v>
      </c>
      <c r="AH88" s="185">
        <f>'TX-EGM-GL'!AP88+'TX-HPL-GL '!AP88</f>
        <v>0</v>
      </c>
      <c r="AI88" s="185">
        <f>'TX-EGM-GL'!AQ88+'TX-HPL-GL '!AQ88</f>
        <v>0</v>
      </c>
      <c r="AJ88" s="185">
        <f>'TX-EGM-GL'!AT88+'TX-HPL-GL '!AT88</f>
        <v>0</v>
      </c>
      <c r="AK88" s="185">
        <f>'TX-EGM-GL'!AU88+'TX-HPL-GL '!AU88</f>
        <v>0</v>
      </c>
      <c r="AL88" s="185">
        <f>'TX-EGM-GL'!AV88+'TX-HPL-GL '!AV88</f>
        <v>0</v>
      </c>
      <c r="AM88" s="185">
        <f>'TX-EGM-GL'!AW88+'TX-HPL-GL '!AW88</f>
        <v>0</v>
      </c>
      <c r="AN88" s="185">
        <f>'TX-EGM-GL'!AX88+'TX-HPL-GL '!AX88</f>
        <v>0</v>
      </c>
      <c r="AO88" s="185">
        <f>'TX-EGM-GL'!AY88+'TX-HPL-GL '!AY88</f>
        <v>0</v>
      </c>
      <c r="AP88" s="185">
        <f>'TX-EGM-GL'!AZ88+'TX-HPL-GL '!AZ88</f>
        <v>0</v>
      </c>
      <c r="AQ88" s="185">
        <f>'TX-EGM-GL'!BA88+'TX-HPL-GL '!BA88</f>
        <v>0</v>
      </c>
      <c r="AR88" s="185">
        <f>'TX-EGM-GL'!BB88+'TX-HPL-GL '!BB88</f>
        <v>0</v>
      </c>
      <c r="AS88" s="185">
        <f>'TX-EGM-GL'!BC88+'TX-HPL-GL '!BC88</f>
        <v>0</v>
      </c>
    </row>
    <row r="89" spans="1:77" s="44" customFormat="1" ht="20.25" customHeight="1" x14ac:dyDescent="0.2">
      <c r="A89" s="191"/>
      <c r="B89" s="192"/>
      <c r="C89" s="188" t="s">
        <v>192</v>
      </c>
      <c r="D89" s="195">
        <f>SUM(D86:D88)</f>
        <v>0</v>
      </c>
      <c r="E89" s="195">
        <f t="shared" ref="E89:AE89" si="49">SUM(E86:E88)</f>
        <v>258233.91999999993</v>
      </c>
      <c r="F89" s="195">
        <f t="shared" si="49"/>
        <v>0</v>
      </c>
      <c r="G89" s="195">
        <f t="shared" si="49"/>
        <v>-3541766.08</v>
      </c>
      <c r="H89" s="195">
        <f t="shared" si="49"/>
        <v>0</v>
      </c>
      <c r="I89" s="195">
        <f t="shared" si="49"/>
        <v>0</v>
      </c>
      <c r="J89" s="195">
        <f t="shared" si="49"/>
        <v>0</v>
      </c>
      <c r="K89" s="195">
        <f t="shared" si="49"/>
        <v>0</v>
      </c>
      <c r="L89" s="195">
        <f t="shared" si="49"/>
        <v>0</v>
      </c>
      <c r="M89" s="195">
        <f t="shared" si="49"/>
        <v>3800000</v>
      </c>
      <c r="N89" s="195">
        <f t="shared" si="49"/>
        <v>0</v>
      </c>
      <c r="O89" s="195">
        <f t="shared" si="49"/>
        <v>0</v>
      </c>
      <c r="P89" s="195">
        <f t="shared" si="49"/>
        <v>0</v>
      </c>
      <c r="Q89" s="195">
        <f t="shared" si="49"/>
        <v>0</v>
      </c>
      <c r="R89" s="195">
        <f t="shared" si="49"/>
        <v>0</v>
      </c>
      <c r="S89" s="195">
        <f t="shared" si="49"/>
        <v>0</v>
      </c>
      <c r="T89" s="195">
        <f t="shared" si="49"/>
        <v>0</v>
      </c>
      <c r="U89" s="195">
        <f t="shared" si="49"/>
        <v>0</v>
      </c>
      <c r="V89" s="195">
        <f t="shared" si="49"/>
        <v>0</v>
      </c>
      <c r="W89" s="195">
        <f t="shared" si="49"/>
        <v>0</v>
      </c>
      <c r="X89" s="195">
        <f t="shared" si="49"/>
        <v>0</v>
      </c>
      <c r="Y89" s="195">
        <f t="shared" si="49"/>
        <v>0</v>
      </c>
      <c r="Z89" s="195">
        <f t="shared" si="49"/>
        <v>0</v>
      </c>
      <c r="AA89" s="195">
        <f t="shared" si="49"/>
        <v>0</v>
      </c>
      <c r="AB89" s="195">
        <f t="shared" si="49"/>
        <v>0</v>
      </c>
      <c r="AC89" s="195">
        <f t="shared" si="49"/>
        <v>0</v>
      </c>
      <c r="AD89" s="195">
        <f t="shared" si="49"/>
        <v>0</v>
      </c>
      <c r="AE89" s="195">
        <f t="shared" si="49"/>
        <v>0</v>
      </c>
      <c r="AF89" s="195">
        <f t="shared" ref="AF89:AK89" si="50">SUM(AF86:AF88)</f>
        <v>0</v>
      </c>
      <c r="AG89" s="195">
        <f t="shared" si="50"/>
        <v>0</v>
      </c>
      <c r="AH89" s="195">
        <f t="shared" si="50"/>
        <v>0</v>
      </c>
      <c r="AI89" s="195">
        <f t="shared" si="50"/>
        <v>0</v>
      </c>
      <c r="AJ89" s="195">
        <f t="shared" si="50"/>
        <v>0</v>
      </c>
      <c r="AK89" s="195">
        <f t="shared" si="50"/>
        <v>0</v>
      </c>
      <c r="AL89" s="195">
        <f t="shared" ref="AL89:AQ89" si="51">SUM(AL86:AL88)</f>
        <v>0</v>
      </c>
      <c r="AM89" s="195">
        <f t="shared" si="51"/>
        <v>0</v>
      </c>
      <c r="AN89" s="195">
        <f t="shared" si="51"/>
        <v>0</v>
      </c>
      <c r="AO89" s="195">
        <f t="shared" si="51"/>
        <v>0</v>
      </c>
      <c r="AP89" s="195">
        <f t="shared" si="51"/>
        <v>0</v>
      </c>
      <c r="AQ89" s="195">
        <f t="shared" si="51"/>
        <v>0</v>
      </c>
      <c r="AR89" s="195">
        <f>SUM(AR86:AR88)</f>
        <v>0</v>
      </c>
      <c r="AS89" s="195">
        <f>SUM(AS86:AS88)</f>
        <v>0</v>
      </c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</row>
    <row r="90" spans="1:77" x14ac:dyDescent="0.2">
      <c r="A90" s="4"/>
      <c r="B90" s="3"/>
      <c r="F90" s="31"/>
      <c r="G90" s="31"/>
      <c r="H90" s="31"/>
      <c r="I90" s="31"/>
    </row>
    <row r="91" spans="1:77" s="44" customFormat="1" ht="20.25" customHeight="1" x14ac:dyDescent="0.2">
      <c r="A91" s="191"/>
      <c r="B91" s="192"/>
      <c r="C91" s="188" t="s">
        <v>193</v>
      </c>
      <c r="D91" s="195">
        <f>+D82+D89</f>
        <v>0</v>
      </c>
      <c r="E91" s="195">
        <f t="shared" ref="E91:AE91" si="52">+E82+E89</f>
        <v>1717385.009000021</v>
      </c>
      <c r="F91" s="195">
        <f t="shared" si="52"/>
        <v>0</v>
      </c>
      <c r="G91" s="195">
        <f t="shared" si="52"/>
        <v>-9412450.4400000013</v>
      </c>
      <c r="H91" s="195">
        <f t="shared" si="52"/>
        <v>0</v>
      </c>
      <c r="I91" s="195">
        <f t="shared" si="52"/>
        <v>7944499.0139999986</v>
      </c>
      <c r="J91" s="195">
        <f t="shared" si="52"/>
        <v>0</v>
      </c>
      <c r="K91" s="195">
        <f t="shared" si="52"/>
        <v>-2214109.8383999979</v>
      </c>
      <c r="L91" s="195">
        <f t="shared" si="52"/>
        <v>0</v>
      </c>
      <c r="M91" s="195">
        <f t="shared" si="52"/>
        <v>2503668.469</v>
      </c>
      <c r="N91" s="195">
        <f t="shared" si="52"/>
        <v>0</v>
      </c>
      <c r="O91" s="195">
        <f t="shared" si="52"/>
        <v>-8565.747799998544</v>
      </c>
      <c r="P91" s="195">
        <f t="shared" si="52"/>
        <v>0</v>
      </c>
      <c r="Q91" s="195">
        <f t="shared" si="52"/>
        <v>93499.253999999986</v>
      </c>
      <c r="R91" s="195">
        <f t="shared" si="52"/>
        <v>0</v>
      </c>
      <c r="S91" s="195">
        <f t="shared" si="52"/>
        <v>906664.7</v>
      </c>
      <c r="T91" s="195">
        <f t="shared" si="52"/>
        <v>0</v>
      </c>
      <c r="U91" s="195">
        <f t="shared" si="52"/>
        <v>528362.61080000014</v>
      </c>
      <c r="V91" s="195">
        <f t="shared" si="52"/>
        <v>0</v>
      </c>
      <c r="W91" s="195">
        <f t="shared" si="52"/>
        <v>1020334.5828</v>
      </c>
      <c r="X91" s="195">
        <f t="shared" si="52"/>
        <v>0</v>
      </c>
      <c r="Y91" s="195">
        <f t="shared" si="52"/>
        <v>-25412.809400000227</v>
      </c>
      <c r="Z91" s="195">
        <f t="shared" si="52"/>
        <v>0</v>
      </c>
      <c r="AA91" s="195">
        <f t="shared" si="52"/>
        <v>370620.05599999992</v>
      </c>
      <c r="AB91" s="195">
        <f t="shared" si="52"/>
        <v>0</v>
      </c>
      <c r="AC91" s="195">
        <f t="shared" si="52"/>
        <v>-37336.479999999938</v>
      </c>
      <c r="AD91" s="195">
        <f t="shared" si="52"/>
        <v>0</v>
      </c>
      <c r="AE91" s="195">
        <f t="shared" si="52"/>
        <v>31591.702000000005</v>
      </c>
      <c r="AF91" s="195">
        <f t="shared" ref="AF91:AK91" si="53">+AF82+AF89</f>
        <v>0</v>
      </c>
      <c r="AG91" s="195">
        <f t="shared" si="53"/>
        <v>17348.136000000002</v>
      </c>
      <c r="AH91" s="195">
        <f t="shared" si="53"/>
        <v>0</v>
      </c>
      <c r="AI91" s="195">
        <f t="shared" si="53"/>
        <v>-1328.1999999999975</v>
      </c>
      <c r="AJ91" s="195">
        <f t="shared" si="53"/>
        <v>0</v>
      </c>
      <c r="AK91" s="195">
        <f t="shared" si="53"/>
        <v>0</v>
      </c>
      <c r="AL91" s="195">
        <f t="shared" ref="AL91:AQ91" si="54">+AL82+AL89</f>
        <v>0</v>
      </c>
      <c r="AM91" s="195">
        <f t="shared" si="54"/>
        <v>0</v>
      </c>
      <c r="AN91" s="195">
        <f t="shared" si="54"/>
        <v>0</v>
      </c>
      <c r="AO91" s="195">
        <f t="shared" si="54"/>
        <v>0</v>
      </c>
      <c r="AP91" s="195">
        <f t="shared" si="54"/>
        <v>0</v>
      </c>
      <c r="AQ91" s="195">
        <f t="shared" si="54"/>
        <v>0</v>
      </c>
      <c r="AR91" s="195">
        <f>+AR82+AR89</f>
        <v>0</v>
      </c>
      <c r="AS91" s="195">
        <f>+AS82+AS89</f>
        <v>0</v>
      </c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S187"/>
  <sheetViews>
    <sheetView zoomScale="75" workbookViewId="0">
      <pane xSplit="3" ySplit="9" topLeftCell="AK10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S11" activeCellId="2" sqref="AS35 AR19:AS19 AR11:AS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27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31438814</v>
      </c>
      <c r="E11" s="38">
        <f t="shared" si="0"/>
        <v>51888393.489999995</v>
      </c>
      <c r="F11" s="60">
        <f>'TIE-OUT'!N11+RECLASS!N11</f>
        <v>0</v>
      </c>
      <c r="G11" s="38">
        <f>'TIE-OUT'!O11+RECLASS!O11</f>
        <v>0</v>
      </c>
      <c r="H11" s="133">
        <f>+Actuals!E284</f>
        <v>28983303</v>
      </c>
      <c r="I11" s="134">
        <f>+Actuals!F284</f>
        <v>48283754.689999998</v>
      </c>
      <c r="J11" s="133">
        <f>+Actuals!G284</f>
        <v>2462685</v>
      </c>
      <c r="K11" s="134">
        <f>+Actuals!H284</f>
        <v>2936027.86</v>
      </c>
      <c r="L11" s="133">
        <f>+Actuals!I284</f>
        <v>20019</v>
      </c>
      <c r="M11" s="134">
        <f>+Actuals!J284</f>
        <v>425254.37</v>
      </c>
      <c r="N11" s="133">
        <f>+Actuals!K284</f>
        <v>-15816</v>
      </c>
      <c r="O11" s="134">
        <f>+Actuals!L284</f>
        <v>4634.72</v>
      </c>
      <c r="P11" s="133">
        <f>+Actuals!M284</f>
        <v>0</v>
      </c>
      <c r="Q11" s="134">
        <f>+Actuals!N284</f>
        <v>0</v>
      </c>
      <c r="R11" s="133">
        <f>+Actuals!O284</f>
        <v>0</v>
      </c>
      <c r="S11" s="134">
        <f>+Actuals!P284</f>
        <v>0</v>
      </c>
      <c r="T11" s="133">
        <f>+Actuals!Q284</f>
        <v>0</v>
      </c>
      <c r="U11" s="134">
        <f>+Actuals!R284</f>
        <v>0</v>
      </c>
      <c r="V11" s="133">
        <f>+Actuals!S284</f>
        <v>0</v>
      </c>
      <c r="W11" s="134">
        <f>+Actuals!T284</f>
        <v>0</v>
      </c>
      <c r="X11" s="133">
        <f>+Actuals!U284</f>
        <v>0</v>
      </c>
      <c r="Y11" s="134">
        <f>+Actuals!V284</f>
        <v>0</v>
      </c>
      <c r="Z11" s="133">
        <f>+Actuals!W284</f>
        <v>0</v>
      </c>
      <c r="AA11" s="134">
        <f>+Actuals!X284</f>
        <v>0</v>
      </c>
      <c r="AB11" s="133">
        <f>+Actuals!Y484</f>
        <v>0</v>
      </c>
      <c r="AC11" s="134">
        <f>+Actuals!Z484</f>
        <v>0</v>
      </c>
      <c r="AD11" s="133">
        <f>+Actuals!AA484</f>
        <v>0</v>
      </c>
      <c r="AE11" s="134">
        <f>+Actuals!AB484</f>
        <v>0</v>
      </c>
      <c r="AF11" s="133">
        <f>+Actuals!AC484</f>
        <v>0</v>
      </c>
      <c r="AG11" s="172">
        <f>+Actuals!AD484+251640</f>
        <v>251640</v>
      </c>
      <c r="AH11" s="133">
        <f>+Actuals!AE484</f>
        <v>0</v>
      </c>
      <c r="AI11" s="172">
        <f>+Actuals!AF484</f>
        <v>0</v>
      </c>
      <c r="AJ11" s="133">
        <f>+Actuals!AG484</f>
        <v>0</v>
      </c>
      <c r="AK11" s="172">
        <f>+Actuals!AH484</f>
        <v>0</v>
      </c>
      <c r="AL11" s="133">
        <f>+Actuals!AI484</f>
        <v>0</v>
      </c>
      <c r="AM11" s="172">
        <f>+Actuals!AJ484</f>
        <v>0</v>
      </c>
      <c r="AN11" s="133">
        <f>+Actuals!AK484</f>
        <v>0</v>
      </c>
      <c r="AO11" s="172">
        <f>+Actuals!AL484</f>
        <v>0</v>
      </c>
      <c r="AP11" s="133">
        <v>-11377</v>
      </c>
      <c r="AQ11" s="172">
        <v>-12918.15</v>
      </c>
      <c r="AR11" s="133"/>
      <c r="AS11" s="172"/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-1595835.1199999999</v>
      </c>
      <c r="F12" s="60">
        <f>'TIE-OUT'!N12+RECLASS!N12</f>
        <v>0</v>
      </c>
      <c r="G12" s="38">
        <f>'TIE-OUT'!O12+RECLASS!O12</f>
        <v>-1595835.1199999999</v>
      </c>
      <c r="H12" s="133">
        <f>+Actuals!E285</f>
        <v>0</v>
      </c>
      <c r="I12" s="134">
        <v>117163</v>
      </c>
      <c r="J12" s="133">
        <f>+Actuals!G285</f>
        <v>0</v>
      </c>
      <c r="K12" s="172">
        <f>+Actuals!H285-117163</f>
        <v>-117163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+Actuals!Y485</f>
        <v>0</v>
      </c>
      <c r="AC12" s="134">
        <f>+Actuals!Z485</f>
        <v>0</v>
      </c>
      <c r="AD12" s="133">
        <f>+Actuals!AA485</f>
        <v>0</v>
      </c>
      <c r="AE12" s="134">
        <f>+Actuals!AB485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  <c r="AJ12" s="133">
        <f>+Actuals!AG485</f>
        <v>0</v>
      </c>
      <c r="AK12" s="134">
        <f>+Actuals!AH485</f>
        <v>0</v>
      </c>
      <c r="AL12" s="133">
        <f>+Actuals!AI485</f>
        <v>0</v>
      </c>
      <c r="AM12" s="134">
        <f>+Actuals!AJ485</f>
        <v>0</v>
      </c>
      <c r="AN12" s="133">
        <f>+Actuals!AK485</f>
        <v>0</v>
      </c>
      <c r="AO12" s="134">
        <f>+Actuals!AL485</f>
        <v>0</v>
      </c>
      <c r="AP12" s="133">
        <f>+Actuals!AM485</f>
        <v>0</v>
      </c>
      <c r="AQ12" s="134">
        <f>+Actuals!AN485</f>
        <v>0</v>
      </c>
      <c r="AR12" s="133">
        <f>+Actuals!AO485</f>
        <v>0</v>
      </c>
      <c r="AS12" s="134">
        <f>+Actuals!AP485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20321454</v>
      </c>
      <c r="E13" s="38">
        <f t="shared" si="0"/>
        <v>33639475</v>
      </c>
      <c r="F13" s="60">
        <f>'TIE-OUT'!N13+RECLASS!N13</f>
        <v>0</v>
      </c>
      <c r="G13" s="38">
        <f>'TIE-OUT'!O13+RECLASS!O13</f>
        <v>0</v>
      </c>
      <c r="H13" s="133">
        <f>+Actuals!E286</f>
        <v>20321454</v>
      </c>
      <c r="I13" s="134">
        <f>+Actuals!F286</f>
        <v>33639475</v>
      </c>
      <c r="J13" s="133">
        <f>+Actuals!G286</f>
        <v>-116302</v>
      </c>
      <c r="K13" s="134">
        <f>+Actuals!H286</f>
        <v>-191086</v>
      </c>
      <c r="L13" s="133">
        <f>+Actuals!I286</f>
        <v>0</v>
      </c>
      <c r="M13" s="134">
        <f>+Actuals!J286</f>
        <v>0</v>
      </c>
      <c r="N13" s="133">
        <f>+Actuals!K286</f>
        <v>0</v>
      </c>
      <c r="O13" s="134">
        <f>+Actuals!L286</f>
        <v>0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519779</v>
      </c>
      <c r="W13" s="134">
        <f>+Actuals!T286</f>
        <v>863613</v>
      </c>
      <c r="X13" s="133">
        <f>+Actuals!U286</f>
        <v>537792</v>
      </c>
      <c r="Y13" s="134">
        <f>+Actuals!V286</f>
        <v>889893</v>
      </c>
      <c r="Z13" s="133">
        <f>+Actuals!W286</f>
        <v>-941269</v>
      </c>
      <c r="AA13" s="134">
        <f>+Actuals!X286</f>
        <v>-1562420</v>
      </c>
      <c r="AB13" s="133">
        <f>+Actuals!Y486</f>
        <v>941269</v>
      </c>
      <c r="AC13" s="134">
        <f>+Actuals!Z486</f>
        <v>1562420</v>
      </c>
      <c r="AD13" s="133">
        <f>+Actuals!AA486</f>
        <v>0</v>
      </c>
      <c r="AE13" s="134">
        <f>+Actuals!AB486</f>
        <v>0</v>
      </c>
      <c r="AF13" s="133">
        <f>+Actuals!AC486</f>
        <v>-941269</v>
      </c>
      <c r="AG13" s="134">
        <f>+Actuals!AD486</f>
        <v>-1562420</v>
      </c>
      <c r="AH13" s="133">
        <f>+Actuals!AE486</f>
        <v>0</v>
      </c>
      <c r="AI13" s="134">
        <f>+Actuals!AF486</f>
        <v>0</v>
      </c>
      <c r="AJ13" s="133">
        <f>+Actuals!AG486</f>
        <v>0</v>
      </c>
      <c r="AK13" s="134">
        <f>+Actuals!AH486</f>
        <v>0</v>
      </c>
      <c r="AL13" s="133">
        <f>+Actuals!AI486</f>
        <v>0</v>
      </c>
      <c r="AM13" s="134">
        <f>+Actuals!AJ486</f>
        <v>0</v>
      </c>
      <c r="AN13" s="133">
        <f>+Actuals!AK486</f>
        <v>0</v>
      </c>
      <c r="AO13" s="134">
        <f>+Actuals!AL486</f>
        <v>0</v>
      </c>
      <c r="AP13" s="133">
        <f>+Actuals!AM486</f>
        <v>0</v>
      </c>
      <c r="AQ13" s="134">
        <f>+Actuals!AN486</f>
        <v>0</v>
      </c>
      <c r="AR13" s="133">
        <f>+Actuals!AO486</f>
        <v>0</v>
      </c>
      <c r="AS13" s="134">
        <f>+Actuals!AP486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+Actuals!Y487</f>
        <v>0</v>
      </c>
      <c r="AC14" s="134">
        <f>+Actuals!Z487</f>
        <v>0</v>
      </c>
      <c r="AD14" s="133">
        <f>+Actuals!AA487</f>
        <v>0</v>
      </c>
      <c r="AE14" s="134">
        <f>+Actuals!AB487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  <c r="AJ14" s="133">
        <f>+Actuals!AG487</f>
        <v>0</v>
      </c>
      <c r="AK14" s="134">
        <f>+Actuals!AH487</f>
        <v>0</v>
      </c>
      <c r="AL14" s="133">
        <f>+Actuals!AI487</f>
        <v>0</v>
      </c>
      <c r="AM14" s="134">
        <f>+Actuals!AJ487</f>
        <v>0</v>
      </c>
      <c r="AN14" s="133">
        <f>+Actuals!AK487</f>
        <v>0</v>
      </c>
      <c r="AO14" s="134">
        <f>+Actuals!AL487</f>
        <v>0</v>
      </c>
      <c r="AP14" s="133">
        <f>+Actuals!AM487</f>
        <v>0</v>
      </c>
      <c r="AQ14" s="134">
        <f>+Actuals!AN487</f>
        <v>0</v>
      </c>
      <c r="AR14" s="133">
        <f>+Actuals!AO487</f>
        <v>0</v>
      </c>
      <c r="AS14" s="134">
        <f>+Actuals!AP487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-1108737</v>
      </c>
      <c r="F15" s="81">
        <f>'TIE-OUT'!N15+RECLASS!N15</f>
        <v>0</v>
      </c>
      <c r="G15" s="82">
        <f>'TIE-OUT'!O15+RECLASS!O15</f>
        <v>-1108737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+Actuals!Y488</f>
        <v>0</v>
      </c>
      <c r="AC15" s="134">
        <f>+Actuals!Z488</f>
        <v>0</v>
      </c>
      <c r="AD15" s="133">
        <f>+Actuals!AA488</f>
        <v>0</v>
      </c>
      <c r="AE15" s="134">
        <f>+Actuals!AB488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  <c r="AJ15" s="133">
        <f>+Actuals!AG488</f>
        <v>0</v>
      </c>
      <c r="AK15" s="134">
        <f>+Actuals!AH488</f>
        <v>0</v>
      </c>
      <c r="AL15" s="133">
        <f>+Actuals!AI488</f>
        <v>0</v>
      </c>
      <c r="AM15" s="134">
        <f>+Actuals!AJ488</f>
        <v>0</v>
      </c>
      <c r="AN15" s="133">
        <f>+Actuals!AK488</f>
        <v>0</v>
      </c>
      <c r="AO15" s="134">
        <f>+Actuals!AL488</f>
        <v>0</v>
      </c>
      <c r="AP15" s="133">
        <f>+Actuals!AM488</f>
        <v>0</v>
      </c>
      <c r="AQ15" s="134">
        <f>+Actuals!AN488</f>
        <v>0</v>
      </c>
      <c r="AR15" s="133">
        <f>+Actuals!AO488</f>
        <v>0</v>
      </c>
      <c r="AS15" s="134">
        <f>+Actuals!AP488</f>
        <v>0</v>
      </c>
    </row>
    <row r="16" spans="1:45" x14ac:dyDescent="0.2">
      <c r="A16" s="9"/>
      <c r="B16" s="7" t="s">
        <v>34</v>
      </c>
      <c r="C16" s="6"/>
      <c r="D16" s="61">
        <f t="shared" ref="D16:AC16" si="1">SUM(D11:D15)</f>
        <v>51760268</v>
      </c>
      <c r="E16" s="39">
        <f t="shared" si="1"/>
        <v>82823296.370000005</v>
      </c>
      <c r="F16" s="61">
        <f t="shared" si="1"/>
        <v>0</v>
      </c>
      <c r="G16" s="39">
        <f t="shared" si="1"/>
        <v>-2704572.12</v>
      </c>
      <c r="H16" s="61">
        <f t="shared" si="1"/>
        <v>49304757</v>
      </c>
      <c r="I16" s="39">
        <f t="shared" si="1"/>
        <v>82040392.689999998</v>
      </c>
      <c r="J16" s="61">
        <f t="shared" si="1"/>
        <v>2346383</v>
      </c>
      <c r="K16" s="39">
        <f t="shared" si="1"/>
        <v>2627778.86</v>
      </c>
      <c r="L16" s="61">
        <f t="shared" si="1"/>
        <v>20019</v>
      </c>
      <c r="M16" s="39">
        <f t="shared" si="1"/>
        <v>425254.37</v>
      </c>
      <c r="N16" s="61">
        <f t="shared" si="1"/>
        <v>-15816</v>
      </c>
      <c r="O16" s="39">
        <f t="shared" si="1"/>
        <v>4634.72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519779</v>
      </c>
      <c r="W16" s="39">
        <f t="shared" si="1"/>
        <v>863613</v>
      </c>
      <c r="X16" s="61">
        <f t="shared" si="1"/>
        <v>537792</v>
      </c>
      <c r="Y16" s="39">
        <f t="shared" si="1"/>
        <v>889893</v>
      </c>
      <c r="Z16" s="61">
        <f t="shared" si="1"/>
        <v>-941269</v>
      </c>
      <c r="AA16" s="39">
        <f t="shared" si="1"/>
        <v>-1562420</v>
      </c>
      <c r="AB16" s="61">
        <f t="shared" si="1"/>
        <v>941269</v>
      </c>
      <c r="AC16" s="39">
        <f t="shared" si="1"/>
        <v>1562420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-941269</v>
      </c>
      <c r="AG16" s="39">
        <f t="shared" si="2"/>
        <v>-1310780</v>
      </c>
      <c r="AH16" s="61">
        <f t="shared" si="2"/>
        <v>0</v>
      </c>
      <c r="AI16" s="39">
        <f t="shared" si="2"/>
        <v>0</v>
      </c>
      <c r="AJ16" s="61">
        <f t="shared" ref="AJ16:AO16" si="3">SUM(AJ11:AJ15)</f>
        <v>0</v>
      </c>
      <c r="AK16" s="39">
        <f t="shared" si="3"/>
        <v>0</v>
      </c>
      <c r="AL16" s="61">
        <f t="shared" si="3"/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>SUM(AP11:AP15)</f>
        <v>-11377</v>
      </c>
      <c r="AQ16" s="39">
        <f>SUM(AQ11:AQ15)</f>
        <v>-12918.15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SUM(F19,H19,J19,L19,N19,P19,R19,T19,V19,X19,Z19,AB19,AD19,AF19,AH19,AJ19,AL19,AN19,AP19,AR19)</f>
        <v>-34277761</v>
      </c>
      <c r="E19" s="38">
        <f t="shared" si="4"/>
        <v>-53140076.890000001</v>
      </c>
      <c r="F19" s="64">
        <f>'TIE-OUT'!N19+RECLASS!N19</f>
        <v>0</v>
      </c>
      <c r="G19" s="68">
        <f>'TIE-OUT'!O19+RECLASS!O19</f>
        <v>0</v>
      </c>
      <c r="H19" s="133">
        <f>+Actuals!E289</f>
        <v>-33689662</v>
      </c>
      <c r="I19" s="134">
        <f>+Actuals!F289</f>
        <v>-52009118.25</v>
      </c>
      <c r="J19" s="133">
        <f>+Actuals!G289</f>
        <v>-582309</v>
      </c>
      <c r="K19" s="134">
        <f>+Actuals!H289</f>
        <v>-649111.67000000004</v>
      </c>
      <c r="L19" s="133">
        <f>+Actuals!I289</f>
        <v>-2139</v>
      </c>
      <c r="M19" s="134">
        <f>+Actuals!J289</f>
        <v>-4818.92</v>
      </c>
      <c r="N19" s="133">
        <f>+Actuals!K289</f>
        <v>0</v>
      </c>
      <c r="O19" s="134">
        <f>+Actuals!L289</f>
        <v>-159586.64000000001</v>
      </c>
      <c r="P19" s="133">
        <f>+Actuals!M289</f>
        <v>0</v>
      </c>
      <c r="Q19" s="134">
        <f>+Actuals!N289</f>
        <v>-74400</v>
      </c>
      <c r="R19" s="133">
        <f>+Actuals!O289</f>
        <v>0</v>
      </c>
      <c r="S19" s="134">
        <f>+Actuals!P289</f>
        <v>0</v>
      </c>
      <c r="T19" s="133">
        <f>+Actuals!Q289</f>
        <v>-2528</v>
      </c>
      <c r="U19" s="134">
        <f>+Actuals!R289</f>
        <v>-4373.4399999999996</v>
      </c>
      <c r="V19" s="133">
        <f>+Actuals!S289</f>
        <v>-12500</v>
      </c>
      <c r="W19" s="134">
        <f>+Actuals!T289</f>
        <v>-251640.12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+Actuals!Y489</f>
        <v>0</v>
      </c>
      <c r="AC19" s="134">
        <f>+Actuals!Z489</f>
        <v>0</v>
      </c>
      <c r="AD19" s="133">
        <f>+Actuals!AA489</f>
        <v>0</v>
      </c>
      <c r="AE19" s="134">
        <f>+Actuals!AB489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  <c r="AJ19" s="133">
        <f>+Actuals!AG489</f>
        <v>0</v>
      </c>
      <c r="AK19" s="134">
        <f>+Actuals!AH489</f>
        <v>0</v>
      </c>
      <c r="AL19" s="133">
        <f>+Actuals!AI489</f>
        <v>0</v>
      </c>
      <c r="AM19" s="134">
        <f>+Actuals!AJ489</f>
        <v>0</v>
      </c>
      <c r="AN19" s="133">
        <f>+Actuals!AK489</f>
        <v>0</v>
      </c>
      <c r="AO19" s="134">
        <f>+Actuals!AL489</f>
        <v>0</v>
      </c>
      <c r="AP19" s="133">
        <v>11377</v>
      </c>
      <c r="AQ19" s="134">
        <v>12972.15</v>
      </c>
      <c r="AR19" s="133"/>
      <c r="AS19" s="134"/>
    </row>
    <row r="20" spans="1:4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167205.31</v>
      </c>
      <c r="F20" s="60">
        <f>'TIE-OUT'!N20+RECLASS!N20</f>
        <v>0</v>
      </c>
      <c r="G20" s="38">
        <f>'TIE-OUT'!O20+RECLASS!O20</f>
        <v>167205.31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</f>
        <v>0</v>
      </c>
      <c r="L20" s="133">
        <f>+Actuals!I290</f>
        <v>0</v>
      </c>
      <c r="M20" s="134">
        <f>+Actuals!J290</f>
        <v>0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+Actuals!Y490</f>
        <v>0</v>
      </c>
      <c r="AC20" s="165">
        <v>0</v>
      </c>
      <c r="AD20" s="133">
        <f>+Actuals!AA490</f>
        <v>0</v>
      </c>
      <c r="AE20" s="134">
        <v>0</v>
      </c>
      <c r="AF20" s="133">
        <f>+Actuals!AC490</f>
        <v>0</v>
      </c>
      <c r="AG20" s="134">
        <v>0</v>
      </c>
      <c r="AH20" s="133">
        <f>+Actuals!AE490</f>
        <v>0</v>
      </c>
      <c r="AI20" s="134">
        <v>0</v>
      </c>
      <c r="AJ20" s="133">
        <f>+Actuals!AG490</f>
        <v>0</v>
      </c>
      <c r="AK20" s="134">
        <v>0</v>
      </c>
      <c r="AL20" s="133">
        <f>+Actuals!AI490</f>
        <v>0</v>
      </c>
      <c r="AM20" s="134">
        <v>0</v>
      </c>
      <c r="AN20" s="133">
        <f>+Actuals!AK490</f>
        <v>0</v>
      </c>
      <c r="AO20" s="134">
        <v>0</v>
      </c>
      <c r="AP20" s="133">
        <f>+Actuals!AM490</f>
        <v>0</v>
      </c>
      <c r="AQ20" s="134">
        <v>0</v>
      </c>
      <c r="AR20" s="133">
        <f>+Actuals!AO490</f>
        <v>0</v>
      </c>
      <c r="AS20" s="134"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4"/>
        <v>-18513313</v>
      </c>
      <c r="E21" s="38">
        <f t="shared" si="4"/>
        <v>-30700043</v>
      </c>
      <c r="F21" s="60">
        <f>'TIE-OUT'!N21+RECLASS!N21</f>
        <v>0</v>
      </c>
      <c r="G21" s="38">
        <f>'TIE-OUT'!O21+RECLASS!O21</f>
        <v>0</v>
      </c>
      <c r="H21" s="133">
        <f>+Actuals!E291</f>
        <v>-18513313</v>
      </c>
      <c r="I21" s="134">
        <f>+Actuals!F291</f>
        <v>-30700043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0</v>
      </c>
      <c r="O21" s="134">
        <f>+Actuals!L291</f>
        <v>0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-519779</v>
      </c>
      <c r="W21" s="134">
        <f>+Actuals!T291</f>
        <v>-863613</v>
      </c>
      <c r="X21" s="133">
        <f>+Actuals!U291</f>
        <v>-537792</v>
      </c>
      <c r="Y21" s="134">
        <f>+Actuals!V291</f>
        <v>-889893</v>
      </c>
      <c r="Z21" s="133">
        <f>+Actuals!W291</f>
        <v>1057571</v>
      </c>
      <c r="AA21" s="134">
        <f>+Actuals!X291</f>
        <v>1753506</v>
      </c>
      <c r="AB21" s="133">
        <f>+Actuals!Y491</f>
        <v>-1057571</v>
      </c>
      <c r="AC21" s="134">
        <f>+Actuals!Z491</f>
        <v>-1753506</v>
      </c>
      <c r="AD21" s="133">
        <f>+Actuals!AA491</f>
        <v>0</v>
      </c>
      <c r="AE21" s="134">
        <f>+Actuals!AB491</f>
        <v>0</v>
      </c>
      <c r="AF21" s="133">
        <f>+Actuals!AC491</f>
        <v>1057571</v>
      </c>
      <c r="AG21" s="134">
        <f>+Actuals!AD491</f>
        <v>1753506</v>
      </c>
      <c r="AH21" s="133">
        <f>+Actuals!AE491</f>
        <v>0</v>
      </c>
      <c r="AI21" s="134">
        <f>+Actuals!AF491</f>
        <v>0</v>
      </c>
      <c r="AJ21" s="133">
        <f>+Actuals!AG491</f>
        <v>0</v>
      </c>
      <c r="AK21" s="134">
        <f>+Actuals!AH491</f>
        <v>0</v>
      </c>
      <c r="AL21" s="133">
        <f>+Actuals!AI491</f>
        <v>0</v>
      </c>
      <c r="AM21" s="134">
        <f>+Actuals!AJ491</f>
        <v>0</v>
      </c>
      <c r="AN21" s="133">
        <f>+Actuals!AK491</f>
        <v>0</v>
      </c>
      <c r="AO21" s="134">
        <f>+Actuals!AL491</f>
        <v>0</v>
      </c>
      <c r="AP21" s="133">
        <f>+Actuals!AM491</f>
        <v>0</v>
      </c>
      <c r="AQ21" s="134">
        <f>+Actuals!AN491</f>
        <v>0</v>
      </c>
      <c r="AR21" s="133">
        <f>+Actuals!AO491</f>
        <v>0</v>
      </c>
      <c r="AS21" s="134">
        <f>+Actuals!AP491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+Actuals!Y492</f>
        <v>0</v>
      </c>
      <c r="AC22" s="134">
        <f>+Actuals!Z492</f>
        <v>0</v>
      </c>
      <c r="AD22" s="133">
        <f>+Actuals!AA492</f>
        <v>0</v>
      </c>
      <c r="AE22" s="134">
        <f>+Actuals!AB492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  <c r="AJ22" s="133">
        <f>+Actuals!AG492</f>
        <v>0</v>
      </c>
      <c r="AK22" s="134">
        <f>+Actuals!AH492</f>
        <v>0</v>
      </c>
      <c r="AL22" s="133">
        <f>+Actuals!AI492</f>
        <v>0</v>
      </c>
      <c r="AM22" s="134">
        <f>+Actuals!AJ492</f>
        <v>0</v>
      </c>
      <c r="AN22" s="133">
        <f>+Actuals!AK492</f>
        <v>0</v>
      </c>
      <c r="AO22" s="134">
        <f>+Actuals!AL492</f>
        <v>0</v>
      </c>
      <c r="AP22" s="133">
        <f>+Actuals!AM492</f>
        <v>0</v>
      </c>
      <c r="AQ22" s="134">
        <f>+Actuals!AN492</f>
        <v>0</v>
      </c>
      <c r="AR22" s="133">
        <f>+Actuals!AO492</f>
        <v>0</v>
      </c>
      <c r="AS22" s="134">
        <f>+Actuals!AP492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4"/>
        <v>287275</v>
      </c>
      <c r="E23" s="38">
        <f t="shared" si="4"/>
        <v>434072.527</v>
      </c>
      <c r="F23" s="81">
        <f>'TIE-OUT'!N23+RECLASS!N23</f>
        <v>0</v>
      </c>
      <c r="G23" s="82">
        <f>'TIE-OUT'!O23+RECLASS!O23</f>
        <v>0</v>
      </c>
      <c r="H23" s="133">
        <f>+Actuals!E293</f>
        <v>282538</v>
      </c>
      <c r="I23" s="134">
        <f>+Actuals!F293</f>
        <v>426914.92</v>
      </c>
      <c r="J23" s="133">
        <f>+Actuals!G293</f>
        <v>4741</v>
      </c>
      <c r="K23" s="134">
        <f>+Actuals!H293</f>
        <v>7163.6509999999998</v>
      </c>
      <c r="L23" s="133">
        <f>+Actuals!I293</f>
        <v>-1</v>
      </c>
      <c r="M23" s="134">
        <f>+Actuals!J293</f>
        <v>-1.5109999999999999</v>
      </c>
      <c r="N23" s="133">
        <f>+Actuals!K293</f>
        <v>0</v>
      </c>
      <c r="O23" s="134">
        <f>+Actuals!L293</f>
        <v>0</v>
      </c>
      <c r="P23" s="133">
        <f>+Actuals!M293</f>
        <v>-3</v>
      </c>
      <c r="Q23" s="134">
        <f>+Actuals!N293</f>
        <v>-4.5330000000000004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0</v>
      </c>
      <c r="W23" s="134">
        <f>+Actuals!T293</f>
        <v>0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+Actuals!Y493</f>
        <v>0</v>
      </c>
      <c r="AC23" s="134">
        <f>+Actuals!Z493</f>
        <v>0</v>
      </c>
      <c r="AD23" s="133">
        <f>+Actuals!AA493</f>
        <v>0</v>
      </c>
      <c r="AE23" s="134">
        <f>+Actuals!AB493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  <c r="AJ23" s="133">
        <f>+Actuals!AG493</f>
        <v>0</v>
      </c>
      <c r="AK23" s="134">
        <f>+Actuals!AH493</f>
        <v>0</v>
      </c>
      <c r="AL23" s="133">
        <f>+Actuals!AI493</f>
        <v>0</v>
      </c>
      <c r="AM23" s="134">
        <f>+Actuals!AJ493</f>
        <v>0</v>
      </c>
      <c r="AN23" s="133">
        <f>+Actuals!AK493</f>
        <v>0</v>
      </c>
      <c r="AO23" s="134">
        <f>+Actuals!AL493</f>
        <v>0</v>
      </c>
      <c r="AP23" s="133">
        <f>+Actuals!AM493</f>
        <v>0</v>
      </c>
      <c r="AQ23" s="134">
        <f>+Actuals!AN493</f>
        <v>0</v>
      </c>
      <c r="AR23" s="133">
        <f>+Actuals!AO493</f>
        <v>0</v>
      </c>
      <c r="AS23" s="134">
        <f>+Actuals!AP493</f>
        <v>0</v>
      </c>
    </row>
    <row r="24" spans="1:45" x14ac:dyDescent="0.2">
      <c r="A24" s="9"/>
      <c r="B24" s="7" t="s">
        <v>37</v>
      </c>
      <c r="C24" s="6"/>
      <c r="D24" s="61">
        <f t="shared" ref="D24:AC24" si="5">SUM(D19:D23)</f>
        <v>-52503799</v>
      </c>
      <c r="E24" s="39">
        <f t="shared" si="5"/>
        <v>-83238842.053000003</v>
      </c>
      <c r="F24" s="61">
        <f t="shared" si="5"/>
        <v>0</v>
      </c>
      <c r="G24" s="39">
        <f t="shared" si="5"/>
        <v>167205.31</v>
      </c>
      <c r="H24" s="61">
        <f t="shared" si="5"/>
        <v>-51920437</v>
      </c>
      <c r="I24" s="39">
        <f t="shared" si="5"/>
        <v>-82282246.329999998</v>
      </c>
      <c r="J24" s="61">
        <f t="shared" si="5"/>
        <v>-577568</v>
      </c>
      <c r="K24" s="39">
        <f t="shared" si="5"/>
        <v>-641948.01900000009</v>
      </c>
      <c r="L24" s="61">
        <f t="shared" si="5"/>
        <v>-2140</v>
      </c>
      <c r="M24" s="39">
        <f t="shared" si="5"/>
        <v>-4820.4310000000005</v>
      </c>
      <c r="N24" s="61">
        <f t="shared" si="5"/>
        <v>0</v>
      </c>
      <c r="O24" s="39">
        <f t="shared" si="5"/>
        <v>-159586.64000000001</v>
      </c>
      <c r="P24" s="61">
        <f t="shared" si="5"/>
        <v>-3</v>
      </c>
      <c r="Q24" s="39">
        <f t="shared" si="5"/>
        <v>-74404.532999999996</v>
      </c>
      <c r="R24" s="61">
        <f t="shared" si="5"/>
        <v>0</v>
      </c>
      <c r="S24" s="39">
        <f t="shared" si="5"/>
        <v>0</v>
      </c>
      <c r="T24" s="61">
        <f t="shared" si="5"/>
        <v>-2528</v>
      </c>
      <c r="U24" s="39">
        <f t="shared" si="5"/>
        <v>-4373.4399999999996</v>
      </c>
      <c r="V24" s="61">
        <f t="shared" si="5"/>
        <v>-532279</v>
      </c>
      <c r="W24" s="39">
        <f t="shared" si="5"/>
        <v>-1115253.1200000001</v>
      </c>
      <c r="X24" s="61">
        <f t="shared" si="5"/>
        <v>-537792</v>
      </c>
      <c r="Y24" s="39">
        <f t="shared" si="5"/>
        <v>-889893</v>
      </c>
      <c r="Z24" s="61">
        <f t="shared" si="5"/>
        <v>1057571</v>
      </c>
      <c r="AA24" s="39">
        <f t="shared" si="5"/>
        <v>1753506</v>
      </c>
      <c r="AB24" s="61">
        <f t="shared" si="5"/>
        <v>-1057571</v>
      </c>
      <c r="AC24" s="39">
        <f t="shared" si="5"/>
        <v>-1753506</v>
      </c>
      <c r="AD24" s="61">
        <f t="shared" ref="AD24:AI24" si="6">SUM(AD19:AD23)</f>
        <v>0</v>
      </c>
      <c r="AE24" s="39">
        <f t="shared" si="6"/>
        <v>0</v>
      </c>
      <c r="AF24" s="61">
        <f t="shared" si="6"/>
        <v>1057571</v>
      </c>
      <c r="AG24" s="39">
        <f t="shared" si="6"/>
        <v>1753506</v>
      </c>
      <c r="AH24" s="61">
        <f t="shared" si="6"/>
        <v>0</v>
      </c>
      <c r="AI24" s="39">
        <f t="shared" si="6"/>
        <v>0</v>
      </c>
      <c r="AJ24" s="61">
        <f t="shared" ref="AJ24:AO24" si="7">SUM(AJ19:AJ23)</f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>SUM(AP19:AP23)</f>
        <v>11377</v>
      </c>
      <c r="AQ24" s="39">
        <f>SUM(AQ19:AQ23)</f>
        <v>12972.15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0</v>
      </c>
      <c r="E27" s="38">
        <f>SUM(G27,I27,K27,M27,O27,Q27,S27,U27,W27,Y27,AA27,AC27,AE27,AG27,AI27,AK27,AM27,AO27,AQ27,AS27)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+Actuals!Y494</f>
        <v>0</v>
      </c>
      <c r="AC27" s="134">
        <f>+Actuals!Z494</f>
        <v>0</v>
      </c>
      <c r="AD27" s="133">
        <f>+Actuals!AA494</f>
        <v>0</v>
      </c>
      <c r="AE27" s="134">
        <f>+Actuals!AB494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  <c r="AJ27" s="133">
        <f>+Actuals!AG494</f>
        <v>0</v>
      </c>
      <c r="AK27" s="134">
        <f>+Actuals!AH494</f>
        <v>0</v>
      </c>
      <c r="AL27" s="133">
        <f>+Actuals!AI494</f>
        <v>0</v>
      </c>
      <c r="AM27" s="134">
        <f>+Actuals!AJ494</f>
        <v>0</v>
      </c>
      <c r="AN27" s="133">
        <f>+Actuals!AK494</f>
        <v>0</v>
      </c>
      <c r="AO27" s="134">
        <f>+Actuals!AL494</f>
        <v>0</v>
      </c>
      <c r="AP27" s="133">
        <f>+Actuals!AM494</f>
        <v>0</v>
      </c>
      <c r="AQ27" s="134">
        <f>+Actuals!AN494</f>
        <v>0</v>
      </c>
      <c r="AR27" s="133">
        <f>+Actuals!AO494</f>
        <v>0</v>
      </c>
      <c r="AS27" s="134">
        <f>+Actuals!AP494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0</v>
      </c>
      <c r="E28" s="38">
        <f>SUM(G28,I28,K28,M28,O28,Q28,S28,U28,W28,Y28,AA28,AC28,AE28,AG28,AI28,AK28,AM28,AO28,AQ28,AS28)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+Actuals!Y495</f>
        <v>0</v>
      </c>
      <c r="AC28" s="134">
        <f>+Actuals!Z495</f>
        <v>0</v>
      </c>
      <c r="AD28" s="133">
        <f>+Actuals!AA495</f>
        <v>0</v>
      </c>
      <c r="AE28" s="134">
        <f>+Actuals!AB495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  <c r="AJ28" s="133">
        <f>+Actuals!AG495</f>
        <v>0</v>
      </c>
      <c r="AK28" s="134">
        <f>+Actuals!AH495</f>
        <v>0</v>
      </c>
      <c r="AL28" s="133">
        <f>+Actuals!AI495</f>
        <v>0</v>
      </c>
      <c r="AM28" s="134">
        <f>+Actuals!AJ495</f>
        <v>0</v>
      </c>
      <c r="AN28" s="133">
        <f>+Actuals!AK495</f>
        <v>0</v>
      </c>
      <c r="AO28" s="134">
        <f>+Actuals!AL495</f>
        <v>0</v>
      </c>
      <c r="AP28" s="133">
        <f>+Actuals!AM495</f>
        <v>0</v>
      </c>
      <c r="AQ28" s="134">
        <f>+Actuals!AN495</f>
        <v>0</v>
      </c>
      <c r="AR28" s="133">
        <f>+Actuals!AO495</f>
        <v>0</v>
      </c>
      <c r="AS28" s="134">
        <f>+Actuals!AP495</f>
        <v>0</v>
      </c>
    </row>
    <row r="29" spans="1:45" x14ac:dyDescent="0.2">
      <c r="A29" s="9"/>
      <c r="B29" s="7" t="s">
        <v>41</v>
      </c>
      <c r="C29" s="18"/>
      <c r="D29" s="61">
        <f t="shared" ref="D29:AC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ref="AD29:AI29" si="9">SUM(AD27:AD28)</f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ref="AJ29:AO29" si="10">SUM(AJ27:AJ28)</f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SUM(F32,H32,J32,L32,N32,P32,R32,T32,V32,X32,Z32,AB32,AD32,AF32,AH32,AJ32,AL32,AN32,AP32,AR32)</f>
        <v>46664</v>
      </c>
      <c r="E32" s="38">
        <f t="shared" si="11"/>
        <v>95195.081999999966</v>
      </c>
      <c r="F32" s="64">
        <f>'TIE-OUT'!N32+RECLASS!N32</f>
        <v>0</v>
      </c>
      <c r="G32" s="68">
        <f>'TIE-OUT'!O32+RECLASS!O32</f>
        <v>0</v>
      </c>
      <c r="H32" s="133">
        <f>+Actuals!E296</f>
        <v>-7781</v>
      </c>
      <c r="I32" s="134">
        <f>+Actuals!F296</f>
        <v>-11757.09</v>
      </c>
      <c r="J32" s="133">
        <f>+Actuals!G296</f>
        <v>39565</v>
      </c>
      <c r="K32" s="134">
        <f>+Actuals!H296</f>
        <v>62516.137999999999</v>
      </c>
      <c r="L32" s="133">
        <f>+Actuals!I296</f>
        <v>14877</v>
      </c>
      <c r="M32" s="134">
        <f>+Actuals!J296</f>
        <v>46295.832000000002</v>
      </c>
      <c r="N32" s="133">
        <f>+Actuals!K296</f>
        <v>0</v>
      </c>
      <c r="O32" s="134">
        <f>+Actuals!L296</f>
        <v>0</v>
      </c>
      <c r="P32" s="133">
        <f>+Actuals!M296</f>
        <v>0</v>
      </c>
      <c r="Q32" s="134">
        <f>+Actuals!N296</f>
        <v>326.62700000000001</v>
      </c>
      <c r="R32" s="133">
        <f>+Actuals!O296</f>
        <v>0</v>
      </c>
      <c r="S32" s="134">
        <f>+Actuals!P296</f>
        <v>47967.508000000002</v>
      </c>
      <c r="T32" s="133">
        <f>+Actuals!Q296</f>
        <v>3</v>
      </c>
      <c r="U32" s="134">
        <f>+Actuals!R296</f>
        <v>-22342.589</v>
      </c>
      <c r="V32" s="133">
        <f>+Actuals!S296</f>
        <v>0</v>
      </c>
      <c r="W32" s="134">
        <f>+Actuals!T296+1467518</f>
        <v>-27811.344000000041</v>
      </c>
      <c r="X32" s="133">
        <f>+Actuals!U296</f>
        <v>0</v>
      </c>
      <c r="Y32" s="134">
        <f>+Actuals!V296</f>
        <v>0</v>
      </c>
      <c r="Z32" s="133">
        <f>+Actuals!W296</f>
        <v>0</v>
      </c>
      <c r="AA32" s="134">
        <f>+Actuals!X296</f>
        <v>0</v>
      </c>
      <c r="AB32" s="133">
        <f>+Actuals!Y496</f>
        <v>0</v>
      </c>
      <c r="AC32" s="134">
        <f>+Actuals!Z496</f>
        <v>0</v>
      </c>
      <c r="AD32" s="133">
        <f>+Actuals!AA496</f>
        <v>0</v>
      </c>
      <c r="AE32" s="134">
        <f>+Actuals!AB496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  <c r="AJ32" s="133">
        <f>+Actuals!AG496</f>
        <v>0</v>
      </c>
      <c r="AK32" s="134">
        <f>+Actuals!AH496</f>
        <v>0</v>
      </c>
      <c r="AL32" s="133">
        <f>+Actuals!AI496</f>
        <v>0</v>
      </c>
      <c r="AM32" s="134">
        <f>+Actuals!AJ496</f>
        <v>0</v>
      </c>
      <c r="AN32" s="133">
        <f>+Actuals!AK496</f>
        <v>0</v>
      </c>
      <c r="AO32" s="134">
        <f>+Actuals!AL496</f>
        <v>0</v>
      </c>
      <c r="AP32" s="133">
        <f>+Actuals!AM496</f>
        <v>0</v>
      </c>
      <c r="AQ32" s="134">
        <f>+Actuals!AN496</f>
        <v>0</v>
      </c>
      <c r="AR32" s="133">
        <f>+Actuals!AO496</f>
        <v>0</v>
      </c>
      <c r="AS32" s="134">
        <f>+Actuals!AP496</f>
        <v>0</v>
      </c>
    </row>
    <row r="33" spans="1:45" x14ac:dyDescent="0.2">
      <c r="A33" s="9">
        <v>14</v>
      </c>
      <c r="B33" s="7"/>
      <c r="C33" s="18" t="s">
        <v>44</v>
      </c>
      <c r="D33" s="60">
        <f t="shared" si="11"/>
        <v>-7796</v>
      </c>
      <c r="E33" s="38">
        <f t="shared" si="11"/>
        <v>-15837.2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-7796</v>
      </c>
      <c r="K33" s="134">
        <f>+Actuals!H297</f>
        <v>-15837.2</v>
      </c>
      <c r="L33" s="133">
        <f>+Actuals!I297</f>
        <v>0</v>
      </c>
      <c r="M33" s="134">
        <f>+Actuals!J297</f>
        <v>0</v>
      </c>
      <c r="N33" s="133">
        <f>+Actuals!K297</f>
        <v>0</v>
      </c>
      <c r="O33" s="134">
        <f>+Actuals!L297</f>
        <v>0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+Actuals!Y497</f>
        <v>0</v>
      </c>
      <c r="AC33" s="134">
        <f>+Actuals!Z497</f>
        <v>0</v>
      </c>
      <c r="AD33" s="133">
        <f>+Actuals!AA497</f>
        <v>0</v>
      </c>
      <c r="AE33" s="134">
        <f>+Actuals!AB497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  <c r="AJ33" s="133">
        <f>+Actuals!AG497</f>
        <v>0</v>
      </c>
      <c r="AK33" s="134">
        <f>+Actuals!AH497</f>
        <v>0</v>
      </c>
      <c r="AL33" s="133">
        <f>+Actuals!AI497</f>
        <v>0</v>
      </c>
      <c r="AM33" s="134">
        <f>+Actuals!AJ497</f>
        <v>0</v>
      </c>
      <c r="AN33" s="133">
        <f>+Actuals!AK497</f>
        <v>0</v>
      </c>
      <c r="AO33" s="134">
        <f>+Actuals!AL497</f>
        <v>0</v>
      </c>
      <c r="AP33" s="133">
        <f>+Actuals!AM497</f>
        <v>0</v>
      </c>
      <c r="AQ33" s="134">
        <f>+Actuals!AN497</f>
        <v>0</v>
      </c>
      <c r="AR33" s="133">
        <f>+Actuals!AO497</f>
        <v>0</v>
      </c>
      <c r="AS33" s="134">
        <f>+Actuals!AP497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1"/>
        <v>-6862</v>
      </c>
      <c r="E34" s="38">
        <f t="shared" si="11"/>
        <v>0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0</v>
      </c>
      <c r="K34" s="134">
        <f>+Actuals!H298</f>
        <v>0</v>
      </c>
      <c r="L34" s="133">
        <f>+Actuals!I298</f>
        <v>-6862</v>
      </c>
      <c r="M34" s="134">
        <f>+Actuals!J298</f>
        <v>0</v>
      </c>
      <c r="N34" s="133">
        <f>+Actuals!K298</f>
        <v>0</v>
      </c>
      <c r="O34" s="134">
        <f>+Actuals!L298</f>
        <v>0</v>
      </c>
      <c r="P34" s="133">
        <f>+Actuals!M298</f>
        <v>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0</v>
      </c>
      <c r="Z34" s="133">
        <f>+Actuals!W298</f>
        <v>0</v>
      </c>
      <c r="AA34" s="134">
        <f>+Actuals!X298</f>
        <v>0</v>
      </c>
      <c r="AB34" s="133">
        <f>+Actuals!Y498</f>
        <v>0</v>
      </c>
      <c r="AC34" s="134">
        <f>+Actuals!Z498</f>
        <v>0</v>
      </c>
      <c r="AD34" s="133">
        <f>+Actuals!AA498</f>
        <v>0</v>
      </c>
      <c r="AE34" s="134">
        <f>+Actuals!AB498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  <c r="AJ34" s="133">
        <f>+Actuals!AG498</f>
        <v>0</v>
      </c>
      <c r="AK34" s="134">
        <f>+Actuals!AH498</f>
        <v>0</v>
      </c>
      <c r="AL34" s="133">
        <f>+Actuals!AI498</f>
        <v>0</v>
      </c>
      <c r="AM34" s="134">
        <f>+Actuals!AJ498</f>
        <v>0</v>
      </c>
      <c r="AN34" s="133">
        <f>+Actuals!AK498</f>
        <v>0</v>
      </c>
      <c r="AO34" s="134">
        <f>+Actuals!AL498</f>
        <v>0</v>
      </c>
      <c r="AP34" s="133">
        <f>+Actuals!AM498</f>
        <v>0</v>
      </c>
      <c r="AQ34" s="134">
        <f>+Actuals!AN498</f>
        <v>0</v>
      </c>
      <c r="AR34" s="133">
        <f>+Actuals!AO498</f>
        <v>0</v>
      </c>
      <c r="AS34" s="134">
        <f>+Actuals!AP498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1"/>
        <v>747922</v>
      </c>
      <c r="E35" s="38">
        <f t="shared" si="11"/>
        <v>-337623.41000000003</v>
      </c>
      <c r="F35" s="81">
        <f>'TIE-OUT'!N35+RECLASS!N35</f>
        <v>0</v>
      </c>
      <c r="G35" s="82">
        <f>'TIE-OUT'!O35+RECLASS!O35</f>
        <v>0</v>
      </c>
      <c r="H35" s="133">
        <f>+Actuals!E299</f>
        <v>751432</v>
      </c>
      <c r="I35" s="134">
        <f>+Actuals!F299</f>
        <v>0.01</v>
      </c>
      <c r="J35" s="133">
        <f>+Actuals!G299</f>
        <v>-4152</v>
      </c>
      <c r="K35" s="134">
        <f>+Actuals!H299</f>
        <v>0</v>
      </c>
      <c r="L35" s="133">
        <f>+Actuals!I299</f>
        <v>642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0</v>
      </c>
      <c r="S35" s="134">
        <f>+Actuals!P299</f>
        <v>1130110</v>
      </c>
      <c r="T35" s="133">
        <f>+Actuals!Q299</f>
        <v>0</v>
      </c>
      <c r="U35" s="202">
        <f>+Actuals!R299-1467518</f>
        <v>-1467518</v>
      </c>
      <c r="V35" s="133">
        <f>+Actuals!S299</f>
        <v>0</v>
      </c>
      <c r="W35" s="165">
        <f>+Actuals!T299</f>
        <v>0</v>
      </c>
      <c r="X35" s="133">
        <f>+Actuals!U299</f>
        <v>0</v>
      </c>
      <c r="Y35" s="134">
        <f>+Actuals!V299</f>
        <v>0</v>
      </c>
      <c r="Z35" s="133">
        <f>+Actuals!W299</f>
        <v>0</v>
      </c>
      <c r="AA35" s="134">
        <f>+Actuals!X299</f>
        <v>0</v>
      </c>
      <c r="AB35" s="133">
        <f>+Actuals!Y499</f>
        <v>0</v>
      </c>
      <c r="AC35" s="134">
        <f>+Actuals!Z499</f>
        <v>0</v>
      </c>
      <c r="AD35" s="133">
        <f>+Actuals!AA499</f>
        <v>0</v>
      </c>
      <c r="AE35" s="134">
        <f>+Actuals!AB499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  <c r="AJ35" s="133">
        <f>+Actuals!AG499</f>
        <v>0</v>
      </c>
      <c r="AK35" s="134">
        <f>+Actuals!AH499</f>
        <v>0</v>
      </c>
      <c r="AL35" s="133">
        <f>+Actuals!AI499</f>
        <v>0</v>
      </c>
      <c r="AM35" s="134">
        <f>+Actuals!AJ499</f>
        <v>0</v>
      </c>
      <c r="AN35" s="133">
        <f>+Actuals!AK499</f>
        <v>0</v>
      </c>
      <c r="AO35" s="134">
        <v>-107.71</v>
      </c>
      <c r="AP35" s="133">
        <f>+Actuals!AM499</f>
        <v>0</v>
      </c>
      <c r="AQ35" s="134">
        <v>-107.71</v>
      </c>
      <c r="AR35" s="133">
        <f>+Actuals!AO499</f>
        <v>0</v>
      </c>
      <c r="AS35" s="134"/>
    </row>
    <row r="36" spans="1:45" x14ac:dyDescent="0.2">
      <c r="A36" s="9"/>
      <c r="B36" s="7" t="s">
        <v>47</v>
      </c>
      <c r="C36" s="6"/>
      <c r="D36" s="61">
        <f t="shared" ref="D36:AC36" si="12">SUM(D32:D35)</f>
        <v>779928</v>
      </c>
      <c r="E36" s="39">
        <f t="shared" si="12"/>
        <v>-258265.52800000005</v>
      </c>
      <c r="F36" s="61">
        <f t="shared" si="12"/>
        <v>0</v>
      </c>
      <c r="G36" s="39">
        <f t="shared" si="12"/>
        <v>0</v>
      </c>
      <c r="H36" s="61">
        <f t="shared" si="12"/>
        <v>743651</v>
      </c>
      <c r="I36" s="39">
        <f t="shared" si="12"/>
        <v>-11757.08</v>
      </c>
      <c r="J36" s="61">
        <f t="shared" si="12"/>
        <v>27617</v>
      </c>
      <c r="K36" s="39">
        <f t="shared" si="12"/>
        <v>46678.937999999995</v>
      </c>
      <c r="L36" s="61">
        <f t="shared" si="12"/>
        <v>8657</v>
      </c>
      <c r="M36" s="39">
        <f t="shared" si="12"/>
        <v>46295.832000000002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326.62700000000001</v>
      </c>
      <c r="R36" s="61">
        <f t="shared" si="12"/>
        <v>0</v>
      </c>
      <c r="S36" s="39">
        <f t="shared" si="12"/>
        <v>1178077.5079999999</v>
      </c>
      <c r="T36" s="61">
        <f t="shared" si="12"/>
        <v>3</v>
      </c>
      <c r="U36" s="39">
        <f t="shared" si="12"/>
        <v>-1489860.5889999999</v>
      </c>
      <c r="V36" s="61">
        <f t="shared" si="12"/>
        <v>0</v>
      </c>
      <c r="W36" s="39">
        <f t="shared" si="12"/>
        <v>-27811.344000000041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ref="AD36:AI36" si="13">SUM(AD32:AD35)</f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ref="AJ36:AO36" si="14">SUM(AJ32:AJ35)</f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-107.71</v>
      </c>
      <c r="AP36" s="61">
        <f>SUM(AP32:AP35)</f>
        <v>0</v>
      </c>
      <c r="AQ36" s="39">
        <f>SUM(AQ32:AQ35)</f>
        <v>-107.71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+Actuals!Y500</f>
        <v>0</v>
      </c>
      <c r="AC39" s="134">
        <f>+Actuals!Z500</f>
        <v>0</v>
      </c>
      <c r="AD39" s="133">
        <f>+Actuals!AA500</f>
        <v>0</v>
      </c>
      <c r="AE39" s="134">
        <f>+Actuals!AB500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  <c r="AJ39" s="133">
        <f>+Actuals!AG500</f>
        <v>0</v>
      </c>
      <c r="AK39" s="134">
        <f>+Actuals!AH500</f>
        <v>0</v>
      </c>
      <c r="AL39" s="133">
        <f>+Actuals!AI500</f>
        <v>0</v>
      </c>
      <c r="AM39" s="134">
        <f>+Actuals!AJ500</f>
        <v>0</v>
      </c>
      <c r="AN39" s="133">
        <f>+Actuals!AK500</f>
        <v>0</v>
      </c>
      <c r="AO39" s="134">
        <f>+Actuals!AL500</f>
        <v>0</v>
      </c>
      <c r="AP39" s="133">
        <f>+Actuals!AM500</f>
        <v>0</v>
      </c>
      <c r="AQ39" s="134">
        <f>+Actuals!AN500</f>
        <v>0</v>
      </c>
      <c r="AR39" s="133">
        <f>+Actuals!AO500</f>
        <v>0</v>
      </c>
      <c r="AS39" s="134">
        <f>+Actuals!AP500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5"/>
        <v>-20992</v>
      </c>
      <c r="E40" s="38">
        <f t="shared" si="15"/>
        <v>-35479.97</v>
      </c>
      <c r="F40" s="60">
        <f>'TIE-OUT'!N40+RECLASS!N40</f>
        <v>0</v>
      </c>
      <c r="G40" s="38">
        <f>'TIE-OUT'!O40+RECLASS!O40</f>
        <v>0</v>
      </c>
      <c r="H40" s="133">
        <f>+Actuals!E301</f>
        <v>-17701</v>
      </c>
      <c r="I40" s="134">
        <f>+Actuals!F301</f>
        <v>-29573.67</v>
      </c>
      <c r="J40" s="133">
        <f>+Actuals!G301</f>
        <v>-3291</v>
      </c>
      <c r="K40" s="134">
        <f>+Actuals!H301</f>
        <v>-5906.3</v>
      </c>
      <c r="L40" s="133">
        <f>+Actuals!I301</f>
        <v>0</v>
      </c>
      <c r="M40" s="134">
        <f>+Actuals!J301</f>
        <v>0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+Actuals!Y501</f>
        <v>0</v>
      </c>
      <c r="AC40" s="134">
        <f>+Actuals!Z501</f>
        <v>0</v>
      </c>
      <c r="AD40" s="133">
        <f>+Actuals!AA501</f>
        <v>0</v>
      </c>
      <c r="AE40" s="134">
        <f>+Actuals!AB501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  <c r="AJ40" s="133">
        <f>+Actuals!AG501</f>
        <v>0</v>
      </c>
      <c r="AK40" s="134">
        <f>+Actuals!AH501</f>
        <v>0</v>
      </c>
      <c r="AL40" s="133">
        <f>+Actuals!AI501</f>
        <v>0</v>
      </c>
      <c r="AM40" s="134">
        <f>+Actuals!AJ501</f>
        <v>0</v>
      </c>
      <c r="AN40" s="133">
        <f>+Actuals!AK501</f>
        <v>0</v>
      </c>
      <c r="AO40" s="134">
        <f>+Actuals!AL501</f>
        <v>0</v>
      </c>
      <c r="AP40" s="133">
        <f>+Actuals!AM501</f>
        <v>0</v>
      </c>
      <c r="AQ40" s="134">
        <f>+Actuals!AN501</f>
        <v>0</v>
      </c>
      <c r="AR40" s="133">
        <f>+Actuals!AO501</f>
        <v>0</v>
      </c>
      <c r="AS40" s="134">
        <f>+Actuals!AP501</f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+Actuals!Y502</f>
        <v>0</v>
      </c>
      <c r="AC41" s="134">
        <f>+Actuals!Z502</f>
        <v>0</v>
      </c>
      <c r="AD41" s="133">
        <f>+Actuals!AA502</f>
        <v>0</v>
      </c>
      <c r="AE41" s="134">
        <f>+Actuals!AB502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  <c r="AJ41" s="133">
        <f>+Actuals!AG502</f>
        <v>0</v>
      </c>
      <c r="AK41" s="134">
        <f>+Actuals!AH502</f>
        <v>0</v>
      </c>
      <c r="AL41" s="133">
        <f>+Actuals!AI502</f>
        <v>0</v>
      </c>
      <c r="AM41" s="134">
        <f>+Actuals!AJ502</f>
        <v>0</v>
      </c>
      <c r="AN41" s="133">
        <f>+Actuals!AK502</f>
        <v>0</v>
      </c>
      <c r="AO41" s="134">
        <f>+Actuals!AL502</f>
        <v>0</v>
      </c>
      <c r="AP41" s="133">
        <f>+Actuals!AM502</f>
        <v>0</v>
      </c>
      <c r="AQ41" s="134">
        <f>+Actuals!AN502</f>
        <v>0</v>
      </c>
      <c r="AR41" s="133">
        <f>+Actuals!AO502</f>
        <v>0</v>
      </c>
      <c r="AS41" s="134">
        <f>+Actuals!AP502</f>
        <v>0</v>
      </c>
    </row>
    <row r="42" spans="1:45" x14ac:dyDescent="0.2">
      <c r="A42" s="9"/>
      <c r="B42" s="7"/>
      <c r="C42" s="53" t="s">
        <v>52</v>
      </c>
      <c r="D42" s="61">
        <f t="shared" ref="D42:AC42" si="16">SUM(D40:D41)</f>
        <v>-20992</v>
      </c>
      <c r="E42" s="39">
        <f t="shared" si="16"/>
        <v>-35479.97</v>
      </c>
      <c r="F42" s="61">
        <f t="shared" si="16"/>
        <v>0</v>
      </c>
      <c r="G42" s="39">
        <f t="shared" si="16"/>
        <v>0</v>
      </c>
      <c r="H42" s="61">
        <f t="shared" si="16"/>
        <v>-17701</v>
      </c>
      <c r="I42" s="39">
        <f t="shared" si="16"/>
        <v>-29573.67</v>
      </c>
      <c r="J42" s="61">
        <f t="shared" si="16"/>
        <v>-3291</v>
      </c>
      <c r="K42" s="39">
        <f t="shared" si="16"/>
        <v>-5906.3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ref="AD42:AI42" si="17">SUM(AD40:AD41)</f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ref="AJ42:AO42" si="18">SUM(AJ40:AJ41)</f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 t="shared" ref="D43:AC43" si="19">D42+D39</f>
        <v>-20992</v>
      </c>
      <c r="E43" s="39">
        <f t="shared" si="19"/>
        <v>-35479.97</v>
      </c>
      <c r="F43" s="61">
        <f t="shared" si="19"/>
        <v>0</v>
      </c>
      <c r="G43" s="39">
        <f t="shared" si="19"/>
        <v>0</v>
      </c>
      <c r="H43" s="61">
        <f t="shared" si="19"/>
        <v>-17701</v>
      </c>
      <c r="I43" s="39">
        <f t="shared" si="19"/>
        <v>-29573.67</v>
      </c>
      <c r="J43" s="61">
        <f t="shared" si="19"/>
        <v>-3291</v>
      </c>
      <c r="K43" s="39">
        <f t="shared" si="19"/>
        <v>-5906.3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ref="AD43:AI43" si="20">AD42+AD39</f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ref="AJ43:AO43" si="21">AJ42+AJ39</f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2">SUM(F45,H45,J45,L45,N45,P45,R45,T45,V45,X45,Z45,AB45,AD45,AF45,AH45,AJ45,AL45,AN45,AP45,AR45)</f>
        <v>0</v>
      </c>
      <c r="E45" s="38">
        <f t="shared" si="22"/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+Actuals!Y503</f>
        <v>0</v>
      </c>
      <c r="AC45" s="134">
        <f>+Actuals!Z503</f>
        <v>0</v>
      </c>
      <c r="AD45" s="133">
        <f>+Actuals!AA503</f>
        <v>0</v>
      </c>
      <c r="AE45" s="134">
        <f>+Actuals!AB503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  <c r="AJ45" s="133">
        <f>+Actuals!AG503</f>
        <v>0</v>
      </c>
      <c r="AK45" s="134">
        <f>+Actuals!AH503</f>
        <v>0</v>
      </c>
      <c r="AL45" s="133">
        <f>+Actuals!AI503</f>
        <v>0</v>
      </c>
      <c r="AM45" s="134">
        <f>+Actuals!AJ503</f>
        <v>0</v>
      </c>
      <c r="AN45" s="133">
        <f>+Actuals!AK503</f>
        <v>0</v>
      </c>
      <c r="AO45" s="134">
        <f>+Actuals!AL503</f>
        <v>0</v>
      </c>
      <c r="AP45" s="133">
        <f>+Actuals!AM503</f>
        <v>0</v>
      </c>
      <c r="AQ45" s="134">
        <f>+Actuals!AN503</f>
        <v>0</v>
      </c>
      <c r="AR45" s="133">
        <f>+Actuals!AO503</f>
        <v>0</v>
      </c>
      <c r="AS45" s="134">
        <f>+Actuals!AP503</f>
        <v>0</v>
      </c>
    </row>
    <row r="46" spans="1:45" x14ac:dyDescent="0.2">
      <c r="A46" s="9"/>
      <c r="B46" s="11"/>
      <c r="C46" s="6"/>
      <c r="D46" s="60">
        <f t="shared" si="22"/>
        <v>0</v>
      </c>
      <c r="E46" s="38">
        <f t="shared" si="22"/>
        <v>0</v>
      </c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2"/>
        <v>0</v>
      </c>
      <c r="E47" s="38">
        <f t="shared" si="22"/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134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+Actuals!Y504</f>
        <v>0</v>
      </c>
      <c r="AC47" s="134">
        <f>+Actuals!Z504</f>
        <v>0</v>
      </c>
      <c r="AD47" s="133">
        <f>+Actuals!AA504</f>
        <v>0</v>
      </c>
      <c r="AE47" s="134">
        <f>+Actuals!AB504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  <c r="AJ47" s="133">
        <f>+Actuals!AG504</f>
        <v>0</v>
      </c>
      <c r="AK47" s="134">
        <f>+Actuals!AH504</f>
        <v>0</v>
      </c>
      <c r="AL47" s="133">
        <f>+Actuals!AI504</f>
        <v>0</v>
      </c>
      <c r="AM47" s="134">
        <f>+Actuals!AJ504</f>
        <v>0</v>
      </c>
      <c r="AN47" s="133">
        <f>+Actuals!AK504</f>
        <v>0</v>
      </c>
      <c r="AO47" s="134">
        <f>+Actuals!AL504</f>
        <v>0</v>
      </c>
      <c r="AP47" s="133">
        <f>+Actuals!AM504</f>
        <v>0</v>
      </c>
      <c r="AQ47" s="134">
        <f>+Actuals!AN504</f>
        <v>0</v>
      </c>
      <c r="AR47" s="133">
        <f>+Actuals!AO504</f>
        <v>0</v>
      </c>
      <c r="AS47" s="134">
        <f>+Actuals!AP504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-15405</v>
      </c>
      <c r="E49" s="38">
        <f>SUM(G49,I49,K49,M49,O49,Q49,S49,U49,W49,Y49,AA49,AC49,AE49,AG49,AI49,AK49,AM49,AO49,AQ49,AS49)</f>
        <v>-23276.955000000191</v>
      </c>
      <c r="F49" s="60">
        <f>'TIE-OUT'!N49+RECLASS!N49</f>
        <v>0</v>
      </c>
      <c r="G49" s="38">
        <f>'TIE-OUT'!O49+RECLASS!O49</f>
        <v>0</v>
      </c>
      <c r="H49" s="133">
        <f>+Actuals!E305</f>
        <v>1889730</v>
      </c>
      <c r="I49" s="134">
        <f>+Actuals!F305</f>
        <v>2855382.03</v>
      </c>
      <c r="J49" s="133">
        <f>+Actuals!G305</f>
        <v>-1793141</v>
      </c>
      <c r="K49" s="134">
        <f>+Actuals!H305</f>
        <v>-2709436.051</v>
      </c>
      <c r="L49" s="133">
        <f>+Actuals!I305</f>
        <v>-26536</v>
      </c>
      <c r="M49" s="134">
        <f>+Actuals!J305</f>
        <v>-40095.896000000001</v>
      </c>
      <c r="N49" s="133">
        <f>+Actuals!K305</f>
        <v>15816</v>
      </c>
      <c r="O49" s="134">
        <f>+Actuals!L305</f>
        <v>23897.975999999999</v>
      </c>
      <c r="P49" s="133">
        <f>+Actuals!M305</f>
        <v>3</v>
      </c>
      <c r="Q49" s="134">
        <f>+Actuals!N305</f>
        <v>4.5330000000000004</v>
      </c>
      <c r="R49" s="133">
        <f>+Actuals!O305</f>
        <v>0</v>
      </c>
      <c r="S49" s="134">
        <f>+Actuals!P305</f>
        <v>0</v>
      </c>
      <c r="T49" s="133">
        <f>+Actuals!Q305</f>
        <v>2525</v>
      </c>
      <c r="U49" s="134">
        <f>+Actuals!R305</f>
        <v>3815.2750000000001</v>
      </c>
      <c r="V49" s="133">
        <f>+Actuals!S305</f>
        <v>12500</v>
      </c>
      <c r="W49" s="134">
        <f>+Actuals!T305</f>
        <v>18887.5</v>
      </c>
      <c r="X49" s="133">
        <f>+Actuals!U305</f>
        <v>0</v>
      </c>
      <c r="Y49" s="134">
        <f>+Actuals!V305</f>
        <v>0</v>
      </c>
      <c r="Z49" s="133">
        <f>+Actuals!W305</f>
        <v>-116302</v>
      </c>
      <c r="AA49" s="134">
        <f>+Actuals!X305</f>
        <v>-175732.32199999999</v>
      </c>
      <c r="AB49" s="133">
        <f>+Actuals!Y505</f>
        <v>116302</v>
      </c>
      <c r="AC49" s="134">
        <f>+Actuals!Z505</f>
        <v>175732.32199999999</v>
      </c>
      <c r="AD49" s="133">
        <f>+Actuals!AA505</f>
        <v>0</v>
      </c>
      <c r="AE49" s="134">
        <f>+Actuals!AB505</f>
        <v>0</v>
      </c>
      <c r="AF49" s="133">
        <f>+Actuals!AC505</f>
        <v>-116302</v>
      </c>
      <c r="AG49" s="134">
        <f>+Actuals!AD505</f>
        <v>-175732.32199999999</v>
      </c>
      <c r="AH49" s="133">
        <f>+Actuals!AE505</f>
        <v>0</v>
      </c>
      <c r="AI49" s="134">
        <f>+Actuals!AF505</f>
        <v>0</v>
      </c>
      <c r="AJ49" s="133">
        <f>+Actuals!AG505</f>
        <v>0</v>
      </c>
      <c r="AK49" s="134">
        <f>+Actuals!AH505</f>
        <v>0</v>
      </c>
      <c r="AL49" s="133">
        <f>+Actuals!AI505</f>
        <v>0</v>
      </c>
      <c r="AM49" s="134">
        <f>+Actuals!AJ505</f>
        <v>0</v>
      </c>
      <c r="AN49" s="133">
        <f>+Actuals!AK505</f>
        <v>0</v>
      </c>
      <c r="AO49" s="134">
        <f>+Actuals!AL505</f>
        <v>0</v>
      </c>
      <c r="AP49" s="133">
        <f>+Actuals!AM505</f>
        <v>0</v>
      </c>
      <c r="AQ49" s="134">
        <f>+Actuals!AN505</f>
        <v>0</v>
      </c>
      <c r="AR49" s="133">
        <f>+Actuals!AO505</f>
        <v>0</v>
      </c>
      <c r="AS49" s="134">
        <f>+Actuals!AP505</f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-287275</v>
      </c>
      <c r="E51" s="38">
        <f>SUM(G51,I51,K51,M51,O51,Q51,S51,U51,W51,Y51,AA51,AC51,AE51,AG51,AI51,AK51,AM51,AO51,AQ51,AS51)</f>
        <v>-434072.527</v>
      </c>
      <c r="F51" s="60">
        <f>'TIE-OUT'!N51+RECLASS!N51</f>
        <v>0</v>
      </c>
      <c r="G51" s="38">
        <f>'TIE-OUT'!O51+RECLASS!O51</f>
        <v>0</v>
      </c>
      <c r="H51" s="133">
        <f>+Actuals!E306</f>
        <v>-282538</v>
      </c>
      <c r="I51" s="134">
        <f>+Actuals!F306</f>
        <v>-426914.92</v>
      </c>
      <c r="J51" s="133">
        <f>+Actuals!G306</f>
        <v>-4741</v>
      </c>
      <c r="K51" s="134">
        <f>+Actuals!H306</f>
        <v>-7163.6509999999998</v>
      </c>
      <c r="L51" s="133">
        <f>+Actuals!I306</f>
        <v>1</v>
      </c>
      <c r="M51" s="134">
        <f>+Actuals!J306</f>
        <v>1.5109999999999999</v>
      </c>
      <c r="N51" s="133">
        <f>+Actuals!K306</f>
        <v>0</v>
      </c>
      <c r="O51" s="134">
        <f>+Actuals!L306</f>
        <v>0</v>
      </c>
      <c r="P51" s="133">
        <f>+Actuals!M306</f>
        <v>3</v>
      </c>
      <c r="Q51" s="134">
        <f>+Actuals!N306</f>
        <v>4.5330000000000004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0</v>
      </c>
      <c r="W51" s="134">
        <f>+Actuals!T306</f>
        <v>0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+Actuals!Y506</f>
        <v>0</v>
      </c>
      <c r="AC51" s="134">
        <f>+Actuals!Z506</f>
        <v>0</v>
      </c>
      <c r="AD51" s="133">
        <f>+Actuals!AA506</f>
        <v>0</v>
      </c>
      <c r="AE51" s="134">
        <f>+Actuals!AB506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  <c r="AJ51" s="133">
        <f>+Actuals!AG506</f>
        <v>0</v>
      </c>
      <c r="AK51" s="134">
        <f>+Actuals!AH506</f>
        <v>0</v>
      </c>
      <c r="AL51" s="133">
        <f>+Actuals!AI506</f>
        <v>0</v>
      </c>
      <c r="AM51" s="134">
        <f>+Actuals!AJ506</f>
        <v>0</v>
      </c>
      <c r="AN51" s="133">
        <f>+Actuals!AK506</f>
        <v>0</v>
      </c>
      <c r="AO51" s="134">
        <f>+Actuals!AL506</f>
        <v>0</v>
      </c>
      <c r="AP51" s="133">
        <f>+Actuals!AM506</f>
        <v>0</v>
      </c>
      <c r="AQ51" s="134">
        <f>+Actuals!AN506</f>
        <v>0</v>
      </c>
      <c r="AR51" s="133">
        <f>+Actuals!AO506</f>
        <v>0</v>
      </c>
      <c r="AS51" s="134">
        <f>+Actuals!AP506</f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-13056822</v>
      </c>
      <c r="E54" s="38">
        <f>SUM(G54,I54,K54,M54,O54,Q54,S54,U54,W54,Y54,AA54,AC54,AE54,AG54,AI54,AK54,AM54,AO54,AQ54,AS54)</f>
        <v>-141279.07</v>
      </c>
      <c r="F54" s="64">
        <f>'TIE-OUT'!N54+RECLASS!N54</f>
        <v>0</v>
      </c>
      <c r="G54" s="68">
        <f>'TIE-OUT'!O54+RECLASS!O54</f>
        <v>0</v>
      </c>
      <c r="H54" s="133">
        <f>+Actuals!E307</f>
        <v>-11980567</v>
      </c>
      <c r="I54" s="134">
        <f>+Actuals!F307</f>
        <v>-87437.68</v>
      </c>
      <c r="J54" s="133">
        <f>+Actuals!G307</f>
        <v>-1076255</v>
      </c>
      <c r="K54" s="134">
        <f>+Actuals!H307</f>
        <v>-55093.32</v>
      </c>
      <c r="L54" s="133">
        <f>+Actuals!I307</f>
        <v>0</v>
      </c>
      <c r="M54" s="134">
        <f>+Actuals!J307</f>
        <v>0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0</v>
      </c>
      <c r="R54" s="133">
        <f>+Actuals!O307</f>
        <v>0</v>
      </c>
      <c r="S54" s="134">
        <f>+Actuals!P307</f>
        <v>0</v>
      </c>
      <c r="T54" s="133">
        <f>+Actuals!Q307</f>
        <v>0</v>
      </c>
      <c r="U54" s="134">
        <f>+Actuals!R307</f>
        <v>0</v>
      </c>
      <c r="V54" s="133">
        <f>+Actuals!S307</f>
        <v>0</v>
      </c>
      <c r="W54" s="134">
        <f>+Actuals!T307</f>
        <v>0</v>
      </c>
      <c r="X54" s="133">
        <f>+Actuals!U307</f>
        <v>0</v>
      </c>
      <c r="Y54" s="134">
        <f>+Actuals!V307</f>
        <v>0</v>
      </c>
      <c r="Z54" s="133">
        <f>+Actuals!W307</f>
        <v>0</v>
      </c>
      <c r="AA54" s="134">
        <f>+Actuals!X307</f>
        <v>0</v>
      </c>
      <c r="AB54" s="133">
        <f>+Actuals!Y507</f>
        <v>0</v>
      </c>
      <c r="AC54" s="134">
        <f>+Actuals!Z507</f>
        <v>0</v>
      </c>
      <c r="AD54" s="133">
        <f>+Actuals!AA507</f>
        <v>0</v>
      </c>
      <c r="AE54" s="134">
        <f>+Actuals!AB507</f>
        <v>1251.93</v>
      </c>
      <c r="AF54" s="133">
        <f>+Actuals!AC507</f>
        <v>0</v>
      </c>
      <c r="AG54" s="134">
        <f>+Actuals!AD507</f>
        <v>0</v>
      </c>
      <c r="AH54" s="133">
        <f>+Actuals!AE507</f>
        <v>0</v>
      </c>
      <c r="AI54" s="134">
        <f>+Actuals!AF507</f>
        <v>0</v>
      </c>
      <c r="AJ54" s="133">
        <f>+Actuals!AG507</f>
        <v>0</v>
      </c>
      <c r="AK54" s="134">
        <f>+Actuals!AH507</f>
        <v>0</v>
      </c>
      <c r="AL54" s="133">
        <f>+Actuals!AI507</f>
        <v>0</v>
      </c>
      <c r="AM54" s="134">
        <f>+Actuals!AJ507</f>
        <v>0</v>
      </c>
      <c r="AN54" s="133">
        <f>+Actuals!AK507</f>
        <v>0</v>
      </c>
      <c r="AO54" s="134">
        <f>+Actuals!AL507</f>
        <v>0</v>
      </c>
      <c r="AP54" s="133">
        <f>+Actuals!AM507</f>
        <v>0</v>
      </c>
      <c r="AQ54" s="134">
        <f>+Actuals!AN507</f>
        <v>0</v>
      </c>
      <c r="AR54" s="133">
        <f>+Actuals!AO507</f>
        <v>0</v>
      </c>
      <c r="AS54" s="134">
        <f>+Actuals!AP507</f>
        <v>0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-892420.62999999977</v>
      </c>
      <c r="F55" s="81">
        <f>'TIE-OUT'!N55+RECLASS!N55</f>
        <v>0</v>
      </c>
      <c r="G55" s="82">
        <f>'TIE-OUT'!O55+RECLASS!O55</f>
        <v>1815439</v>
      </c>
      <c r="H55" s="133">
        <f>+Actuals!E308</f>
        <v>0</v>
      </c>
      <c r="I55" s="134">
        <f>+Actuals!F308</f>
        <v>-2734378.38</v>
      </c>
      <c r="J55" s="133">
        <f>+Actuals!G308</f>
        <v>0</v>
      </c>
      <c r="K55" s="134">
        <f>+Actuals!H308</f>
        <v>36019.800000000003</v>
      </c>
      <c r="L55" s="133">
        <f>+Actuals!I308</f>
        <v>0</v>
      </c>
      <c r="M55" s="134">
        <f>+Actuals!J308</f>
        <v>0.55000000000000004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+Actuals!Y508</f>
        <v>0</v>
      </c>
      <c r="AC55" s="134">
        <f>+Actuals!Z508</f>
        <v>0</v>
      </c>
      <c r="AD55" s="133">
        <f>+Actuals!AA508</f>
        <v>0</v>
      </c>
      <c r="AE55" s="134">
        <f>+Actuals!AB508</f>
        <v>-9501.6</v>
      </c>
      <c r="AF55" s="133">
        <f>+Actuals!AC508</f>
        <v>0</v>
      </c>
      <c r="AG55" s="134">
        <f>+Actuals!AD508</f>
        <v>0</v>
      </c>
      <c r="AH55" s="133">
        <f>+Actuals!AE508</f>
        <v>0</v>
      </c>
      <c r="AI55" s="134">
        <f>+Actuals!AF508</f>
        <v>0</v>
      </c>
      <c r="AJ55" s="133">
        <f>+Actuals!AG508</f>
        <v>0</v>
      </c>
      <c r="AK55" s="134">
        <f>+Actuals!AH508</f>
        <v>0</v>
      </c>
      <c r="AL55" s="133">
        <f>+Actuals!AI508</f>
        <v>0</v>
      </c>
      <c r="AM55" s="134">
        <f>+Actuals!AJ508</f>
        <v>0</v>
      </c>
      <c r="AN55" s="133">
        <f>+Actuals!AK508</f>
        <v>0</v>
      </c>
      <c r="AO55" s="134">
        <f>+Actuals!AL508</f>
        <v>0</v>
      </c>
      <c r="AP55" s="133">
        <f>+Actuals!AM508</f>
        <v>0</v>
      </c>
      <c r="AQ55" s="134">
        <f>+Actuals!AN508</f>
        <v>0</v>
      </c>
      <c r="AR55" s="133">
        <f>+Actuals!AO508</f>
        <v>0</v>
      </c>
      <c r="AS55" s="134">
        <f>+Actuals!AP508</f>
        <v>0</v>
      </c>
    </row>
    <row r="56" spans="1:45" x14ac:dyDescent="0.2">
      <c r="A56" s="9"/>
      <c r="B56" s="7" t="s">
        <v>61</v>
      </c>
      <c r="C56" s="6"/>
      <c r="D56" s="61">
        <f t="shared" ref="D56:AC56" si="23">SUM(D54:D55)</f>
        <v>-13056822</v>
      </c>
      <c r="E56" s="39">
        <f t="shared" si="23"/>
        <v>-1033699.6999999997</v>
      </c>
      <c r="F56" s="61">
        <f t="shared" si="23"/>
        <v>0</v>
      </c>
      <c r="G56" s="39">
        <f t="shared" si="23"/>
        <v>1815439</v>
      </c>
      <c r="H56" s="61">
        <f t="shared" si="23"/>
        <v>-11980567</v>
      </c>
      <c r="I56" s="39">
        <f t="shared" si="23"/>
        <v>-2821816.06</v>
      </c>
      <c r="J56" s="61">
        <f t="shared" si="23"/>
        <v>-1076255</v>
      </c>
      <c r="K56" s="39">
        <f t="shared" si="23"/>
        <v>-19073.519999999997</v>
      </c>
      <c r="L56" s="61">
        <f t="shared" si="23"/>
        <v>0</v>
      </c>
      <c r="M56" s="39">
        <f t="shared" si="23"/>
        <v>0.55000000000000004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-8249.67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ref="AJ56:AO56" si="25">SUM(AJ54:AJ55)</f>
        <v>0</v>
      </c>
      <c r="AK56" s="39">
        <f t="shared" si="25"/>
        <v>0</v>
      </c>
      <c r="AL56" s="61">
        <f t="shared" si="25"/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+Actuals!Y509</f>
        <v>0</v>
      </c>
      <c r="AC59" s="134">
        <f>+Actuals!Z509</f>
        <v>0</v>
      </c>
      <c r="AD59" s="133">
        <f>+Actuals!AA509</f>
        <v>0</v>
      </c>
      <c r="AE59" s="134">
        <f>+Actuals!AB509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  <c r="AJ59" s="133">
        <f>+Actuals!AG509</f>
        <v>0</v>
      </c>
      <c r="AK59" s="134">
        <f>+Actuals!AH509</f>
        <v>0</v>
      </c>
      <c r="AL59" s="133">
        <f>+Actuals!AI509</f>
        <v>0</v>
      </c>
      <c r="AM59" s="134">
        <f>+Actuals!AJ509</f>
        <v>0</v>
      </c>
      <c r="AN59" s="133">
        <f>+Actuals!AK509</f>
        <v>0</v>
      </c>
      <c r="AO59" s="134">
        <f>+Actuals!AL509</f>
        <v>0</v>
      </c>
      <c r="AP59" s="133">
        <f>+Actuals!AM509</f>
        <v>0</v>
      </c>
      <c r="AQ59" s="134">
        <f>+Actuals!AN509</f>
        <v>0</v>
      </c>
      <c r="AR59" s="133">
        <f>+Actuals!AO509</f>
        <v>0</v>
      </c>
      <c r="AS59" s="134">
        <f>+Actuals!AP509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+Actuals!Y510</f>
        <v>0</v>
      </c>
      <c r="AC60" s="134">
        <f>+Actuals!Z510</f>
        <v>0</v>
      </c>
      <c r="AD60" s="133">
        <f>+Actuals!AA510</f>
        <v>0</v>
      </c>
      <c r="AE60" s="134">
        <f>+Actuals!AB510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  <c r="AJ60" s="133">
        <f>+Actuals!AG510</f>
        <v>0</v>
      </c>
      <c r="AK60" s="134">
        <f>+Actuals!AH510</f>
        <v>0</v>
      </c>
      <c r="AL60" s="133">
        <f>+Actuals!AI510</f>
        <v>0</v>
      </c>
      <c r="AM60" s="134">
        <f>+Actuals!AJ510</f>
        <v>0</v>
      </c>
      <c r="AN60" s="133">
        <f>+Actuals!AK510</f>
        <v>0</v>
      </c>
      <c r="AO60" s="134">
        <f>+Actuals!AL510</f>
        <v>0</v>
      </c>
      <c r="AP60" s="133">
        <f>+Actuals!AM510</f>
        <v>0</v>
      </c>
      <c r="AQ60" s="134">
        <f>+Actuals!AN510</f>
        <v>0</v>
      </c>
      <c r="AR60" s="133">
        <f>+Actuals!AO510</f>
        <v>0</v>
      </c>
      <c r="AS60" s="134">
        <f>+Actuals!AP510</f>
        <v>0</v>
      </c>
    </row>
    <row r="61" spans="1:45" x14ac:dyDescent="0.2">
      <c r="A61" s="9"/>
      <c r="B61" s="62" t="s">
        <v>65</v>
      </c>
      <c r="C61" s="6"/>
      <c r="D61" s="61">
        <f t="shared" ref="D61:AC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ref="AJ61:AO61" si="28">SUM(AJ59:AJ60)</f>
        <v>0</v>
      </c>
      <c r="AK61" s="39">
        <f t="shared" si="28"/>
        <v>0</v>
      </c>
      <c r="AL61" s="61">
        <f t="shared" si="28"/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SUM(F63,H63,J63,L63,N63,P63,R63,T63,V63,X63,Z63,AB63,AD63,AF63,AH63,AJ63,AL63,AN63,AP63,AR63)</f>
        <v>0</v>
      </c>
      <c r="E63" s="38">
        <f t="shared" si="29"/>
        <v>0</v>
      </c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29"/>
        <v>0</v>
      </c>
      <c r="E64" s="38">
        <f t="shared" si="29"/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+Actuals!Y511</f>
        <v>0</v>
      </c>
      <c r="AC64" s="134">
        <f>+Actuals!Z511</f>
        <v>0</v>
      </c>
      <c r="AD64" s="133">
        <f>+Actuals!AA511</f>
        <v>0</v>
      </c>
      <c r="AE64" s="134">
        <f>+Actuals!AB511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  <c r="AJ64" s="133">
        <f>+Actuals!AG511</f>
        <v>0</v>
      </c>
      <c r="AK64" s="134">
        <f>+Actuals!AH511</f>
        <v>0</v>
      </c>
      <c r="AL64" s="133">
        <f>+Actuals!AI511</f>
        <v>0</v>
      </c>
      <c r="AM64" s="134">
        <f>+Actuals!AJ511</f>
        <v>0</v>
      </c>
      <c r="AN64" s="133">
        <f>+Actuals!AK511</f>
        <v>0</v>
      </c>
      <c r="AO64" s="134">
        <f>+Actuals!AL511</f>
        <v>0</v>
      </c>
      <c r="AP64" s="133">
        <f>+Actuals!AM511</f>
        <v>0</v>
      </c>
      <c r="AQ64" s="134">
        <f>+Actuals!AN511</f>
        <v>0</v>
      </c>
      <c r="AR64" s="133">
        <f>+Actuals!AO511</f>
        <v>0</v>
      </c>
      <c r="AS64" s="134">
        <f>+Actuals!AP511</f>
        <v>0</v>
      </c>
    </row>
    <row r="65" spans="1:45" x14ac:dyDescent="0.2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+Actuals!Y512</f>
        <v>0</v>
      </c>
      <c r="AC65" s="134">
        <f>+Actuals!Z512</f>
        <v>0</v>
      </c>
      <c r="AD65" s="133">
        <f>+Actuals!AA512</f>
        <v>0</v>
      </c>
      <c r="AE65" s="134">
        <f>+Actuals!AB512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  <c r="AJ65" s="133">
        <f>+Actuals!AG512</f>
        <v>0</v>
      </c>
      <c r="AK65" s="134">
        <f>+Actuals!AH512</f>
        <v>0</v>
      </c>
      <c r="AL65" s="133">
        <f>+Actuals!AI512</f>
        <v>0</v>
      </c>
      <c r="AM65" s="134">
        <f>+Actuals!AJ512</f>
        <v>0</v>
      </c>
      <c r="AN65" s="133">
        <f>+Actuals!AK512</f>
        <v>0</v>
      </c>
      <c r="AO65" s="134">
        <f>+Actuals!AL512</f>
        <v>0</v>
      </c>
      <c r="AP65" s="133">
        <f>+Actuals!AM512</f>
        <v>0</v>
      </c>
      <c r="AQ65" s="134">
        <f>+Actuals!AN512</f>
        <v>0</v>
      </c>
      <c r="AR65" s="133">
        <f>+Actuals!AO512</f>
        <v>0</v>
      </c>
      <c r="AS65" s="134">
        <f>+Actuals!AP512</f>
        <v>0</v>
      </c>
    </row>
    <row r="66" spans="1:45" x14ac:dyDescent="0.2">
      <c r="A66" s="9"/>
      <c r="B66" s="7" t="s">
        <v>68</v>
      </c>
      <c r="C66" s="6"/>
      <c r="D66" s="61">
        <f t="shared" ref="D66:AC66" si="30">SUM(D64:D65)</f>
        <v>0</v>
      </c>
      <c r="E66" s="39">
        <f t="shared" si="30"/>
        <v>0</v>
      </c>
      <c r="F66" s="61">
        <f t="shared" si="30"/>
        <v>0</v>
      </c>
      <c r="G66" s="39">
        <f t="shared" si="30"/>
        <v>0</v>
      </c>
      <c r="H66" s="61">
        <f t="shared" si="30"/>
        <v>0</v>
      </c>
      <c r="I66" s="39">
        <f t="shared" si="30"/>
        <v>0</v>
      </c>
      <c r="J66" s="61">
        <f t="shared" si="30"/>
        <v>0</v>
      </c>
      <c r="K66" s="39">
        <f t="shared" si="30"/>
        <v>0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ref="AD66:AI66" si="31">SUM(AD64:AD65)</f>
        <v>0</v>
      </c>
      <c r="AE66" s="39">
        <f t="shared" si="31"/>
        <v>0</v>
      </c>
      <c r="AF66" s="61">
        <f t="shared" si="31"/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ref="AJ66:AO66" si="32">SUM(AJ64:AJ65)</f>
        <v>0</v>
      </c>
      <c r="AK66" s="39">
        <f t="shared" si="32"/>
        <v>0</v>
      </c>
      <c r="AL66" s="61">
        <f t="shared" si="32"/>
        <v>0</v>
      </c>
      <c r="AM66" s="39">
        <f t="shared" si="32"/>
        <v>0</v>
      </c>
      <c r="AN66" s="61">
        <f t="shared" si="32"/>
        <v>0</v>
      </c>
      <c r="AO66" s="39">
        <f t="shared" si="32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692309</v>
      </c>
      <c r="F70" s="64">
        <f>'TIE-OUT'!N70+RECLASS!N70</f>
        <v>0</v>
      </c>
      <c r="G70" s="68">
        <f>'TIE-OUT'!O70+RECLASS!O70</f>
        <v>-793175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72">
        <v>1485484</v>
      </c>
      <c r="N70" s="133">
        <f>+Actuals!K313</f>
        <v>0</v>
      </c>
      <c r="O70" s="134">
        <f>+Actuals!L313</f>
        <v>0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+Actuals!Y513</f>
        <v>0</v>
      </c>
      <c r="AC70" s="134">
        <f>+Actuals!Z513</f>
        <v>0</v>
      </c>
      <c r="AD70" s="133">
        <f>+Actuals!AA513</f>
        <v>0</v>
      </c>
      <c r="AE70" s="134">
        <f>+Actuals!AB513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  <c r="AJ70" s="133">
        <f>+Actuals!AG513</f>
        <v>0</v>
      </c>
      <c r="AK70" s="134">
        <f>+Actuals!AH513</f>
        <v>0</v>
      </c>
      <c r="AL70" s="133">
        <f>+Actuals!AI513</f>
        <v>0</v>
      </c>
      <c r="AM70" s="134">
        <f>+Actuals!AJ513</f>
        <v>0</v>
      </c>
      <c r="AN70" s="133">
        <f>+Actuals!AK513</f>
        <v>0</v>
      </c>
      <c r="AO70" s="134">
        <f>+Actuals!AL513</f>
        <v>0</v>
      </c>
      <c r="AP70" s="133">
        <f>+Actuals!AM513</f>
        <v>0</v>
      </c>
      <c r="AQ70" s="134">
        <f>+Actuals!AN513</f>
        <v>0</v>
      </c>
      <c r="AR70" s="133">
        <f>+Actuals!AO513</f>
        <v>0</v>
      </c>
      <c r="AS70" s="134">
        <f>+Actuals!AP513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+Actuals!Y514</f>
        <v>0</v>
      </c>
      <c r="AC71" s="134">
        <f>+Actuals!Z514</f>
        <v>0</v>
      </c>
      <c r="AD71" s="133">
        <f>+Actuals!AA514</f>
        <v>0</v>
      </c>
      <c r="AE71" s="134">
        <f>+Actuals!AB514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  <c r="AJ71" s="133">
        <f>+Actuals!AG514</f>
        <v>0</v>
      </c>
      <c r="AK71" s="134">
        <f>+Actuals!AH514</f>
        <v>0</v>
      </c>
      <c r="AL71" s="133">
        <f>+Actuals!AI514</f>
        <v>0</v>
      </c>
      <c r="AM71" s="134">
        <f>+Actuals!AJ514</f>
        <v>0</v>
      </c>
      <c r="AN71" s="133">
        <f>+Actuals!AK514</f>
        <v>0</v>
      </c>
      <c r="AO71" s="134">
        <f>+Actuals!AL514</f>
        <v>0</v>
      </c>
      <c r="AP71" s="133">
        <f>+Actuals!AM514</f>
        <v>0</v>
      </c>
      <c r="AQ71" s="134">
        <f>+Actuals!AN514</f>
        <v>0</v>
      </c>
      <c r="AR71" s="133">
        <f>+Actuals!AO514</f>
        <v>0</v>
      </c>
      <c r="AS71" s="134">
        <f>+Actuals!AP514</f>
        <v>0</v>
      </c>
    </row>
    <row r="72" spans="1:45" x14ac:dyDescent="0.2">
      <c r="A72" s="9"/>
      <c r="B72" s="3"/>
      <c r="C72" s="55" t="s">
        <v>73</v>
      </c>
      <c r="D72" s="61">
        <f t="shared" ref="D72:AC72" si="33">SUM(D70:D71)</f>
        <v>0</v>
      </c>
      <c r="E72" s="39">
        <f t="shared" si="33"/>
        <v>692309</v>
      </c>
      <c r="F72" s="61">
        <f t="shared" si="33"/>
        <v>0</v>
      </c>
      <c r="G72" s="39">
        <f t="shared" si="33"/>
        <v>-793175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39">
        <f t="shared" si="33"/>
        <v>0</v>
      </c>
      <c r="L72" s="61">
        <f t="shared" si="33"/>
        <v>0</v>
      </c>
      <c r="M72" s="39">
        <f t="shared" si="33"/>
        <v>1485484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ref="AD72:AI72" si="34">SUM(AD70:AD71)</f>
        <v>0</v>
      </c>
      <c r="AE72" s="39">
        <f t="shared" si="34"/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ref="AJ72:AO72" si="35">SUM(AJ70:AJ71)</f>
        <v>0</v>
      </c>
      <c r="AK72" s="39">
        <f t="shared" si="35"/>
        <v>0</v>
      </c>
      <c r="AL72" s="61">
        <f t="shared" si="35"/>
        <v>0</v>
      </c>
      <c r="AM72" s="39">
        <f t="shared" si="35"/>
        <v>0</v>
      </c>
      <c r="AN72" s="61">
        <f t="shared" si="35"/>
        <v>0</v>
      </c>
      <c r="AO72" s="39">
        <f t="shared" si="3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SUM(F73,H73,J73,L73,N73,P73,R73,T73,V73,X73,Z73,AB73,AD73,AF73,AH73,AJ73,AL73,AN73,AP73,AR73)</f>
        <v>0</v>
      </c>
      <c r="E73" s="38">
        <f t="shared" ref="E73:E81" si="37">SUM(G73,I73,K73,M73,O73,Q73,S73,U73,W73,Y73,AA73,AC73,AE73,AG73,AI73,AK73,AM73,AO73,AQ73,AS73)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+Actuals!Y515</f>
        <v>0</v>
      </c>
      <c r="AC73" s="134">
        <f>+Actuals!Z515</f>
        <v>0</v>
      </c>
      <c r="AD73" s="133">
        <f>+Actuals!AA515</f>
        <v>0</v>
      </c>
      <c r="AE73" s="134">
        <f>+Actuals!AB515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  <c r="AJ73" s="133">
        <f>+Actuals!AG515</f>
        <v>0</v>
      </c>
      <c r="AK73" s="134">
        <f>+Actuals!AH515</f>
        <v>0</v>
      </c>
      <c r="AL73" s="133">
        <f>+Actuals!AI515</f>
        <v>0</v>
      </c>
      <c r="AM73" s="134">
        <f>+Actuals!AJ515</f>
        <v>0</v>
      </c>
      <c r="AN73" s="133">
        <f>+Actuals!AK515</f>
        <v>0</v>
      </c>
      <c r="AO73" s="134">
        <f>+Actuals!AL515</f>
        <v>0</v>
      </c>
      <c r="AP73" s="133">
        <f>+Actuals!AM515</f>
        <v>0</v>
      </c>
      <c r="AQ73" s="134">
        <f>+Actuals!AN515</f>
        <v>0</v>
      </c>
      <c r="AR73" s="133">
        <f>+Actuals!AO515</f>
        <v>0</v>
      </c>
      <c r="AS73" s="134">
        <f>+Actuals!AP515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338995</v>
      </c>
      <c r="F74" s="60">
        <f>'TIE-OUT'!N74+RECLASS!N74</f>
        <v>0</v>
      </c>
      <c r="G74" s="60">
        <f>'TIE-OUT'!O74+RECLASS!O74</f>
        <v>338995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</f>
        <v>0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+Actuals!Y516</f>
        <v>0</v>
      </c>
      <c r="AC74" s="134">
        <f>+Actuals!Z516</f>
        <v>0</v>
      </c>
      <c r="AD74" s="133">
        <f>+Actuals!AA516</f>
        <v>0</v>
      </c>
      <c r="AE74" s="134">
        <f>+Actuals!AB516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  <c r="AJ74" s="133">
        <f>+Actuals!AG516</f>
        <v>0</v>
      </c>
      <c r="AK74" s="134">
        <f>+Actuals!AH516</f>
        <v>0</v>
      </c>
      <c r="AL74" s="133">
        <f>+Actuals!AI516</f>
        <v>0</v>
      </c>
      <c r="AM74" s="134">
        <f>+Actuals!AJ516</f>
        <v>0</v>
      </c>
      <c r="AN74" s="133">
        <f>+Actuals!AK516</f>
        <v>0</v>
      </c>
      <c r="AO74" s="134">
        <f>+Actuals!AL516</f>
        <v>0</v>
      </c>
      <c r="AP74" s="133">
        <f>+Actuals!AM516</f>
        <v>0</v>
      </c>
      <c r="AQ74" s="134">
        <f>+Actuals!AN516</f>
        <v>0</v>
      </c>
      <c r="AR74" s="133">
        <f>+Actuals!AO516</f>
        <v>0</v>
      </c>
      <c r="AS74" s="134">
        <f>+Actuals!AP516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203200</v>
      </c>
      <c r="F75" s="60">
        <f>'TIE-OUT'!N75+RECLASS!N75</f>
        <v>0</v>
      </c>
      <c r="G75" s="60">
        <f>'TIE-OUT'!O75+RECLASS!O75</f>
        <v>203200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+Actuals!Y517</f>
        <v>0</v>
      </c>
      <c r="AC75" s="134">
        <f>+Actuals!Z517</f>
        <v>0</v>
      </c>
      <c r="AD75" s="133">
        <f>+Actuals!AA517</f>
        <v>0</v>
      </c>
      <c r="AE75" s="134">
        <f>+Actuals!AB517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  <c r="AJ75" s="133">
        <f>+Actuals!AG517</f>
        <v>0</v>
      </c>
      <c r="AK75" s="134">
        <f>+Actuals!AH517</f>
        <v>0</v>
      </c>
      <c r="AL75" s="133">
        <f>+Actuals!AI517</f>
        <v>0</v>
      </c>
      <c r="AM75" s="134">
        <f>+Actuals!AJ517</f>
        <v>0</v>
      </c>
      <c r="AN75" s="133">
        <f>+Actuals!AK517</f>
        <v>0</v>
      </c>
      <c r="AO75" s="134">
        <f>+Actuals!AL517</f>
        <v>0</v>
      </c>
      <c r="AP75" s="133">
        <f>+Actuals!AM517</f>
        <v>0</v>
      </c>
      <c r="AQ75" s="134">
        <f>+Actuals!AN517</f>
        <v>0</v>
      </c>
      <c r="AR75" s="133">
        <f>+Actuals!AO517</f>
        <v>0</v>
      </c>
      <c r="AS75" s="134">
        <f>+Actuals!AP517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-13255.01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-13105.01</v>
      </c>
      <c r="J76" s="133">
        <f>+Actuals!G318</f>
        <v>0</v>
      </c>
      <c r="K76" s="134">
        <f>+Actuals!H318</f>
        <v>-150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+Actuals!Y518</f>
        <v>0</v>
      </c>
      <c r="AC76" s="134">
        <f>+Actuals!Z518</f>
        <v>0</v>
      </c>
      <c r="AD76" s="133">
        <f>+Actuals!AA518</f>
        <v>0</v>
      </c>
      <c r="AE76" s="134">
        <f>+Actuals!AB518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  <c r="AJ76" s="133">
        <f>+Actuals!AG518</f>
        <v>0</v>
      </c>
      <c r="AK76" s="134">
        <f>+Actuals!AH518</f>
        <v>0</v>
      </c>
      <c r="AL76" s="133">
        <f>+Actuals!AI518</f>
        <v>0</v>
      </c>
      <c r="AM76" s="134">
        <f>+Actuals!AJ518</f>
        <v>0</v>
      </c>
      <c r="AN76" s="133">
        <f>+Actuals!AK518</f>
        <v>0</v>
      </c>
      <c r="AO76" s="134">
        <f>+Actuals!AL518</f>
        <v>0</v>
      </c>
      <c r="AP76" s="133">
        <f>+Actuals!AM518</f>
        <v>0</v>
      </c>
      <c r="AQ76" s="134">
        <f>+Actuals!AN518</f>
        <v>0</v>
      </c>
      <c r="AR76" s="133">
        <f>+Actuals!AO518</f>
        <v>0</v>
      </c>
      <c r="AS76" s="134">
        <f>+Actuals!AP518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+Actuals!Y519</f>
        <v>0</v>
      </c>
      <c r="AC77" s="134">
        <f>+Actuals!Z519</f>
        <v>0</v>
      </c>
      <c r="AD77" s="133">
        <f>+Actuals!AA519</f>
        <v>0</v>
      </c>
      <c r="AE77" s="134">
        <f>+Actuals!AB519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  <c r="AJ77" s="133">
        <f>+Actuals!AG519</f>
        <v>0</v>
      </c>
      <c r="AK77" s="134">
        <f>+Actuals!AH519</f>
        <v>0</v>
      </c>
      <c r="AL77" s="133">
        <f>+Actuals!AI519</f>
        <v>0</v>
      </c>
      <c r="AM77" s="134">
        <f>+Actuals!AJ519</f>
        <v>0</v>
      </c>
      <c r="AN77" s="133">
        <f>+Actuals!AK519</f>
        <v>0</v>
      </c>
      <c r="AO77" s="134">
        <f>+Actuals!AL519</f>
        <v>0</v>
      </c>
      <c r="AP77" s="133">
        <f>+Actuals!AM519</f>
        <v>0</v>
      </c>
      <c r="AQ77" s="134">
        <f>+Actuals!AN519</f>
        <v>0</v>
      </c>
      <c r="AR77" s="133">
        <f>+Actuals!AO519</f>
        <v>0</v>
      </c>
      <c r="AS77" s="134">
        <f>+Actuals!AP519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+Actuals!Y520</f>
        <v>0</v>
      </c>
      <c r="AC78" s="134">
        <f>+Actuals!Z520</f>
        <v>0</v>
      </c>
      <c r="AD78" s="133">
        <f>+Actuals!AA520</f>
        <v>0</v>
      </c>
      <c r="AE78" s="134">
        <f>+Actuals!AB520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  <c r="AJ78" s="133">
        <f>+Actuals!AG520</f>
        <v>0</v>
      </c>
      <c r="AK78" s="134">
        <f>+Actuals!AH520</f>
        <v>0</v>
      </c>
      <c r="AL78" s="133">
        <f>+Actuals!AI520</f>
        <v>0</v>
      </c>
      <c r="AM78" s="134">
        <f>+Actuals!AJ520</f>
        <v>0</v>
      </c>
      <c r="AN78" s="133">
        <f>+Actuals!AK520</f>
        <v>0</v>
      </c>
      <c r="AO78" s="134">
        <f>+Actuals!AL520</f>
        <v>0</v>
      </c>
      <c r="AP78" s="133">
        <f>+Actuals!AM520</f>
        <v>0</v>
      </c>
      <c r="AQ78" s="134">
        <f>+Actuals!AN520</f>
        <v>0</v>
      </c>
      <c r="AR78" s="133">
        <f>+Actuals!AO520</f>
        <v>0</v>
      </c>
      <c r="AS78" s="134">
        <f>+Actuals!AP520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+Actuals!Y521</f>
        <v>0</v>
      </c>
      <c r="AC79" s="134">
        <f>+Actuals!Z521</f>
        <v>0</v>
      </c>
      <c r="AD79" s="133">
        <f>+Actuals!AA521</f>
        <v>0</v>
      </c>
      <c r="AE79" s="134">
        <f>+Actuals!AB521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  <c r="AJ79" s="133">
        <f>+Actuals!AG521</f>
        <v>0</v>
      </c>
      <c r="AK79" s="134">
        <f>+Actuals!AH521</f>
        <v>0</v>
      </c>
      <c r="AL79" s="133">
        <f>+Actuals!AI521</f>
        <v>0</v>
      </c>
      <c r="AM79" s="134">
        <f>+Actuals!AJ521</f>
        <v>0</v>
      </c>
      <c r="AN79" s="133">
        <f>+Actuals!AK521</f>
        <v>0</v>
      </c>
      <c r="AO79" s="134">
        <f>+Actuals!AL521</f>
        <v>0</v>
      </c>
      <c r="AP79" s="133">
        <f>+Actuals!AM521</f>
        <v>0</v>
      </c>
      <c r="AQ79" s="134">
        <f>+Actuals!AN521</f>
        <v>0</v>
      </c>
      <c r="AR79" s="133">
        <f>+Actuals!AO521</f>
        <v>0</v>
      </c>
      <c r="AS79" s="134">
        <f>+Actuals!AP521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+Actuals!Y522</f>
        <v>0</v>
      </c>
      <c r="AC80" s="134">
        <f>+Actuals!Z522</f>
        <v>0</v>
      </c>
      <c r="AD80" s="133">
        <f>+Actuals!AA522</f>
        <v>0</v>
      </c>
      <c r="AE80" s="134">
        <f>+Actuals!AB522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  <c r="AJ80" s="133">
        <f>+Actuals!AG522</f>
        <v>0</v>
      </c>
      <c r="AK80" s="134">
        <f>+Actuals!AH522</f>
        <v>0</v>
      </c>
      <c r="AL80" s="133">
        <f>+Actuals!AI522</f>
        <v>0</v>
      </c>
      <c r="AM80" s="134">
        <f>+Actuals!AJ522</f>
        <v>0</v>
      </c>
      <c r="AN80" s="133">
        <f>+Actuals!AK522</f>
        <v>0</v>
      </c>
      <c r="AO80" s="134">
        <f>+Actuals!AL522</f>
        <v>0</v>
      </c>
      <c r="AP80" s="133">
        <f>+Actuals!AM522</f>
        <v>0</v>
      </c>
      <c r="AQ80" s="134">
        <f>+Actuals!AN522</f>
        <v>0</v>
      </c>
      <c r="AR80" s="133">
        <f>+Actuals!AO522</f>
        <v>0</v>
      </c>
      <c r="AS80" s="134">
        <f>+Actuals!AP522</f>
        <v>0</v>
      </c>
    </row>
    <row r="81" spans="1:45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58262.86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61394.86</v>
      </c>
      <c r="J81" s="133">
        <f>+Actuals!G323</f>
        <v>0</v>
      </c>
      <c r="K81" s="134">
        <f>+Actuals!H323</f>
        <v>-3132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+Actuals!Y523</f>
        <v>0</v>
      </c>
      <c r="AC81" s="134">
        <f>+Actuals!Z523</f>
        <v>0</v>
      </c>
      <c r="AD81" s="133">
        <f>+Actuals!AA523</f>
        <v>0</v>
      </c>
      <c r="AE81" s="134">
        <f>+Actuals!AB523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  <c r="AJ81" s="133">
        <f>+Actuals!AG523</f>
        <v>0</v>
      </c>
      <c r="AK81" s="134">
        <f>+Actuals!AH523</f>
        <v>0</v>
      </c>
      <c r="AL81" s="133">
        <f>+Actuals!AI523</f>
        <v>0</v>
      </c>
      <c r="AM81" s="134">
        <f>+Actuals!AJ523</f>
        <v>0</v>
      </c>
      <c r="AN81" s="133">
        <f>+Actuals!AK523</f>
        <v>0</v>
      </c>
      <c r="AO81" s="134">
        <f>+Actuals!AL523</f>
        <v>0</v>
      </c>
      <c r="AP81" s="133">
        <f>+Actuals!AM523</f>
        <v>0</v>
      </c>
      <c r="AQ81" s="134">
        <f>+Actuals!AN523</f>
        <v>0</v>
      </c>
      <c r="AR81" s="133">
        <f>+Actuals!AO523</f>
        <v>0</v>
      </c>
      <c r="AS81" s="134">
        <f>+Actuals!AP523</f>
        <v>0</v>
      </c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-920828.51300000423</v>
      </c>
      <c r="F82" s="92">
        <f>F16+F24+F29+F36+F43+F45+F47+F49</f>
        <v>0</v>
      </c>
      <c r="G82" s="93">
        <f>SUM(G72:G81)+G16+G24+G29+G36+G43+G45+G47+G49+G51+G56+G61+G66</f>
        <v>-972907.81</v>
      </c>
      <c r="H82" s="92">
        <f>H16+H24+H29+H36+H43+H45+H47+H49</f>
        <v>0</v>
      </c>
      <c r="I82" s="93">
        <f>SUM(I72:I81)+I16+I24+I29+I36+I43+I45+I47+I49+I51+I56+I61+I66</f>
        <v>-628243.49000000674</v>
      </c>
      <c r="J82" s="92">
        <f>J16+J24+J29+J36+J43+J45+J47+J49</f>
        <v>0</v>
      </c>
      <c r="K82" s="166">
        <f>SUM(K72:K81)+K16+K24+K29+K36+K43+K45+K47+K49+K51+K56+K61+K66</f>
        <v>-712351.74300000013</v>
      </c>
      <c r="L82" s="92">
        <f>L16+L24+L29+L36+L43+L45+L47+L49</f>
        <v>0</v>
      </c>
      <c r="M82" s="93">
        <f>SUM(M72:M81)+M16+M24+M29+M36+M43+M45+M47+M49+M51+M56+M61+M66</f>
        <v>1912119.936</v>
      </c>
      <c r="N82" s="92">
        <f>N16+N24+N29+N36+N43+N45+N47+N49</f>
        <v>0</v>
      </c>
      <c r="O82" s="93">
        <f>SUM(O72:O81)+O16+O24+O29+O36+O43+O45+O47+O49+O51+O56+O61+O66</f>
        <v>-131053.94400000002</v>
      </c>
      <c r="P82" s="92">
        <f>P16+P24+P29+P36+P43+P45+P47+P49</f>
        <v>0</v>
      </c>
      <c r="Q82" s="93">
        <f>SUM(Q72:Q81)+Q16+Q24+Q29+Q36+Q43+Q45+Q47+Q49+Q51+Q56+Q61+Q66</f>
        <v>-74068.840000000011</v>
      </c>
      <c r="R82" s="92">
        <f>R16+R24+R29+R36+R43+R45+R47+R49</f>
        <v>0</v>
      </c>
      <c r="S82" s="93">
        <f>SUM(S72:S81)+S16+S24+S29+S36+S43+S45+S47+S49+S51+S56+S61+S66</f>
        <v>1178077.5079999999</v>
      </c>
      <c r="T82" s="92">
        <f>T16+T24+T29+T36+T43+T45+T47+T49</f>
        <v>0</v>
      </c>
      <c r="U82" s="93">
        <f>SUM(U72:U81)+U16+U24+U29+U36+U43+U45+U47+U49+U51+U56+U61+U66</f>
        <v>-1490418.754</v>
      </c>
      <c r="V82" s="92">
        <f>V16+V24+V29+V36+V43+V45+V47+V49</f>
        <v>0</v>
      </c>
      <c r="W82" s="93">
        <f>SUM(W72:W81)+W16+W24+W29+W36+W43+W45+W47+W49+W51+W56+W61+W66</f>
        <v>-260563.96400000015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15353.678000000014</v>
      </c>
      <c r="AB82" s="92">
        <f>AB16+AB24+AB29+AB36+AB43+AB45+AB47+AB49</f>
        <v>0</v>
      </c>
      <c r="AC82" s="93">
        <f>SUM(AC72:AC81)+AC16+AC24+AC29+AC36+AC43+AC45+AC47+AC49+AC51+AC56+AC61+AC66</f>
        <v>-15353.678000000014</v>
      </c>
      <c r="AD82" s="92">
        <f>AD16+AD24+AD29+AD36+AD43+AD45+AD47+AD49</f>
        <v>0</v>
      </c>
      <c r="AE82" s="93">
        <f>SUM(AE72:AE81)+AE16+AE24+AE29+AE36+AE43+AE45+AE47+AE49+AE51+AE56+AE61+AE66</f>
        <v>-8249.67</v>
      </c>
      <c r="AF82" s="92">
        <f>AF16+AF24+AF29+AF36+AF43+AF45+AF47+AF49</f>
        <v>0</v>
      </c>
      <c r="AG82" s="93">
        <f>SUM(AG72:AG81)+AG16+AG24+AG29+AG36+AG43+AG45+AG47+AG49+AG51+AG56+AG61+AG66</f>
        <v>266993.67800000001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-107.71</v>
      </c>
      <c r="AP82" s="92">
        <f>AP16+AP24+AP29+AP36+AP43+AP45+AP47+AP49</f>
        <v>0</v>
      </c>
      <c r="AQ82" s="93">
        <f>SUM(AQ72:AQ81)+AQ16+AQ24+AQ29+AQ36+AQ43+AQ45+AQ47+AQ49+AQ51+AQ56+AQ61+AQ66</f>
        <v>-53.709999999999994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5" thickTop="1" x14ac:dyDescent="0.2">
      <c r="A83" s="4"/>
      <c r="B83" s="3"/>
    </row>
    <row r="84" spans="1:45" x14ac:dyDescent="0.2">
      <c r="A84" s="4"/>
      <c r="B84" s="3"/>
    </row>
    <row r="85" spans="1:45" x14ac:dyDescent="0.2">
      <c r="A85" s="4"/>
      <c r="B85" s="3"/>
    </row>
    <row r="86" spans="1:45" x14ac:dyDescent="0.2">
      <c r="A86" s="4"/>
      <c r="B86" s="3"/>
    </row>
    <row r="87" spans="1:45" x14ac:dyDescent="0.2">
      <c r="A87" s="4"/>
      <c r="B87" s="3"/>
    </row>
    <row r="88" spans="1:45" x14ac:dyDescent="0.2">
      <c r="A88" s="4"/>
      <c r="B88" s="3"/>
    </row>
    <row r="89" spans="1:45" x14ac:dyDescent="0.2">
      <c r="A89" s="4"/>
      <c r="B89" s="3"/>
    </row>
    <row r="90" spans="1:45" x14ac:dyDescent="0.2">
      <c r="A90" s="4"/>
      <c r="B90" s="3"/>
    </row>
    <row r="91" spans="1:45" x14ac:dyDescent="0.2">
      <c r="A91" s="4"/>
      <c r="B91" s="3"/>
    </row>
    <row r="92" spans="1:45" x14ac:dyDescent="0.2">
      <c r="A92" s="4"/>
      <c r="B92" s="3"/>
    </row>
    <row r="93" spans="1:45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S187"/>
  <sheetViews>
    <sheetView zoomScale="75" workbookViewId="0">
      <pane xSplit="3" ySplit="9" topLeftCell="E68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N647" sqref="AN64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178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5539729</v>
      </c>
      <c r="E11" s="38">
        <f t="shared" si="0"/>
        <v>6102564.9800000004</v>
      </c>
      <c r="F11" s="60">
        <f>'TIE-OUT'!X11+RECLASS!X11</f>
        <v>0</v>
      </c>
      <c r="G11" s="38">
        <f>'TIE-OUT'!Y11+RECLASS!Y11</f>
        <v>0</v>
      </c>
      <c r="H11" s="136">
        <f>+Actuals!E84</f>
        <v>5527229</v>
      </c>
      <c r="I11" s="137">
        <f>+Actuals!F84</f>
        <v>6091426.4100000001</v>
      </c>
      <c r="J11" s="136">
        <f>+Actuals!G84</f>
        <v>12500</v>
      </c>
      <c r="K11" s="153">
        <f>+Actuals!H84</f>
        <v>2142477.41</v>
      </c>
      <c r="L11" s="136">
        <f>+Actuals!I84</f>
        <v>0</v>
      </c>
      <c r="M11" s="137">
        <f>+Actuals!J84</f>
        <v>1717951.16</v>
      </c>
      <c r="N11" s="136">
        <f>+Actuals!K84</f>
        <v>0</v>
      </c>
      <c r="O11" s="137">
        <f>+Actuals!L84</f>
        <v>0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-3849290</v>
      </c>
      <c r="X11" s="136">
        <f>+Actuals!U84</f>
        <v>0</v>
      </c>
      <c r="Y11" s="137">
        <f>+Actuals!V84</f>
        <v>0</v>
      </c>
      <c r="Z11" s="136">
        <f>+Actuals!W84</f>
        <v>0</v>
      </c>
      <c r="AA11" s="137">
        <f>+Actuals!X84</f>
        <v>0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  <c r="AJ11" s="136">
        <f>+Actuals!AG84</f>
        <v>0</v>
      </c>
      <c r="AK11" s="137">
        <f>+Actuals!AH84</f>
        <v>0</v>
      </c>
      <c r="AL11" s="136">
        <f>+Actuals!AI84</f>
        <v>0</v>
      </c>
      <c r="AM11" s="137">
        <f>+Actuals!AJ84</f>
        <v>0</v>
      </c>
      <c r="AN11" s="136">
        <f>+Actuals!AK84</f>
        <v>0</v>
      </c>
      <c r="AO11" s="137">
        <f>+Actuals!AL84</f>
        <v>0</v>
      </c>
      <c r="AP11" s="136">
        <f>+Actuals!AM84</f>
        <v>0</v>
      </c>
      <c r="AQ11" s="137">
        <f>+Actuals!AN84</f>
        <v>0</v>
      </c>
      <c r="AR11" s="136">
        <f>+Actuals!AO84</f>
        <v>0</v>
      </c>
      <c r="AS11" s="137">
        <f>+Actuals!AP84</f>
        <v>0</v>
      </c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  <c r="AJ12" s="136">
        <f>+Actuals!AG85</f>
        <v>0</v>
      </c>
      <c r="AK12" s="137">
        <f>+Actuals!AH85</f>
        <v>0</v>
      </c>
      <c r="AL12" s="136">
        <f>+Actuals!AI85</f>
        <v>0</v>
      </c>
      <c r="AM12" s="137">
        <f>+Actuals!AJ85</f>
        <v>0</v>
      </c>
      <c r="AN12" s="136">
        <f>+Actuals!AK85</f>
        <v>0</v>
      </c>
      <c r="AO12" s="137">
        <f>+Actuals!AL85</f>
        <v>0</v>
      </c>
      <c r="AP12" s="136">
        <f>+Actuals!AM85</f>
        <v>0</v>
      </c>
      <c r="AQ12" s="137">
        <f>+Actuals!AN85</f>
        <v>0</v>
      </c>
      <c r="AR12" s="136">
        <f>+Actuals!AO85</f>
        <v>0</v>
      </c>
      <c r="AS12" s="137">
        <f>+Actuals!AP85</f>
        <v>0</v>
      </c>
    </row>
    <row r="13" spans="1:45" x14ac:dyDescent="0.2">
      <c r="A13" s="9">
        <v>3</v>
      </c>
      <c r="B13" s="7"/>
      <c r="C13" s="18" t="s">
        <v>31</v>
      </c>
      <c r="D13" s="60">
        <f t="shared" si="0"/>
        <v>11170675</v>
      </c>
      <c r="E13" s="38">
        <f t="shared" si="0"/>
        <v>22517317</v>
      </c>
      <c r="F13" s="60">
        <f>'TIE-OUT'!X13+RECLASS!X13</f>
        <v>0</v>
      </c>
      <c r="G13" s="38">
        <f>'TIE-OUT'!Y13+RECLASS!Y13</f>
        <v>0</v>
      </c>
      <c r="H13" s="136">
        <f>+Actuals!E86</f>
        <v>11170675</v>
      </c>
      <c r="I13" s="137">
        <f>+Actuals!F86</f>
        <v>22517317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  <c r="AJ13" s="136">
        <f>+Actuals!AG86</f>
        <v>0</v>
      </c>
      <c r="AK13" s="137">
        <f>+Actuals!AH86</f>
        <v>0</v>
      </c>
      <c r="AL13" s="136">
        <f>+Actuals!AI86</f>
        <v>0</v>
      </c>
      <c r="AM13" s="137">
        <f>+Actuals!AJ86</f>
        <v>0</v>
      </c>
      <c r="AN13" s="136">
        <f>+Actuals!AK86</f>
        <v>0</v>
      </c>
      <c r="AO13" s="137">
        <f>+Actuals!AL86</f>
        <v>0</v>
      </c>
      <c r="AP13" s="136">
        <f>+Actuals!AM86</f>
        <v>0</v>
      </c>
      <c r="AQ13" s="137">
        <f>+Actuals!AN86</f>
        <v>0</v>
      </c>
      <c r="AR13" s="136">
        <f>+Actuals!AO86</f>
        <v>0</v>
      </c>
      <c r="AS13" s="137">
        <f>+Actuals!AP86</f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  <c r="AJ14" s="136">
        <f>+Actuals!AG87</f>
        <v>0</v>
      </c>
      <c r="AK14" s="137">
        <f>+Actuals!AH87</f>
        <v>0</v>
      </c>
      <c r="AL14" s="136">
        <f>+Actuals!AI87</f>
        <v>0</v>
      </c>
      <c r="AM14" s="137">
        <f>+Actuals!AJ87</f>
        <v>0</v>
      </c>
      <c r="AN14" s="136">
        <f>+Actuals!AK87</f>
        <v>0</v>
      </c>
      <c r="AO14" s="137">
        <f>+Actuals!AL87</f>
        <v>0</v>
      </c>
      <c r="AP14" s="136">
        <f>+Actuals!AM87</f>
        <v>0</v>
      </c>
      <c r="AQ14" s="137">
        <f>+Actuals!AN87</f>
        <v>0</v>
      </c>
      <c r="AR14" s="136">
        <f>+Actuals!AO87</f>
        <v>0</v>
      </c>
      <c r="AS14" s="137">
        <f>+Actuals!AP87</f>
        <v>0</v>
      </c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v>3740000</v>
      </c>
      <c r="J15" s="136">
        <f>+Actuals!G88</f>
        <v>0</v>
      </c>
      <c r="K15" s="153">
        <v>-3740000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  <c r="AJ15" s="136">
        <f>+Actuals!AG88</f>
        <v>0</v>
      </c>
      <c r="AK15" s="137">
        <f>+Actuals!AH88</f>
        <v>0</v>
      </c>
      <c r="AL15" s="136">
        <f>+Actuals!AI88</f>
        <v>0</v>
      </c>
      <c r="AM15" s="137">
        <f>+Actuals!AJ88</f>
        <v>0</v>
      </c>
      <c r="AN15" s="136">
        <f>+Actuals!AK88</f>
        <v>0</v>
      </c>
      <c r="AO15" s="137">
        <f>+Actuals!AL88</f>
        <v>0</v>
      </c>
      <c r="AP15" s="136">
        <f>+Actuals!AM88</f>
        <v>0</v>
      </c>
      <c r="AQ15" s="137">
        <f>+Actuals!AN88</f>
        <v>0</v>
      </c>
      <c r="AR15" s="136">
        <f>+Actuals!AO88</f>
        <v>0</v>
      </c>
      <c r="AS15" s="137">
        <f>+Actuals!AP88</f>
        <v>0</v>
      </c>
    </row>
    <row r="16" spans="1:45" x14ac:dyDescent="0.2">
      <c r="A16" s="9"/>
      <c r="B16" s="7" t="s">
        <v>34</v>
      </c>
      <c r="C16" s="6"/>
      <c r="D16" s="61">
        <f t="shared" ref="D16:AC16" si="1">SUM(D11:D15)</f>
        <v>16710404</v>
      </c>
      <c r="E16" s="39">
        <f t="shared" si="1"/>
        <v>28619881.98</v>
      </c>
      <c r="F16" s="61">
        <f t="shared" si="1"/>
        <v>0</v>
      </c>
      <c r="G16" s="39">
        <f t="shared" si="1"/>
        <v>0</v>
      </c>
      <c r="H16" s="61">
        <f t="shared" si="1"/>
        <v>16697904</v>
      </c>
      <c r="I16" s="39">
        <f t="shared" si="1"/>
        <v>32348743.41</v>
      </c>
      <c r="J16" s="61">
        <f t="shared" si="1"/>
        <v>12500</v>
      </c>
      <c r="K16" s="154">
        <f t="shared" si="1"/>
        <v>-1597522.5899999999</v>
      </c>
      <c r="L16" s="61">
        <f t="shared" si="1"/>
        <v>0</v>
      </c>
      <c r="M16" s="39">
        <f t="shared" si="1"/>
        <v>1717951.16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-3849290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ref="AD16:AI16" si="2">SUM(AD11:AD15)</f>
        <v>0</v>
      </c>
      <c r="AE16" s="39">
        <f t="shared" si="2"/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ref="AJ16:AO16" si="3">SUM(AJ11:AJ15)</f>
        <v>0</v>
      </c>
      <c r="AK16" s="39">
        <f t="shared" si="3"/>
        <v>0</v>
      </c>
      <c r="AL16" s="61">
        <f t="shared" si="3"/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SUM(F19,H19,J19,L19,N19,P19,R19,T19,V19,X19,Z19,AB19,AD19,AF19,AH19,AJ19,AL19,AN19,AP19,AR19)</f>
        <v>-3145449</v>
      </c>
      <c r="E19" s="38">
        <f t="shared" si="4"/>
        <v>-2778527.28</v>
      </c>
      <c r="F19" s="64">
        <f>'TIE-OUT'!X19+RECLASS!X19</f>
        <v>0</v>
      </c>
      <c r="G19" s="68">
        <f>'TIE-OUT'!Y19+RECLASS!Y19</f>
        <v>0</v>
      </c>
      <c r="H19" s="136">
        <f>+Actuals!E89</f>
        <v>-3132663</v>
      </c>
      <c r="I19" s="137">
        <f>+Actuals!F89</f>
        <v>-2550786.42</v>
      </c>
      <c r="J19" s="136">
        <f>+Actuals!G89</f>
        <v>-14000</v>
      </c>
      <c r="K19" s="153">
        <f>+Actuals!H89</f>
        <v>-9115</v>
      </c>
      <c r="L19" s="136">
        <f>+Actuals!I89</f>
        <v>1214</v>
      </c>
      <c r="M19" s="137">
        <f>+Actuals!J89</f>
        <v>-218625.86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  <c r="AJ19" s="136">
        <f>+Actuals!AG89</f>
        <v>0</v>
      </c>
      <c r="AK19" s="137">
        <f>+Actuals!AH89</f>
        <v>0</v>
      </c>
      <c r="AL19" s="136">
        <f>+Actuals!AI89</f>
        <v>0</v>
      </c>
      <c r="AM19" s="137">
        <f>+Actuals!AJ89</f>
        <v>0</v>
      </c>
      <c r="AN19" s="136">
        <f>+Actuals!AK89</f>
        <v>0</v>
      </c>
      <c r="AO19" s="137">
        <f>+Actuals!AL89</f>
        <v>0</v>
      </c>
      <c r="AP19" s="136">
        <f>+Actuals!AM89</f>
        <v>0</v>
      </c>
      <c r="AQ19" s="137">
        <f>+Actuals!AN89</f>
        <v>0</v>
      </c>
      <c r="AR19" s="136">
        <f>+Actuals!AO89</f>
        <v>0</v>
      </c>
      <c r="AS19" s="137">
        <f>+Actuals!AP89</f>
        <v>0</v>
      </c>
    </row>
    <row r="20" spans="1:45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  <c r="AJ20" s="136">
        <f>+Actuals!AG90</f>
        <v>0</v>
      </c>
      <c r="AK20" s="137">
        <f>+Actuals!AH90</f>
        <v>0</v>
      </c>
      <c r="AL20" s="136">
        <f>+Actuals!AI90</f>
        <v>0</v>
      </c>
      <c r="AM20" s="137">
        <f>+Actuals!AJ90</f>
        <v>0</v>
      </c>
      <c r="AN20" s="136">
        <f>+Actuals!AK90</f>
        <v>0</v>
      </c>
      <c r="AO20" s="137">
        <f>+Actuals!AL90</f>
        <v>0</v>
      </c>
      <c r="AP20" s="136">
        <f>+Actuals!AM90</f>
        <v>0</v>
      </c>
      <c r="AQ20" s="137">
        <f>+Actuals!AN90</f>
        <v>0</v>
      </c>
      <c r="AR20" s="136">
        <f>+Actuals!AO90</f>
        <v>0</v>
      </c>
      <c r="AS20" s="137">
        <f>+Actuals!AP90</f>
        <v>0</v>
      </c>
    </row>
    <row r="21" spans="1:45" x14ac:dyDescent="0.2">
      <c r="A21" s="9">
        <v>8</v>
      </c>
      <c r="B21" s="7"/>
      <c r="C21" s="18" t="s">
        <v>31</v>
      </c>
      <c r="D21" s="60">
        <f t="shared" si="4"/>
        <v>-13053354</v>
      </c>
      <c r="E21" s="38">
        <f t="shared" si="4"/>
        <v>-25305233</v>
      </c>
      <c r="F21" s="60">
        <f>'TIE-OUT'!X21+RECLASS!X21</f>
        <v>0</v>
      </c>
      <c r="G21" s="38">
        <f>'TIE-OUT'!Y21+RECLASS!Y21</f>
        <v>0</v>
      </c>
      <c r="H21" s="136">
        <f>+Actuals!E91</f>
        <v>-13053354</v>
      </c>
      <c r="I21" s="137">
        <f>+Actuals!F91</f>
        <v>-25305233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  <c r="AJ21" s="136">
        <f>+Actuals!AG91</f>
        <v>0</v>
      </c>
      <c r="AK21" s="137">
        <f>+Actuals!AH91</f>
        <v>0</v>
      </c>
      <c r="AL21" s="136">
        <f>+Actuals!AI91</f>
        <v>0</v>
      </c>
      <c r="AM21" s="137">
        <f>+Actuals!AJ91</f>
        <v>0</v>
      </c>
      <c r="AN21" s="136">
        <f>+Actuals!AK91</f>
        <v>0</v>
      </c>
      <c r="AO21" s="137">
        <f>+Actuals!AL91</f>
        <v>0</v>
      </c>
      <c r="AP21" s="136">
        <f>+Actuals!AM91</f>
        <v>0</v>
      </c>
      <c r="AQ21" s="137">
        <f>+Actuals!AN91</f>
        <v>0</v>
      </c>
      <c r="AR21" s="136">
        <f>+Actuals!AO91</f>
        <v>0</v>
      </c>
      <c r="AS21" s="137">
        <f>+Actuals!AP91</f>
        <v>0</v>
      </c>
    </row>
    <row r="22" spans="1:45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  <c r="AJ22" s="136">
        <f>+Actuals!AG92</f>
        <v>0</v>
      </c>
      <c r="AK22" s="137">
        <f>+Actuals!AH92</f>
        <v>0</v>
      </c>
      <c r="AL22" s="136">
        <f>+Actuals!AI92</f>
        <v>0</v>
      </c>
      <c r="AM22" s="137">
        <f>+Actuals!AJ92</f>
        <v>0</v>
      </c>
      <c r="AN22" s="136">
        <f>+Actuals!AK92</f>
        <v>0</v>
      </c>
      <c r="AO22" s="137">
        <f>+Actuals!AL92</f>
        <v>0</v>
      </c>
      <c r="AP22" s="136">
        <f>+Actuals!AM92</f>
        <v>0</v>
      </c>
      <c r="AQ22" s="137">
        <f>+Actuals!AN92</f>
        <v>0</v>
      </c>
      <c r="AR22" s="136">
        <f>+Actuals!AO92</f>
        <v>0</v>
      </c>
      <c r="AS22" s="137">
        <f>+Actuals!AP92</f>
        <v>0</v>
      </c>
    </row>
    <row r="23" spans="1:45" x14ac:dyDescent="0.2">
      <c r="A23" s="9">
        <v>10</v>
      </c>
      <c r="B23" s="7"/>
      <c r="C23" s="18" t="s">
        <v>36</v>
      </c>
      <c r="D23" s="60">
        <f t="shared" si="4"/>
        <v>181</v>
      </c>
      <c r="E23" s="38">
        <f t="shared" si="4"/>
        <v>403.00400000000002</v>
      </c>
      <c r="F23" s="81">
        <f>'TIE-OUT'!X23+RECLASS!X23</f>
        <v>0</v>
      </c>
      <c r="G23" s="82">
        <f>'TIE-OUT'!Y23+RECLASS!Y23</f>
        <v>0</v>
      </c>
      <c r="H23" s="136">
        <f>+Actuals!E93</f>
        <v>1</v>
      </c>
      <c r="I23" s="137">
        <f>+Actuals!F93</f>
        <v>1.62</v>
      </c>
      <c r="J23" s="136">
        <f>+Actuals!G93</f>
        <v>-1</v>
      </c>
      <c r="K23" s="153">
        <f>+Actuals!H93</f>
        <v>-1.6160000000000001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+Actuals!S93+181</f>
        <v>181</v>
      </c>
      <c r="W23" s="137">
        <f>+Actuals!T93+403</f>
        <v>403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  <c r="AJ23" s="136">
        <f>+Actuals!AG93</f>
        <v>0</v>
      </c>
      <c r="AK23" s="137">
        <f>+Actuals!AH93</f>
        <v>0</v>
      </c>
      <c r="AL23" s="136">
        <f>+Actuals!AI93</f>
        <v>0</v>
      </c>
      <c r="AM23" s="137">
        <f>+Actuals!AJ93</f>
        <v>0</v>
      </c>
      <c r="AN23" s="136">
        <f>+Actuals!AK93</f>
        <v>0</v>
      </c>
      <c r="AO23" s="137">
        <f>+Actuals!AL93</f>
        <v>0</v>
      </c>
      <c r="AP23" s="136">
        <f>+Actuals!AM93</f>
        <v>0</v>
      </c>
      <c r="AQ23" s="137">
        <f>+Actuals!AN93</f>
        <v>0</v>
      </c>
      <c r="AR23" s="136">
        <f>+Actuals!AO93</f>
        <v>0</v>
      </c>
      <c r="AS23" s="137">
        <f>+Actuals!AP93</f>
        <v>0</v>
      </c>
    </row>
    <row r="24" spans="1:45" x14ac:dyDescent="0.2">
      <c r="A24" s="9"/>
      <c r="B24" s="7" t="s">
        <v>37</v>
      </c>
      <c r="C24" s="6"/>
      <c r="D24" s="61">
        <f t="shared" ref="D24:AC24" si="5">SUM(D19:D23)</f>
        <v>-16198622</v>
      </c>
      <c r="E24" s="39">
        <f t="shared" si="5"/>
        <v>-28083357.276000001</v>
      </c>
      <c r="F24" s="61">
        <f t="shared" si="5"/>
        <v>0</v>
      </c>
      <c r="G24" s="39">
        <f t="shared" si="5"/>
        <v>0</v>
      </c>
      <c r="H24" s="61">
        <f t="shared" si="5"/>
        <v>-16186016</v>
      </c>
      <c r="I24" s="39">
        <f t="shared" si="5"/>
        <v>-27856017.800000001</v>
      </c>
      <c r="J24" s="61">
        <f t="shared" si="5"/>
        <v>-14001</v>
      </c>
      <c r="K24" s="154">
        <f t="shared" si="5"/>
        <v>-9116.616</v>
      </c>
      <c r="L24" s="61">
        <f t="shared" si="5"/>
        <v>1214</v>
      </c>
      <c r="M24" s="39">
        <f t="shared" si="5"/>
        <v>-218625.86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181</v>
      </c>
      <c r="W24" s="39">
        <f t="shared" si="5"/>
        <v>403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0</v>
      </c>
      <c r="AC24" s="39">
        <f t="shared" si="5"/>
        <v>0</v>
      </c>
      <c r="AD24" s="61">
        <f t="shared" ref="AD24:AI24" si="6">SUM(AD19:AD23)</f>
        <v>0</v>
      </c>
      <c r="AE24" s="39">
        <f t="shared" si="6"/>
        <v>0</v>
      </c>
      <c r="AF24" s="61">
        <f t="shared" si="6"/>
        <v>0</v>
      </c>
      <c r="AG24" s="39">
        <f t="shared" si="6"/>
        <v>0</v>
      </c>
      <c r="AH24" s="61">
        <f t="shared" si="6"/>
        <v>0</v>
      </c>
      <c r="AI24" s="39">
        <f t="shared" si="6"/>
        <v>0</v>
      </c>
      <c r="AJ24" s="61">
        <f t="shared" ref="AJ24:AO24" si="7">SUM(AJ19:AJ23)</f>
        <v>0</v>
      </c>
      <c r="AK24" s="39">
        <f t="shared" si="7"/>
        <v>0</v>
      </c>
      <c r="AL24" s="61">
        <f t="shared" si="7"/>
        <v>0</v>
      </c>
      <c r="AM24" s="39">
        <f t="shared" si="7"/>
        <v>0</v>
      </c>
      <c r="AN24" s="61">
        <f t="shared" si="7"/>
        <v>0</v>
      </c>
      <c r="AO24" s="39">
        <f t="shared" si="7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0</v>
      </c>
      <c r="E27" s="38">
        <f>SUM(G27,I27,K27,M27,O27,Q27,S27,U27,W27,Y27,AA27,AC27,AE27,AG27,AI27,AK27,AM27,AO27,AQ27,AS27)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  <c r="AJ27" s="136">
        <f>+Actuals!AG94</f>
        <v>0</v>
      </c>
      <c r="AK27" s="137">
        <f>+Actuals!AH94</f>
        <v>0</v>
      </c>
      <c r="AL27" s="136">
        <f>+Actuals!AI94</f>
        <v>0</v>
      </c>
      <c r="AM27" s="137">
        <f>+Actuals!AJ94</f>
        <v>0</v>
      </c>
      <c r="AN27" s="136">
        <f>+Actuals!AK94</f>
        <v>0</v>
      </c>
      <c r="AO27" s="137">
        <f>+Actuals!AL94</f>
        <v>0</v>
      </c>
      <c r="AP27" s="136">
        <f>+Actuals!AM94</f>
        <v>0</v>
      </c>
      <c r="AQ27" s="137">
        <f>+Actuals!AN94</f>
        <v>0</v>
      </c>
      <c r="AR27" s="136">
        <f>+Actuals!AO94</f>
        <v>0</v>
      </c>
      <c r="AS27" s="137">
        <f>+Actuals!AP94</f>
        <v>0</v>
      </c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0</v>
      </c>
      <c r="E28" s="38">
        <f>SUM(G28,I28,K28,M28,O28,Q28,S28,U28,W28,Y28,AA28,AC28,AE28,AG28,AI28,AK28,AM28,AO28,AQ28,AS28)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  <c r="AJ28" s="136">
        <f>+Actuals!AG95</f>
        <v>0</v>
      </c>
      <c r="AK28" s="137">
        <f>+Actuals!AH95</f>
        <v>0</v>
      </c>
      <c r="AL28" s="136">
        <f>+Actuals!AI95</f>
        <v>0</v>
      </c>
      <c r="AM28" s="137">
        <f>+Actuals!AJ95</f>
        <v>0</v>
      </c>
      <c r="AN28" s="136">
        <f>+Actuals!AK95</f>
        <v>0</v>
      </c>
      <c r="AO28" s="137">
        <f>+Actuals!AL95</f>
        <v>0</v>
      </c>
      <c r="AP28" s="136">
        <f>+Actuals!AM95</f>
        <v>0</v>
      </c>
      <c r="AQ28" s="137">
        <f>+Actuals!AN95</f>
        <v>0</v>
      </c>
      <c r="AR28" s="136">
        <f>+Actuals!AO95</f>
        <v>0</v>
      </c>
      <c r="AS28" s="137">
        <f>+Actuals!AP95</f>
        <v>0</v>
      </c>
    </row>
    <row r="29" spans="1:45" x14ac:dyDescent="0.2">
      <c r="A29" s="9"/>
      <c r="B29" s="7" t="s">
        <v>41</v>
      </c>
      <c r="C29" s="18"/>
      <c r="D29" s="61">
        <f t="shared" ref="D29:AC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ref="AD29:AI29" si="9">SUM(AD27:AD28)</f>
        <v>0</v>
      </c>
      <c r="AE29" s="39">
        <f t="shared" si="9"/>
        <v>0</v>
      </c>
      <c r="AF29" s="61">
        <f t="shared" si="9"/>
        <v>0</v>
      </c>
      <c r="AG29" s="39">
        <f t="shared" si="9"/>
        <v>0</v>
      </c>
      <c r="AH29" s="61">
        <f t="shared" si="9"/>
        <v>0</v>
      </c>
      <c r="AI29" s="39">
        <f t="shared" si="9"/>
        <v>0</v>
      </c>
      <c r="AJ29" s="61">
        <f t="shared" ref="AJ29:AO29" si="10">SUM(AJ27:AJ28)</f>
        <v>0</v>
      </c>
      <c r="AK29" s="39">
        <f t="shared" si="10"/>
        <v>0</v>
      </c>
      <c r="AL29" s="61">
        <f t="shared" si="10"/>
        <v>0</v>
      </c>
      <c r="AM29" s="39">
        <f t="shared" si="10"/>
        <v>0</v>
      </c>
      <c r="AN29" s="61">
        <f t="shared" si="10"/>
        <v>0</v>
      </c>
      <c r="AO29" s="39">
        <f t="shared" si="10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  <c r="AJ31" s="136"/>
      <c r="AK31" s="137"/>
      <c r="AL31" s="136"/>
      <c r="AM31" s="137"/>
      <c r="AN31" s="136"/>
      <c r="AO31" s="137"/>
      <c r="AP31" s="136"/>
      <c r="AQ31" s="137"/>
      <c r="AR31" s="136"/>
      <c r="AS31" s="137"/>
    </row>
    <row r="32" spans="1:45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SUM(F32,H32,J32,L32,N32,P32,R32,T32,V32,X32,Z32,AB32,AD32,AF32,AH32,AJ32,AL32,AN32,AP32,AR32)</f>
        <v>1</v>
      </c>
      <c r="E32" s="38">
        <f t="shared" si="11"/>
        <v>1.62</v>
      </c>
      <c r="F32" s="64">
        <f>'TIE-OUT'!X32+RECLASS!X32</f>
        <v>0</v>
      </c>
      <c r="G32" s="68">
        <f>'TIE-OUT'!Y32+RECLASS!Y32</f>
        <v>0</v>
      </c>
      <c r="H32" s="136">
        <f>+Actuals!E96</f>
        <v>0</v>
      </c>
      <c r="I32" s="137">
        <f>+Actuals!F96</f>
        <v>0</v>
      </c>
      <c r="J32" s="136">
        <f>+Actuals!G96</f>
        <v>1</v>
      </c>
      <c r="K32" s="153">
        <f>+Actuals!H96</f>
        <v>1.62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  <c r="AJ32" s="136">
        <f>+Actuals!AG96</f>
        <v>0</v>
      </c>
      <c r="AK32" s="137">
        <f>+Actuals!AH96</f>
        <v>0</v>
      </c>
      <c r="AL32" s="136">
        <f>+Actuals!AI96</f>
        <v>0</v>
      </c>
      <c r="AM32" s="137">
        <f>+Actuals!AJ96</f>
        <v>0</v>
      </c>
      <c r="AN32" s="136">
        <f>+Actuals!AK96</f>
        <v>0</v>
      </c>
      <c r="AO32" s="137">
        <f>+Actuals!AL96</f>
        <v>0</v>
      </c>
      <c r="AP32" s="136">
        <f>+Actuals!AM96</f>
        <v>0</v>
      </c>
      <c r="AQ32" s="137">
        <f>+Actuals!AN96</f>
        <v>0</v>
      </c>
      <c r="AR32" s="136">
        <f>+Actuals!AO96</f>
        <v>0</v>
      </c>
      <c r="AS32" s="137">
        <f>+Actuals!AP96</f>
        <v>0</v>
      </c>
    </row>
    <row r="33" spans="1:45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0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  <c r="AJ33" s="136">
        <f>+Actuals!AG97</f>
        <v>0</v>
      </c>
      <c r="AK33" s="137">
        <f>+Actuals!AH97</f>
        <v>0</v>
      </c>
      <c r="AL33" s="136">
        <f>+Actuals!AI97</f>
        <v>0</v>
      </c>
      <c r="AM33" s="137">
        <f>+Actuals!AJ97</f>
        <v>0</v>
      </c>
      <c r="AN33" s="136">
        <f>+Actuals!AK97</f>
        <v>0</v>
      </c>
      <c r="AO33" s="137">
        <f>+Actuals!AL97</f>
        <v>0</v>
      </c>
      <c r="AP33" s="136">
        <f>+Actuals!AM97</f>
        <v>0</v>
      </c>
      <c r="AQ33" s="137">
        <f>+Actuals!AN97</f>
        <v>0</v>
      </c>
      <c r="AR33" s="136">
        <f>+Actuals!AO97</f>
        <v>0</v>
      </c>
      <c r="AS33" s="137">
        <f>+Actuals!AP97</f>
        <v>0</v>
      </c>
    </row>
    <row r="34" spans="1:45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  <c r="AJ34" s="136">
        <f>+Actuals!AG98</f>
        <v>0</v>
      </c>
      <c r="AK34" s="137">
        <f>+Actuals!AH98</f>
        <v>0</v>
      </c>
      <c r="AL34" s="136">
        <f>+Actuals!AI98</f>
        <v>0</v>
      </c>
      <c r="AM34" s="137">
        <f>+Actuals!AJ98</f>
        <v>0</v>
      </c>
      <c r="AN34" s="136">
        <f>+Actuals!AK98</f>
        <v>0</v>
      </c>
      <c r="AO34" s="137">
        <f>+Actuals!AL98</f>
        <v>0</v>
      </c>
      <c r="AP34" s="136">
        <f>+Actuals!AM98</f>
        <v>0</v>
      </c>
      <c r="AQ34" s="137">
        <f>+Actuals!AN98</f>
        <v>0</v>
      </c>
      <c r="AR34" s="136">
        <f>+Actuals!AO98</f>
        <v>0</v>
      </c>
      <c r="AS34" s="137">
        <f>+Actuals!AP98</f>
        <v>0</v>
      </c>
    </row>
    <row r="35" spans="1:45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  <c r="AJ35" s="136">
        <f>+Actuals!AG99</f>
        <v>0</v>
      </c>
      <c r="AK35" s="137">
        <f>+Actuals!AH99</f>
        <v>0</v>
      </c>
      <c r="AL35" s="136">
        <f>+Actuals!AI99</f>
        <v>0</v>
      </c>
      <c r="AM35" s="137">
        <f>+Actuals!AJ99</f>
        <v>0</v>
      </c>
      <c r="AN35" s="136">
        <f>+Actuals!AK99</f>
        <v>0</v>
      </c>
      <c r="AO35" s="137">
        <f>+Actuals!AL99</f>
        <v>0</v>
      </c>
      <c r="AP35" s="136">
        <f>+Actuals!AM99</f>
        <v>0</v>
      </c>
      <c r="AQ35" s="137">
        <f>+Actuals!AN99</f>
        <v>0</v>
      </c>
      <c r="AR35" s="136">
        <f>+Actuals!AO99</f>
        <v>0</v>
      </c>
      <c r="AS35" s="137">
        <f>+Actuals!AP99</f>
        <v>0</v>
      </c>
    </row>
    <row r="36" spans="1:45" x14ac:dyDescent="0.2">
      <c r="A36" s="9"/>
      <c r="B36" s="7" t="s">
        <v>47</v>
      </c>
      <c r="C36" s="6"/>
      <c r="D36" s="61">
        <f t="shared" ref="D36:AC36" si="12">SUM(D32:D35)</f>
        <v>1</v>
      </c>
      <c r="E36" s="39">
        <f t="shared" si="12"/>
        <v>1.62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1</v>
      </c>
      <c r="K36" s="154">
        <f t="shared" si="12"/>
        <v>1.62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si="12"/>
        <v>0</v>
      </c>
      <c r="W36" s="39">
        <f t="shared" si="12"/>
        <v>0</v>
      </c>
      <c r="X36" s="61">
        <f t="shared" si="12"/>
        <v>0</v>
      </c>
      <c r="Y36" s="39">
        <f t="shared" si="12"/>
        <v>0</v>
      </c>
      <c r="Z36" s="61">
        <f t="shared" si="12"/>
        <v>0</v>
      </c>
      <c r="AA36" s="39">
        <f t="shared" si="12"/>
        <v>0</v>
      </c>
      <c r="AB36" s="61">
        <f t="shared" si="12"/>
        <v>0</v>
      </c>
      <c r="AC36" s="39">
        <f t="shared" si="12"/>
        <v>0</v>
      </c>
      <c r="AD36" s="61">
        <f t="shared" ref="AD36:AI36" si="13">SUM(AD32:AD35)</f>
        <v>0</v>
      </c>
      <c r="AE36" s="39">
        <f t="shared" si="13"/>
        <v>0</v>
      </c>
      <c r="AF36" s="61">
        <f t="shared" si="13"/>
        <v>0</v>
      </c>
      <c r="AG36" s="39">
        <f t="shared" si="13"/>
        <v>0</v>
      </c>
      <c r="AH36" s="61">
        <f t="shared" si="13"/>
        <v>0</v>
      </c>
      <c r="AI36" s="39">
        <f t="shared" si="13"/>
        <v>0</v>
      </c>
      <c r="AJ36" s="61">
        <f t="shared" ref="AJ36:AO36" si="14">SUM(AJ32:AJ35)</f>
        <v>0</v>
      </c>
      <c r="AK36" s="39">
        <f t="shared" si="14"/>
        <v>0</v>
      </c>
      <c r="AL36" s="61">
        <f t="shared" si="14"/>
        <v>0</v>
      </c>
      <c r="AM36" s="39">
        <f t="shared" si="14"/>
        <v>0</v>
      </c>
      <c r="AN36" s="61">
        <f t="shared" si="14"/>
        <v>0</v>
      </c>
      <c r="AO36" s="39">
        <f t="shared" si="14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SUM(F39,H39,J39,L39,N39,P39,R39,T39,V39,X39,Z39,AB39,AD39,AF39,AH39,AJ39,AL39,AN39,AP39,AR39)</f>
        <v>0</v>
      </c>
      <c r="E39" s="38">
        <f t="shared" si="15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  <c r="AJ39" s="136">
        <f>+Actuals!AG100</f>
        <v>0</v>
      </c>
      <c r="AK39" s="137">
        <f>+Actuals!AH100</f>
        <v>0</v>
      </c>
      <c r="AL39" s="136">
        <f>+Actuals!AI100</f>
        <v>0</v>
      </c>
      <c r="AM39" s="137">
        <f>+Actuals!AJ100</f>
        <v>0</v>
      </c>
      <c r="AN39" s="136">
        <f>+Actuals!AK100</f>
        <v>0</v>
      </c>
      <c r="AO39" s="137">
        <f>+Actuals!AL100</f>
        <v>0</v>
      </c>
      <c r="AP39" s="136">
        <f>+Actuals!AM100</f>
        <v>0</v>
      </c>
      <c r="AQ39" s="137">
        <f>+Actuals!AN100</f>
        <v>0</v>
      </c>
      <c r="AR39" s="136">
        <f>+Actuals!AO100</f>
        <v>0</v>
      </c>
      <c r="AS39" s="137">
        <f>+Actuals!AP100</f>
        <v>0</v>
      </c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5"/>
        <v>-773457</v>
      </c>
      <c r="E40" s="38">
        <f t="shared" si="15"/>
        <v>-0.03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-773457</v>
      </c>
      <c r="W40" s="137">
        <f>+Actuals!T101</f>
        <v>-0.03</v>
      </c>
      <c r="X40" s="136">
        <f>+Actuals!U101</f>
        <v>0</v>
      </c>
      <c r="Y40" s="137">
        <f>+Actuals!V101</f>
        <v>0</v>
      </c>
      <c r="Z40" s="136">
        <f>+Actuals!W101</f>
        <v>0</v>
      </c>
      <c r="AA40" s="137">
        <f>+Actuals!X101</f>
        <v>0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  <c r="AJ40" s="136">
        <f>+Actuals!AG101</f>
        <v>0</v>
      </c>
      <c r="AK40" s="137">
        <f>+Actuals!AH101</f>
        <v>0</v>
      </c>
      <c r="AL40" s="136">
        <f>+Actuals!AI101</f>
        <v>0</v>
      </c>
      <c r="AM40" s="137">
        <f>+Actuals!AJ101</f>
        <v>0</v>
      </c>
      <c r="AN40" s="136">
        <f>+Actuals!AK101</f>
        <v>0</v>
      </c>
      <c r="AO40" s="137">
        <f>+Actuals!AL101</f>
        <v>0</v>
      </c>
      <c r="AP40" s="136">
        <f>+Actuals!AM101</f>
        <v>0</v>
      </c>
      <c r="AQ40" s="137">
        <f>+Actuals!AN101</f>
        <v>0</v>
      </c>
      <c r="AR40" s="136">
        <f>+Actuals!AO101</f>
        <v>0</v>
      </c>
      <c r="AS40" s="137">
        <f>+Actuals!AP101</f>
        <v>0</v>
      </c>
    </row>
    <row r="41" spans="1:45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  <c r="AJ41" s="136">
        <f>+Actuals!AG102</f>
        <v>0</v>
      </c>
      <c r="AK41" s="137">
        <f>+Actuals!AH102</f>
        <v>0</v>
      </c>
      <c r="AL41" s="136">
        <f>+Actuals!AI102</f>
        <v>0</v>
      </c>
      <c r="AM41" s="137">
        <f>+Actuals!AJ102</f>
        <v>0</v>
      </c>
      <c r="AN41" s="136">
        <f>+Actuals!AK102</f>
        <v>0</v>
      </c>
      <c r="AO41" s="137">
        <f>+Actuals!AL102</f>
        <v>0</v>
      </c>
      <c r="AP41" s="136">
        <f>+Actuals!AM102</f>
        <v>0</v>
      </c>
      <c r="AQ41" s="137">
        <f>+Actuals!AN102</f>
        <v>0</v>
      </c>
      <c r="AR41" s="136">
        <f>+Actuals!AO102</f>
        <v>0</v>
      </c>
      <c r="AS41" s="137">
        <f>+Actuals!AP102</f>
        <v>0</v>
      </c>
    </row>
    <row r="42" spans="1:45" x14ac:dyDescent="0.2">
      <c r="A42" s="9"/>
      <c r="B42" s="7"/>
      <c r="C42" s="53" t="s">
        <v>52</v>
      </c>
      <c r="D42" s="61">
        <f t="shared" ref="D42:AC42" si="16">SUM(D40:D41)</f>
        <v>-773457</v>
      </c>
      <c r="E42" s="39">
        <f t="shared" si="16"/>
        <v>-0.03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-773457</v>
      </c>
      <c r="W42" s="39">
        <f t="shared" si="16"/>
        <v>-0.03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ref="AD42:AI42" si="17">SUM(AD40:AD41)</f>
        <v>0</v>
      </c>
      <c r="AE42" s="39">
        <f t="shared" si="17"/>
        <v>0</v>
      </c>
      <c r="AF42" s="61">
        <f t="shared" si="17"/>
        <v>0</v>
      </c>
      <c r="AG42" s="39">
        <f t="shared" si="17"/>
        <v>0</v>
      </c>
      <c r="AH42" s="61">
        <f t="shared" si="17"/>
        <v>0</v>
      </c>
      <c r="AI42" s="39">
        <f t="shared" si="17"/>
        <v>0</v>
      </c>
      <c r="AJ42" s="61">
        <f t="shared" ref="AJ42:AO42" si="18">SUM(AJ40:AJ41)</f>
        <v>0</v>
      </c>
      <c r="AK42" s="39">
        <f t="shared" si="18"/>
        <v>0</v>
      </c>
      <c r="AL42" s="61">
        <f t="shared" si="18"/>
        <v>0</v>
      </c>
      <c r="AM42" s="39">
        <f t="shared" si="18"/>
        <v>0</v>
      </c>
      <c r="AN42" s="61">
        <f t="shared" si="18"/>
        <v>0</v>
      </c>
      <c r="AO42" s="39">
        <f t="shared" si="18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 t="shared" ref="D43:AC43" si="19">D42+D39</f>
        <v>-773457</v>
      </c>
      <c r="E43" s="39">
        <f t="shared" si="19"/>
        <v>-0.03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-773457</v>
      </c>
      <c r="W43" s="39">
        <f t="shared" si="19"/>
        <v>-0.03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ref="AD43:AI43" si="20">AD42+AD39</f>
        <v>0</v>
      </c>
      <c r="AE43" s="39">
        <f t="shared" si="20"/>
        <v>0</v>
      </c>
      <c r="AF43" s="61">
        <f t="shared" si="20"/>
        <v>0</v>
      </c>
      <c r="AG43" s="39">
        <f t="shared" si="20"/>
        <v>0</v>
      </c>
      <c r="AH43" s="61">
        <f t="shared" si="20"/>
        <v>0</v>
      </c>
      <c r="AI43" s="39">
        <f t="shared" si="20"/>
        <v>0</v>
      </c>
      <c r="AJ43" s="61">
        <f t="shared" ref="AJ43:AO43" si="21">AJ42+AJ39</f>
        <v>0</v>
      </c>
      <c r="AK43" s="39">
        <f t="shared" si="21"/>
        <v>0</v>
      </c>
      <c r="AL43" s="61">
        <f t="shared" si="21"/>
        <v>0</v>
      </c>
      <c r="AM43" s="39">
        <f t="shared" si="21"/>
        <v>0</v>
      </c>
      <c r="AN43" s="61">
        <f t="shared" si="21"/>
        <v>0</v>
      </c>
      <c r="AO43" s="39">
        <f t="shared" si="21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2">SUM(F45,H45,J45,L45,N45,P45,R45,T45,V45,X45,Z45,AB45,AD45,AF45,AH45,AJ45,AL45,AN45,AP45,AR45)</f>
        <v>0</v>
      </c>
      <c r="E45" s="38">
        <f t="shared" si="22"/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  <c r="AJ45" s="136">
        <f>+Actuals!AG103</f>
        <v>0</v>
      </c>
      <c r="AK45" s="137">
        <f>+Actuals!AH103</f>
        <v>0</v>
      </c>
      <c r="AL45" s="136">
        <f>+Actuals!AI103</f>
        <v>0</v>
      </c>
      <c r="AM45" s="137">
        <f>+Actuals!AJ103</f>
        <v>0</v>
      </c>
      <c r="AN45" s="136">
        <f>+Actuals!AK103</f>
        <v>0</v>
      </c>
      <c r="AO45" s="137">
        <f>+Actuals!AL103</f>
        <v>0</v>
      </c>
      <c r="AP45" s="136">
        <f>+Actuals!AM103</f>
        <v>0</v>
      </c>
      <c r="AQ45" s="137">
        <f>+Actuals!AN103</f>
        <v>0</v>
      </c>
      <c r="AR45" s="136">
        <f>+Actuals!AO103</f>
        <v>0</v>
      </c>
      <c r="AS45" s="137">
        <f>+Actuals!AP103</f>
        <v>0</v>
      </c>
    </row>
    <row r="46" spans="1:45" x14ac:dyDescent="0.2">
      <c r="A46" s="9"/>
      <c r="B46" s="11"/>
      <c r="C46" s="6"/>
      <c r="D46" s="60">
        <f t="shared" si="22"/>
        <v>0</v>
      </c>
      <c r="E46" s="38">
        <f t="shared" si="22"/>
        <v>0</v>
      </c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2"/>
        <v>0</v>
      </c>
      <c r="E47" s="38">
        <f t="shared" si="22"/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  <c r="AJ47" s="136">
        <f>+Actuals!AG104</f>
        <v>0</v>
      </c>
      <c r="AK47" s="137">
        <f>+Actuals!AH104</f>
        <v>0</v>
      </c>
      <c r="AL47" s="136">
        <f>+Actuals!AI104</f>
        <v>0</v>
      </c>
      <c r="AM47" s="137">
        <f>+Actuals!AJ104</f>
        <v>0</v>
      </c>
      <c r="AN47" s="136">
        <f>+Actuals!AK104</f>
        <v>0</v>
      </c>
      <c r="AO47" s="137">
        <f>+Actuals!AL104</f>
        <v>0</v>
      </c>
      <c r="AP47" s="136">
        <f>+Actuals!AM104</f>
        <v>0</v>
      </c>
      <c r="AQ47" s="137">
        <f>+Actuals!AN104</f>
        <v>0</v>
      </c>
      <c r="AR47" s="136">
        <f>+Actuals!AO104</f>
        <v>0</v>
      </c>
      <c r="AS47" s="137">
        <f>+Actuals!AP104</f>
        <v>0</v>
      </c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261674</v>
      </c>
      <c r="E49" s="38">
        <f>SUM(G49,I49,K49,M49,O49,Q49,S49,U49,W49,Y49,AA49,AC49,AE49,AG49,AI49,AK49,AM49,AO49,AQ49,AS49)</f>
        <v>422754.68000000005</v>
      </c>
      <c r="F49" s="60">
        <f>'TIE-OUT'!X49+RECLASS!X49</f>
        <v>0</v>
      </c>
      <c r="G49" s="38">
        <f>'TIE-OUT'!Y49+RECLASS!Y49</f>
        <v>0</v>
      </c>
      <c r="H49" s="136">
        <f>+Actuals!E105</f>
        <v>-511888</v>
      </c>
      <c r="I49" s="137">
        <f>+Actuals!F105</f>
        <v>-827211.00800000003</v>
      </c>
      <c r="J49" s="136">
        <f>+Actuals!G105</f>
        <v>1500</v>
      </c>
      <c r="K49" s="153">
        <f>+Actuals!H105</f>
        <v>2424</v>
      </c>
      <c r="L49" s="136">
        <f>+Actuals!I105</f>
        <v>-1214</v>
      </c>
      <c r="M49" s="137">
        <f>+Actuals!J105</f>
        <v>-1961.8240000000001</v>
      </c>
      <c r="N49" s="136">
        <f>+Actuals!K105</f>
        <v>0</v>
      </c>
      <c r="O49" s="137">
        <f>+Actuals!L105</f>
        <v>0</v>
      </c>
      <c r="P49" s="136">
        <f>+Actuals!M105</f>
        <v>0</v>
      </c>
      <c r="Q49" s="137">
        <f>+Actuals!N105</f>
        <v>0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+Actuals!S105-181</f>
        <v>773276</v>
      </c>
      <c r="W49" s="137">
        <f>+Actuals!T105-403</f>
        <v>1249503.5120000001</v>
      </c>
      <c r="X49" s="136">
        <f>+Actuals!U105</f>
        <v>0</v>
      </c>
      <c r="Y49" s="137">
        <f>+Actuals!V105</f>
        <v>0</v>
      </c>
      <c r="Z49" s="136">
        <f>+Actuals!W105</f>
        <v>0</v>
      </c>
      <c r="AA49" s="137">
        <f>+Actuals!X105</f>
        <v>0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  <c r="AJ49" s="136">
        <f>+Actuals!AG105</f>
        <v>0</v>
      </c>
      <c r="AK49" s="137">
        <f>+Actuals!AH105</f>
        <v>0</v>
      </c>
      <c r="AL49" s="136">
        <f>+Actuals!AI105</f>
        <v>0</v>
      </c>
      <c r="AM49" s="137">
        <f>+Actuals!AJ105</f>
        <v>0</v>
      </c>
      <c r="AN49" s="136">
        <f>+Actuals!AK105</f>
        <v>0</v>
      </c>
      <c r="AO49" s="137">
        <f>+Actuals!AL105</f>
        <v>0</v>
      </c>
      <c r="AP49" s="136">
        <f>+Actuals!AM105</f>
        <v>0</v>
      </c>
      <c r="AQ49" s="137">
        <f>+Actuals!AN105</f>
        <v>0</v>
      </c>
      <c r="AR49" s="136">
        <f>+Actuals!AO105</f>
        <v>0</v>
      </c>
      <c r="AS49" s="137">
        <f>+Actuals!AP105</f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315904</v>
      </c>
      <c r="E51" s="38">
        <f>SUM(G51,I51,K51,M51,O51,Q51,S51,U51,W51,Y51,AA51,AC51,AE51,AG51,AI51,AK51,AM51,AO51,AQ51,AS51)</f>
        <v>-403.00400000000002</v>
      </c>
      <c r="F51" s="60">
        <f>'TIE-OUT'!X51+RECLASS!X51</f>
        <v>0</v>
      </c>
      <c r="G51" s="38">
        <f>'TIE-OUT'!Y51+RECLASS!Y51</f>
        <v>0</v>
      </c>
      <c r="H51" s="136">
        <f>+Actuals!E106</f>
        <v>-1</v>
      </c>
      <c r="I51" s="137">
        <f>+Actuals!F106</f>
        <v>-1.62</v>
      </c>
      <c r="J51" s="136">
        <f>+Actuals!G106</f>
        <v>1</v>
      </c>
      <c r="K51" s="153">
        <f>+Actuals!H106</f>
        <v>1.6160000000000001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+Actuals!S106-181</f>
        <v>315904</v>
      </c>
      <c r="W51" s="137">
        <f>+Actuals!T106-403</f>
        <v>-403</v>
      </c>
      <c r="X51" s="136">
        <f>+Actuals!U106</f>
        <v>0</v>
      </c>
      <c r="Y51" s="137">
        <f>+Actuals!V106</f>
        <v>0</v>
      </c>
      <c r="Z51" s="136">
        <f>+Actuals!W106</f>
        <v>0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  <c r="AJ51" s="136">
        <f>+Actuals!AG106</f>
        <v>0</v>
      </c>
      <c r="AK51" s="137">
        <f>+Actuals!AH106</f>
        <v>0</v>
      </c>
      <c r="AL51" s="136">
        <f>+Actuals!AI106</f>
        <v>0</v>
      </c>
      <c r="AM51" s="137">
        <f>+Actuals!AJ106</f>
        <v>0</v>
      </c>
      <c r="AN51" s="136">
        <f>+Actuals!AK106</f>
        <v>0</v>
      </c>
      <c r="AO51" s="137">
        <f>+Actuals!AL106</f>
        <v>0</v>
      </c>
      <c r="AP51" s="136">
        <f>+Actuals!AM106</f>
        <v>0</v>
      </c>
      <c r="AQ51" s="137">
        <f>+Actuals!AN106</f>
        <v>0</v>
      </c>
      <c r="AR51" s="136">
        <f>+Actuals!AO106</f>
        <v>0</v>
      </c>
      <c r="AS51" s="137">
        <f>+Actuals!AP106</f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-21069</v>
      </c>
      <c r="E54" s="38">
        <f>SUM(G54,I54,K54,M54,O54,Q54,S54,U54,W54,Y54,AA54,AC54,AE54,AG54,AI54,AK54,AM54,AO54,AQ54,AS54)</f>
        <v>-448091.04</v>
      </c>
      <c r="F54" s="64">
        <f>'TIE-OUT'!X54+RECLASS!X54</f>
        <v>0</v>
      </c>
      <c r="G54" s="68">
        <f>'TIE-OUT'!Y54+RECLASS!Y54</f>
        <v>0</v>
      </c>
      <c r="H54" s="136">
        <f>+Actuals!E107</f>
        <v>-21071</v>
      </c>
      <c r="I54" s="137">
        <f>+Actuals!F107</f>
        <v>-310.47000000000003</v>
      </c>
      <c r="J54" s="136">
        <f>+Actuals!G107</f>
        <v>0</v>
      </c>
      <c r="K54" s="153">
        <f>+Actuals!H107</f>
        <v>-0.56999999999999995</v>
      </c>
      <c r="L54" s="136">
        <f>+Actuals!I107</f>
        <v>0</v>
      </c>
      <c r="M54" s="137">
        <f>+Actuals!J107</f>
        <v>0</v>
      </c>
      <c r="N54" s="136">
        <f>+Actuals!K107+2</f>
        <v>2</v>
      </c>
      <c r="O54" s="137">
        <f>+Actuals!L107+19307</f>
        <v>19307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+Actuals!T107-467087</f>
        <v>-467087</v>
      </c>
      <c r="X54" s="136">
        <f>+Actuals!U107</f>
        <v>0</v>
      </c>
      <c r="Y54" s="137">
        <f>+Actuals!V107</f>
        <v>0</v>
      </c>
      <c r="Z54" s="136">
        <f>+Actuals!W107</f>
        <v>0</v>
      </c>
      <c r="AA54" s="137">
        <f>+Actuals!X107</f>
        <v>0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  <c r="AJ54" s="136">
        <f>+Actuals!AG107</f>
        <v>0</v>
      </c>
      <c r="AK54" s="137">
        <f>+Actuals!AH107</f>
        <v>0</v>
      </c>
      <c r="AL54" s="136">
        <f>+Actuals!AI107</f>
        <v>0</v>
      </c>
      <c r="AM54" s="137">
        <f>+Actuals!AJ107</f>
        <v>0</v>
      </c>
      <c r="AN54" s="136">
        <f>+Actuals!AK107</f>
        <v>0</v>
      </c>
      <c r="AO54" s="137">
        <f>+Actuals!AL107</f>
        <v>0</v>
      </c>
      <c r="AP54" s="136">
        <f>+Actuals!AM107</f>
        <v>0</v>
      </c>
      <c r="AQ54" s="137">
        <f>+Actuals!AN107</f>
        <v>0</v>
      </c>
      <c r="AR54" s="136">
        <f>+Actuals!AO107</f>
        <v>0</v>
      </c>
      <c r="AS54" s="137">
        <f>+Actuals!AP107</f>
        <v>0</v>
      </c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-5597.78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-5506.48</v>
      </c>
      <c r="J55" s="136">
        <f>+Actuals!G108</f>
        <v>0</v>
      </c>
      <c r="K55" s="153">
        <f>+Actuals!H108</f>
        <v>-0.3</v>
      </c>
      <c r="L55" s="136">
        <f>+Actuals!I108</f>
        <v>0</v>
      </c>
      <c r="M55" s="137">
        <f>+Actuals!J108-91</f>
        <v>-91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  <c r="AJ55" s="136">
        <f>+Actuals!AG108</f>
        <v>0</v>
      </c>
      <c r="AK55" s="137">
        <f>+Actuals!AH108</f>
        <v>0</v>
      </c>
      <c r="AL55" s="136">
        <f>+Actuals!AI108</f>
        <v>0</v>
      </c>
      <c r="AM55" s="137">
        <f>+Actuals!AJ108</f>
        <v>0</v>
      </c>
      <c r="AN55" s="136">
        <f>+Actuals!AK108</f>
        <v>0</v>
      </c>
      <c r="AO55" s="137">
        <f>+Actuals!AL108</f>
        <v>0</v>
      </c>
      <c r="AP55" s="136">
        <f>+Actuals!AM108</f>
        <v>0</v>
      </c>
      <c r="AQ55" s="137">
        <f>+Actuals!AN108</f>
        <v>0</v>
      </c>
      <c r="AR55" s="136">
        <f>+Actuals!AO108</f>
        <v>0</v>
      </c>
      <c r="AS55" s="137">
        <f>+Actuals!AP108</f>
        <v>0</v>
      </c>
    </row>
    <row r="56" spans="1:45" x14ac:dyDescent="0.2">
      <c r="A56" s="9"/>
      <c r="B56" s="7" t="s">
        <v>61</v>
      </c>
      <c r="C56" s="6"/>
      <c r="D56" s="61">
        <f t="shared" ref="D56:AC56" si="23">SUM(D54:D55)</f>
        <v>-21069</v>
      </c>
      <c r="E56" s="39">
        <f t="shared" si="23"/>
        <v>-453688.82</v>
      </c>
      <c r="F56" s="61">
        <f t="shared" si="23"/>
        <v>0</v>
      </c>
      <c r="G56" s="39">
        <f t="shared" si="23"/>
        <v>0</v>
      </c>
      <c r="H56" s="61">
        <f t="shared" si="23"/>
        <v>-21071</v>
      </c>
      <c r="I56" s="39">
        <f t="shared" si="23"/>
        <v>-5816.95</v>
      </c>
      <c r="J56" s="61">
        <f t="shared" si="23"/>
        <v>0</v>
      </c>
      <c r="K56" s="154">
        <f t="shared" si="23"/>
        <v>-0.86999999999999988</v>
      </c>
      <c r="L56" s="61">
        <f t="shared" si="23"/>
        <v>0</v>
      </c>
      <c r="M56" s="39">
        <f t="shared" si="23"/>
        <v>-91</v>
      </c>
      <c r="N56" s="61">
        <f t="shared" si="23"/>
        <v>2</v>
      </c>
      <c r="O56" s="39">
        <f t="shared" si="23"/>
        <v>19307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-467087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ref="AD56:AI56" si="24">SUM(AD54:AD55)</f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 t="shared" si="24"/>
        <v>0</v>
      </c>
      <c r="AI56" s="39">
        <f t="shared" si="24"/>
        <v>0</v>
      </c>
      <c r="AJ56" s="61">
        <f t="shared" ref="AJ56:AO56" si="25">SUM(AJ54:AJ55)</f>
        <v>0</v>
      </c>
      <c r="AK56" s="39">
        <f t="shared" si="25"/>
        <v>0</v>
      </c>
      <c r="AL56" s="61">
        <f t="shared" si="25"/>
        <v>0</v>
      </c>
      <c r="AM56" s="39">
        <f t="shared" si="25"/>
        <v>0</v>
      </c>
      <c r="AN56" s="61">
        <f t="shared" si="25"/>
        <v>0</v>
      </c>
      <c r="AO56" s="39">
        <f t="shared" si="25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  <c r="AJ59" s="136">
        <f>+Actuals!AG109</f>
        <v>0</v>
      </c>
      <c r="AK59" s="137">
        <f>+Actuals!AH109</f>
        <v>0</v>
      </c>
      <c r="AL59" s="136">
        <f>+Actuals!AI109</f>
        <v>0</v>
      </c>
      <c r="AM59" s="137">
        <f>+Actuals!AJ109</f>
        <v>0</v>
      </c>
      <c r="AN59" s="136">
        <f>+Actuals!AK109</f>
        <v>0</v>
      </c>
      <c r="AO59" s="137">
        <f>+Actuals!AL109</f>
        <v>0</v>
      </c>
      <c r="AP59" s="136">
        <f>+Actuals!AM109</f>
        <v>0</v>
      </c>
      <c r="AQ59" s="137">
        <f>+Actuals!AN109</f>
        <v>0</v>
      </c>
      <c r="AR59" s="136">
        <f>+Actuals!AO109</f>
        <v>0</v>
      </c>
      <c r="AS59" s="137">
        <f>+Actuals!AP109</f>
        <v>0</v>
      </c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  <c r="AJ60" s="136">
        <f>+Actuals!AG110</f>
        <v>0</v>
      </c>
      <c r="AK60" s="137">
        <f>+Actuals!AH110</f>
        <v>0</v>
      </c>
      <c r="AL60" s="136">
        <f>+Actuals!AI110</f>
        <v>0</v>
      </c>
      <c r="AM60" s="137">
        <f>+Actuals!AJ110</f>
        <v>0</v>
      </c>
      <c r="AN60" s="136">
        <f>+Actuals!AK110</f>
        <v>0</v>
      </c>
      <c r="AO60" s="137">
        <f>+Actuals!AL110</f>
        <v>0</v>
      </c>
      <c r="AP60" s="136">
        <f>+Actuals!AM110</f>
        <v>0</v>
      </c>
      <c r="AQ60" s="137">
        <f>+Actuals!AN110</f>
        <v>0</v>
      </c>
      <c r="AR60" s="136">
        <f>+Actuals!AO110</f>
        <v>0</v>
      </c>
      <c r="AS60" s="137">
        <f>+Actuals!AP110</f>
        <v>0</v>
      </c>
    </row>
    <row r="61" spans="1:45" x14ac:dyDescent="0.2">
      <c r="A61" s="9"/>
      <c r="B61" s="62" t="s">
        <v>65</v>
      </c>
      <c r="C61" s="6"/>
      <c r="D61" s="61">
        <f t="shared" ref="D61:AC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ref="AD61:AI61" si="27">SUM(AD59:AD60)</f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 t="shared" si="27"/>
        <v>0</v>
      </c>
      <c r="AI61" s="39">
        <f t="shared" si="27"/>
        <v>0</v>
      </c>
      <c r="AJ61" s="61">
        <f t="shared" ref="AJ61:AO61" si="28">SUM(AJ59:AJ60)</f>
        <v>0</v>
      </c>
      <c r="AK61" s="39">
        <f t="shared" si="28"/>
        <v>0</v>
      </c>
      <c r="AL61" s="61">
        <f t="shared" si="28"/>
        <v>0</v>
      </c>
      <c r="AM61" s="39">
        <f t="shared" si="28"/>
        <v>0</v>
      </c>
      <c r="AN61" s="61">
        <f t="shared" si="28"/>
        <v>0</v>
      </c>
      <c r="AO61" s="39">
        <f t="shared" si="28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SUM(F63,H63,J63,L63,N63,P63,R63,T63,V63,X63,Z63,AB63,AD63,AF63,AH63,AJ63,AL63,AN63,AP63,AR63)</f>
        <v>0</v>
      </c>
      <c r="E63" s="38">
        <f t="shared" si="29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29"/>
        <v>0</v>
      </c>
      <c r="E64" s="38">
        <f t="shared" si="29"/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  <c r="AJ64" s="136">
        <f>+Actuals!AG111</f>
        <v>0</v>
      </c>
      <c r="AK64" s="137">
        <f>+Actuals!AH111</f>
        <v>0</v>
      </c>
      <c r="AL64" s="136">
        <f>+Actuals!AI111</f>
        <v>0</v>
      </c>
      <c r="AM64" s="137">
        <f>+Actuals!AJ111</f>
        <v>0</v>
      </c>
      <c r="AN64" s="136">
        <f>+Actuals!AK111</f>
        <v>0</v>
      </c>
      <c r="AO64" s="137">
        <f>+Actuals!AL111</f>
        <v>0</v>
      </c>
      <c r="AP64" s="136">
        <f>+Actuals!AM111</f>
        <v>0</v>
      </c>
      <c r="AQ64" s="137">
        <f>+Actuals!AN111</f>
        <v>0</v>
      </c>
      <c r="AR64" s="136">
        <f>+Actuals!AO111</f>
        <v>0</v>
      </c>
      <c r="AS64" s="137">
        <f>+Actuals!AP111</f>
        <v>0</v>
      </c>
    </row>
    <row r="65" spans="1:45" x14ac:dyDescent="0.2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  <c r="AJ65" s="136">
        <f>+Actuals!AG112</f>
        <v>0</v>
      </c>
      <c r="AK65" s="137">
        <f>+Actuals!AH112</f>
        <v>0</v>
      </c>
      <c r="AL65" s="136">
        <f>+Actuals!AI112</f>
        <v>0</v>
      </c>
      <c r="AM65" s="137">
        <f>+Actuals!AJ112</f>
        <v>0</v>
      </c>
      <c r="AN65" s="136">
        <f>+Actuals!AK112</f>
        <v>0</v>
      </c>
      <c r="AO65" s="137">
        <f>+Actuals!AL112</f>
        <v>0</v>
      </c>
      <c r="AP65" s="136">
        <f>+Actuals!AM112</f>
        <v>0</v>
      </c>
      <c r="AQ65" s="137">
        <f>+Actuals!AN112</f>
        <v>0</v>
      </c>
      <c r="AR65" s="136">
        <f>+Actuals!AO112</f>
        <v>0</v>
      </c>
      <c r="AS65" s="137">
        <f>+Actuals!AP112</f>
        <v>0</v>
      </c>
    </row>
    <row r="66" spans="1:45" x14ac:dyDescent="0.2">
      <c r="A66" s="9"/>
      <c r="B66" s="7" t="s">
        <v>68</v>
      </c>
      <c r="C66" s="6"/>
      <c r="D66" s="61">
        <f t="shared" ref="D66:AC66" si="30">SUM(D64:D65)</f>
        <v>0</v>
      </c>
      <c r="E66" s="39">
        <f t="shared" si="30"/>
        <v>0</v>
      </c>
      <c r="F66" s="61">
        <f t="shared" si="30"/>
        <v>0</v>
      </c>
      <c r="G66" s="39">
        <f t="shared" si="30"/>
        <v>0</v>
      </c>
      <c r="H66" s="61">
        <f t="shared" si="30"/>
        <v>0</v>
      </c>
      <c r="I66" s="39">
        <f t="shared" si="30"/>
        <v>0</v>
      </c>
      <c r="J66" s="61">
        <f t="shared" si="30"/>
        <v>0</v>
      </c>
      <c r="K66" s="154">
        <f t="shared" si="30"/>
        <v>0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ref="AD66:AI66" si="31">SUM(AD64:AD65)</f>
        <v>0</v>
      </c>
      <c r="AE66" s="39">
        <f t="shared" si="31"/>
        <v>0</v>
      </c>
      <c r="AF66" s="61">
        <f t="shared" si="31"/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ref="AJ66:AO66" si="32">SUM(AJ64:AJ65)</f>
        <v>0</v>
      </c>
      <c r="AK66" s="39">
        <f t="shared" si="32"/>
        <v>0</v>
      </c>
      <c r="AL66" s="61">
        <f t="shared" si="32"/>
        <v>0</v>
      </c>
      <c r="AM66" s="39">
        <f t="shared" si="32"/>
        <v>0</v>
      </c>
      <c r="AN66" s="61">
        <f t="shared" si="32"/>
        <v>0</v>
      </c>
      <c r="AO66" s="39">
        <f t="shared" si="32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113999</v>
      </c>
      <c r="F70" s="64">
        <f>'TIE-OUT'!X70+RECLASS!X70</f>
        <v>0</v>
      </c>
      <c r="G70" s="68">
        <f>'TIE-OUT'!Y70+RECLASS!Y70</f>
        <v>113999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  <c r="AJ70" s="136">
        <f>+Actuals!AG113</f>
        <v>0</v>
      </c>
      <c r="AK70" s="137">
        <f>+Actuals!AH113</f>
        <v>0</v>
      </c>
      <c r="AL70" s="136">
        <f>+Actuals!AI113</f>
        <v>0</v>
      </c>
      <c r="AM70" s="137">
        <f>+Actuals!AJ113</f>
        <v>0</v>
      </c>
      <c r="AN70" s="136">
        <f>+Actuals!AK113</f>
        <v>0</v>
      </c>
      <c r="AO70" s="137">
        <f>+Actuals!AL113</f>
        <v>0</v>
      </c>
      <c r="AP70" s="136">
        <f>+Actuals!AM113</f>
        <v>0</v>
      </c>
      <c r="AQ70" s="137">
        <f>+Actuals!AN113</f>
        <v>0</v>
      </c>
      <c r="AR70" s="136">
        <f>+Actuals!AO113</f>
        <v>0</v>
      </c>
      <c r="AS70" s="137">
        <f>+Actuals!AP113</f>
        <v>0</v>
      </c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  <c r="AJ71" s="136">
        <f>+Actuals!AG114</f>
        <v>0</v>
      </c>
      <c r="AK71" s="137">
        <f>+Actuals!AH114</f>
        <v>0</v>
      </c>
      <c r="AL71" s="136">
        <f>+Actuals!AI114</f>
        <v>0</v>
      </c>
      <c r="AM71" s="137">
        <f>+Actuals!AJ114</f>
        <v>0</v>
      </c>
      <c r="AN71" s="136">
        <f>+Actuals!AK114</f>
        <v>0</v>
      </c>
      <c r="AO71" s="137">
        <f>+Actuals!AL114</f>
        <v>0</v>
      </c>
      <c r="AP71" s="136">
        <f>+Actuals!AM114</f>
        <v>0</v>
      </c>
      <c r="AQ71" s="137">
        <f>+Actuals!AN114</f>
        <v>0</v>
      </c>
      <c r="AR71" s="136">
        <f>+Actuals!AO114</f>
        <v>0</v>
      </c>
      <c r="AS71" s="137">
        <f>+Actuals!AP114</f>
        <v>0</v>
      </c>
    </row>
    <row r="72" spans="1:45" x14ac:dyDescent="0.2">
      <c r="A72" s="9"/>
      <c r="B72" s="3"/>
      <c r="C72" s="55" t="s">
        <v>73</v>
      </c>
      <c r="D72" s="61">
        <f t="shared" ref="D72:AC72" si="33">SUM(D70:D71)</f>
        <v>0</v>
      </c>
      <c r="E72" s="39">
        <f t="shared" si="33"/>
        <v>113999</v>
      </c>
      <c r="F72" s="61">
        <f t="shared" si="33"/>
        <v>0</v>
      </c>
      <c r="G72" s="39">
        <f t="shared" si="33"/>
        <v>113999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154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ref="AD72:AI72" si="34">SUM(AD70:AD71)</f>
        <v>0</v>
      </c>
      <c r="AE72" s="39">
        <f t="shared" si="34"/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ref="AJ72:AO72" si="35">SUM(AJ70:AJ71)</f>
        <v>0</v>
      </c>
      <c r="AK72" s="39">
        <f t="shared" si="35"/>
        <v>0</v>
      </c>
      <c r="AL72" s="61">
        <f t="shared" si="35"/>
        <v>0</v>
      </c>
      <c r="AM72" s="39">
        <f t="shared" si="35"/>
        <v>0</v>
      </c>
      <c r="AN72" s="61">
        <f t="shared" si="35"/>
        <v>0</v>
      </c>
      <c r="AO72" s="39">
        <f t="shared" si="3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SUM(F73,H73,J73,L73,N73,P73,R73,T73,V73,X73,Z73,AB73,AD73,AF73,AH73,AJ73,AL73,AN73,AP73,AR73)</f>
        <v>0</v>
      </c>
      <c r="E73" s="38">
        <f t="shared" ref="E73:E81" si="37">SUM(G73,I73,K73,M73,O73,Q73,S73,U73,W73,Y73,AA73,AC73,AE73,AG73,AI73,AK73,AM73,AO73,AQ73,AS73)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  <c r="AJ73" s="136">
        <f>+Actuals!AG115</f>
        <v>0</v>
      </c>
      <c r="AK73" s="137">
        <f>+Actuals!AH115</f>
        <v>0</v>
      </c>
      <c r="AL73" s="136">
        <f>+Actuals!AI115</f>
        <v>0</v>
      </c>
      <c r="AM73" s="137">
        <f>+Actuals!AJ115</f>
        <v>0</v>
      </c>
      <c r="AN73" s="136">
        <f>+Actuals!AK115</f>
        <v>0</v>
      </c>
      <c r="AO73" s="137">
        <f>+Actuals!AL115</f>
        <v>0</v>
      </c>
      <c r="AP73" s="136">
        <f>+Actuals!AM115</f>
        <v>0</v>
      </c>
      <c r="AQ73" s="137">
        <f>+Actuals!AN115</f>
        <v>0</v>
      </c>
      <c r="AR73" s="136">
        <f>+Actuals!AO115</f>
        <v>0</v>
      </c>
      <c r="AS73" s="137">
        <f>+Actuals!AP115</f>
        <v>0</v>
      </c>
    </row>
    <row r="74" spans="1:45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-53</v>
      </c>
      <c r="F74" s="60">
        <f>'TIE-OUT'!X74+RECLASS!X74</f>
        <v>0</v>
      </c>
      <c r="G74" s="60">
        <f>'TIE-OUT'!Y74+RECLASS!Y74</f>
        <v>-53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  <c r="AJ74" s="136">
        <f>+Actuals!AG116</f>
        <v>0</v>
      </c>
      <c r="AK74" s="137">
        <f>+Actuals!AH116</f>
        <v>0</v>
      </c>
      <c r="AL74" s="136">
        <f>+Actuals!AI116</f>
        <v>0</v>
      </c>
      <c r="AM74" s="137">
        <f>+Actuals!AJ116</f>
        <v>0</v>
      </c>
      <c r="AN74" s="136">
        <f>+Actuals!AK116</f>
        <v>0</v>
      </c>
      <c r="AO74" s="137">
        <f>+Actuals!AL116</f>
        <v>0</v>
      </c>
      <c r="AP74" s="136">
        <f>+Actuals!AM116</f>
        <v>0</v>
      </c>
      <c r="AQ74" s="137">
        <f>+Actuals!AN116</f>
        <v>0</v>
      </c>
      <c r="AR74" s="136">
        <f>+Actuals!AO116</f>
        <v>0</v>
      </c>
      <c r="AS74" s="137">
        <f>+Actuals!AP116</f>
        <v>0</v>
      </c>
    </row>
    <row r="75" spans="1:45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  <c r="AJ75" s="136">
        <f>+Actuals!AG117</f>
        <v>0</v>
      </c>
      <c r="AK75" s="137">
        <f>+Actuals!AH117</f>
        <v>0</v>
      </c>
      <c r="AL75" s="136">
        <f>+Actuals!AI117</f>
        <v>0</v>
      </c>
      <c r="AM75" s="137">
        <f>+Actuals!AJ117</f>
        <v>0</v>
      </c>
      <c r="AN75" s="136">
        <f>+Actuals!AK117</f>
        <v>0</v>
      </c>
      <c r="AO75" s="137">
        <f>+Actuals!AL117</f>
        <v>0</v>
      </c>
      <c r="AP75" s="136">
        <f>+Actuals!AM117</f>
        <v>0</v>
      </c>
      <c r="AQ75" s="137">
        <f>+Actuals!AN117</f>
        <v>0</v>
      </c>
      <c r="AR75" s="136">
        <f>+Actuals!AO117</f>
        <v>0</v>
      </c>
      <c r="AS75" s="137">
        <f>+Actuals!AP117</f>
        <v>0</v>
      </c>
    </row>
    <row r="76" spans="1:45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  <c r="AJ76" s="136">
        <f>+Actuals!AG118</f>
        <v>0</v>
      </c>
      <c r="AK76" s="137">
        <f>+Actuals!AH118</f>
        <v>0</v>
      </c>
      <c r="AL76" s="136">
        <f>+Actuals!AI118</f>
        <v>0</v>
      </c>
      <c r="AM76" s="137">
        <f>+Actuals!AJ118</f>
        <v>0</v>
      </c>
      <c r="AN76" s="136">
        <f>+Actuals!AK118</f>
        <v>0</v>
      </c>
      <c r="AO76" s="137">
        <f>+Actuals!AL118</f>
        <v>0</v>
      </c>
      <c r="AP76" s="136">
        <f>+Actuals!AM118</f>
        <v>0</v>
      </c>
      <c r="AQ76" s="137">
        <f>+Actuals!AN118</f>
        <v>0</v>
      </c>
      <c r="AR76" s="136">
        <f>+Actuals!AO118</f>
        <v>0</v>
      </c>
      <c r="AS76" s="137">
        <f>+Actuals!AP118</f>
        <v>0</v>
      </c>
    </row>
    <row r="77" spans="1:45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  <c r="AJ77" s="136">
        <f>+Actuals!AG119</f>
        <v>0</v>
      </c>
      <c r="AK77" s="137">
        <f>+Actuals!AH119</f>
        <v>0</v>
      </c>
      <c r="AL77" s="136">
        <f>+Actuals!AI119</f>
        <v>0</v>
      </c>
      <c r="AM77" s="137">
        <f>+Actuals!AJ119</f>
        <v>0</v>
      </c>
      <c r="AN77" s="136">
        <f>+Actuals!AK119</f>
        <v>0</v>
      </c>
      <c r="AO77" s="137">
        <f>+Actuals!AL119</f>
        <v>0</v>
      </c>
      <c r="AP77" s="136">
        <f>+Actuals!AM119</f>
        <v>0</v>
      </c>
      <c r="AQ77" s="137">
        <f>+Actuals!AN119</f>
        <v>0</v>
      </c>
      <c r="AR77" s="136">
        <f>+Actuals!AO119</f>
        <v>0</v>
      </c>
      <c r="AS77" s="137">
        <f>+Actuals!AP119</f>
        <v>0</v>
      </c>
    </row>
    <row r="78" spans="1:45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  <c r="AJ78" s="136">
        <f>+Actuals!AG120</f>
        <v>0</v>
      </c>
      <c r="AK78" s="137">
        <f>+Actuals!AH120</f>
        <v>0</v>
      </c>
      <c r="AL78" s="136">
        <f>+Actuals!AI120</f>
        <v>0</v>
      </c>
      <c r="AM78" s="137">
        <f>+Actuals!AJ120</f>
        <v>0</v>
      </c>
      <c r="AN78" s="136">
        <f>+Actuals!AK120</f>
        <v>0</v>
      </c>
      <c r="AO78" s="137">
        <f>+Actuals!AL120</f>
        <v>0</v>
      </c>
      <c r="AP78" s="136">
        <f>+Actuals!AM120</f>
        <v>0</v>
      </c>
      <c r="AQ78" s="137">
        <f>+Actuals!AN120</f>
        <v>0</v>
      </c>
      <c r="AR78" s="136">
        <f>+Actuals!AO120</f>
        <v>0</v>
      </c>
      <c r="AS78" s="137">
        <f>+Actuals!AP120</f>
        <v>0</v>
      </c>
    </row>
    <row r="79" spans="1:45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  <c r="AJ79" s="136">
        <f>+Actuals!AG121</f>
        <v>0</v>
      </c>
      <c r="AK79" s="137">
        <f>+Actuals!AH121</f>
        <v>0</v>
      </c>
      <c r="AL79" s="136">
        <f>+Actuals!AI121</f>
        <v>0</v>
      </c>
      <c r="AM79" s="137">
        <f>+Actuals!AJ121</f>
        <v>0</v>
      </c>
      <c r="AN79" s="136">
        <f>+Actuals!AK121</f>
        <v>0</v>
      </c>
      <c r="AO79" s="137">
        <f>+Actuals!AL121</f>
        <v>0</v>
      </c>
      <c r="AP79" s="136">
        <f>+Actuals!AM121</f>
        <v>0</v>
      </c>
      <c r="AQ79" s="137">
        <f>+Actuals!AN121</f>
        <v>0</v>
      </c>
      <c r="AR79" s="136">
        <f>+Actuals!AO121</f>
        <v>0</v>
      </c>
      <c r="AS79" s="137">
        <f>+Actuals!AP121</f>
        <v>0</v>
      </c>
    </row>
    <row r="80" spans="1:45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  <c r="AJ80" s="136">
        <f>+Actuals!AG122</f>
        <v>0</v>
      </c>
      <c r="AK80" s="137">
        <f>+Actuals!AH122</f>
        <v>0</v>
      </c>
      <c r="AL80" s="136">
        <f>+Actuals!AI122</f>
        <v>0</v>
      </c>
      <c r="AM80" s="137">
        <f>+Actuals!AJ122</f>
        <v>0</v>
      </c>
      <c r="AN80" s="136">
        <f>+Actuals!AK122</f>
        <v>0</v>
      </c>
      <c r="AO80" s="137">
        <f>+Actuals!AL122</f>
        <v>0</v>
      </c>
      <c r="AP80" s="136">
        <f>+Actuals!AM122</f>
        <v>0</v>
      </c>
      <c r="AQ80" s="137">
        <f>+Actuals!AN122</f>
        <v>0</v>
      </c>
      <c r="AR80" s="136">
        <f>+Actuals!AO122</f>
        <v>0</v>
      </c>
      <c r="AS80" s="137">
        <f>+Actuals!AP122</f>
        <v>0</v>
      </c>
    </row>
    <row r="81" spans="1:45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-111021</v>
      </c>
      <c r="F81" s="60">
        <f>'TIE-OUT'!X81+RECLASS!X81</f>
        <v>0</v>
      </c>
      <c r="G81" s="60">
        <f>'TIE-OUT'!Y81+RECLASS!Y81</f>
        <v>-111021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  <c r="AJ81" s="136">
        <f>+Actuals!AG123</f>
        <v>0</v>
      </c>
      <c r="AK81" s="137">
        <f>+Actuals!AH123</f>
        <v>0</v>
      </c>
      <c r="AL81" s="136">
        <f>+Actuals!AI123</f>
        <v>0</v>
      </c>
      <c r="AM81" s="137">
        <f>+Actuals!AJ123</f>
        <v>0</v>
      </c>
      <c r="AN81" s="136">
        <f>+Actuals!AK123</f>
        <v>0</v>
      </c>
      <c r="AO81" s="137">
        <f>+Actuals!AL123</f>
        <v>0</v>
      </c>
      <c r="AP81" s="136">
        <f>+Actuals!AM123</f>
        <v>0</v>
      </c>
      <c r="AQ81" s="137">
        <f>+Actuals!AN123</f>
        <v>0</v>
      </c>
      <c r="AR81" s="136">
        <f>+Actuals!AO123</f>
        <v>0</v>
      </c>
      <c r="AS81" s="137">
        <f>+Actuals!AP123</f>
        <v>0</v>
      </c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508114.14999999997</v>
      </c>
      <c r="F82" s="92">
        <f>F16+F24+F29+F36+F43+F45+F47+F49</f>
        <v>0</v>
      </c>
      <c r="G82" s="93">
        <f>SUM(G72:G81)+G16+G24+G29+G36+G43+G45+G47+G49+G51+G56+G61+G66</f>
        <v>2925</v>
      </c>
      <c r="H82" s="92">
        <f>H16+H24+H29+H36+H43+H45+H47+H49</f>
        <v>0</v>
      </c>
      <c r="I82" s="93">
        <f>SUM(I72:I81)+I16+I24+I29+I36+I43+I45+I47+I49+I51+I56+I61+I66</f>
        <v>3659696.0319999992</v>
      </c>
      <c r="J82" s="92">
        <f>J16+J24+J29+J36+J43+J45+J47+J49</f>
        <v>0</v>
      </c>
      <c r="K82" s="166">
        <f>SUM(K72:K81)+K16+K24+K29+K36+K43+K45+K47+K49+K51+K56+K61+K66</f>
        <v>-1604212.8399999999</v>
      </c>
      <c r="L82" s="92">
        <f>L16+L24+L29+L36+L43+L45+L47+L49</f>
        <v>0</v>
      </c>
      <c r="M82" s="93">
        <f>SUM(M72:M81)+M16+M24+M29+M36+M43+M45+M47+M49+M51+M56+M61+M66</f>
        <v>1497272.4759999998</v>
      </c>
      <c r="N82" s="92">
        <f>N16+N24+N29+N36+N43+N45+N47+N49</f>
        <v>0</v>
      </c>
      <c r="O82" s="93">
        <f>SUM(O72:O81)+O16+O24+O29+O36+O43+O45+O47+O49+O51+O56+O61+O66</f>
        <v>19307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-3066873.5179999997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5" thickTop="1" x14ac:dyDescent="0.2">
      <c r="A83" s="4"/>
      <c r="B83" s="3"/>
    </row>
    <row r="84" spans="1:45" x14ac:dyDescent="0.2">
      <c r="A84" s="4"/>
      <c r="B84" s="3"/>
    </row>
    <row r="85" spans="1:45" x14ac:dyDescent="0.2">
      <c r="A85" s="4"/>
      <c r="B85" s="3"/>
    </row>
    <row r="86" spans="1:45" x14ac:dyDescent="0.2">
      <c r="A86" s="4"/>
      <c r="B86" s="3"/>
    </row>
    <row r="87" spans="1:45" x14ac:dyDescent="0.2">
      <c r="A87" s="4"/>
      <c r="B87" s="3"/>
    </row>
    <row r="88" spans="1:45" x14ac:dyDescent="0.2">
      <c r="A88" s="4"/>
      <c r="B88" s="3"/>
    </row>
    <row r="89" spans="1:45" x14ac:dyDescent="0.2">
      <c r="A89" s="4"/>
      <c r="B89" s="3"/>
    </row>
    <row r="90" spans="1:45" x14ac:dyDescent="0.2">
      <c r="A90" s="4"/>
      <c r="B90" s="3"/>
    </row>
    <row r="91" spans="1:45" x14ac:dyDescent="0.2">
      <c r="A91" s="4"/>
      <c r="B91" s="3"/>
    </row>
    <row r="92" spans="1:45" x14ac:dyDescent="0.2">
      <c r="A92" s="4"/>
      <c r="B92" s="3"/>
    </row>
    <row r="93" spans="1:45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9" sqref="D2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STG_VAR!D11+ONT_VAR!D11+'CE-VAR'!D11+'NE-VAR'!D11+'SE-EGM-VAR'!D11+'SE-LRC-VAR'!D11+'TX-EGM-VAR'!D11+'TX-HPL-VAR '!D11+'WE-VAR'!D11+BGC_VAR!D11</f>
        <v>257393991</v>
      </c>
      <c r="E11" s="65">
        <f>STG_VAR!E11+ONT_VAR!E11+'CE-VAR'!E11+'NE-VAR'!E11+'SE-EGM-VAR'!E11+'SE-LRC-VAR'!E11+'TX-EGM-VAR'!E11+'TX-HPL-VAR '!E11+'WE-VAR'!E11+BGC_VAR!E11</f>
        <v>421235771</v>
      </c>
      <c r="F11" s="65">
        <f>STG_VAR!F11+ONT_VAR!F11+'CE-VAR'!F11+'NE-VAR'!F11+'SE-EGM-VAR'!F11+'SE-LRC-VAR'!F11+'TX-EGM-VAR'!F11+'TX-HPL-VAR '!F11+'WE-VAR'!F11+BGC_VAR!F11</f>
        <v>269650453</v>
      </c>
      <c r="G11" s="65">
        <f>STG_VAR!G11+ONT_VAR!G11+'CE-VAR'!G11+'NE-VAR'!G11+'SE-EGM-VAR'!G11+'SE-LRC-VAR'!G11+'TX-EGM-VAR'!G11+'TX-HPL-VAR '!G11+'WE-VAR'!G11+BGC_VAR!G11</f>
        <v>500231112.70000005</v>
      </c>
      <c r="H11" s="60">
        <f>F11-D11</f>
        <v>12256462</v>
      </c>
      <c r="I11" s="38">
        <f>G11-E11</f>
        <v>78995341.700000048</v>
      </c>
    </row>
    <row r="12" spans="1:22" x14ac:dyDescent="0.2">
      <c r="A12" s="9">
        <v>2</v>
      </c>
      <c r="B12" s="7"/>
      <c r="C12" s="18" t="s">
        <v>30</v>
      </c>
      <c r="D12" s="65">
        <f>STG_VAR!D12+ONT_VAR!D12+'CE-VAR'!D12+'NE-VAR'!D12+'SE-EGM-VAR'!D12+'SE-LRC-VAR'!D12+'TX-EGM-VAR'!D12+'TX-HPL-VAR '!D12+'WE-VAR'!D12+BGC_VAR!D12</f>
        <v>0</v>
      </c>
      <c r="E12" s="65">
        <f>STG_VAR!E12+ONT_VAR!E12+'CE-VAR'!E12+'NE-VAR'!E12+'SE-EGM-VAR'!E12+'SE-LRC-VAR'!E12+'TX-EGM-VAR'!E12+'TX-HPL-VAR '!E12+'WE-VAR'!E12+BGC_VAR!E12</f>
        <v>0</v>
      </c>
      <c r="F12" s="65">
        <f>STG_VAR!F12+ONT_VAR!F12+'CE-VAR'!F12+'NE-VAR'!F12+'SE-EGM-VAR'!F12+'SE-LRC-VAR'!F12+'TX-EGM-VAR'!F12+'TX-HPL-VAR '!F12+'WE-VAR'!F12+BGC_VAR!F12</f>
        <v>0</v>
      </c>
      <c r="G12" s="65">
        <f>STG_VAR!G12+ONT_VAR!G12+'CE-VAR'!G12+'NE-VAR'!G12+'SE-EGM-VAR'!G12+'SE-LRC-VAR'!G12+'TX-EGM-VAR'!G12+'TX-HPL-VAR '!G12+'WE-VAR'!G12+BGC_VAR!G12</f>
        <v>-40322489.449999996</v>
      </c>
      <c r="H12" s="60">
        <f>F12-D12</f>
        <v>0</v>
      </c>
      <c r="I12" s="38">
        <f>G12-E12</f>
        <v>-40322489.449999996</v>
      </c>
    </row>
    <row r="13" spans="1:22" x14ac:dyDescent="0.2">
      <c r="A13" s="9">
        <v>3</v>
      </c>
      <c r="B13" s="7"/>
      <c r="C13" s="18" t="s">
        <v>31</v>
      </c>
      <c r="D13" s="65">
        <f>STG_VAR!D13+ONT_VAR!D13+'CE-VAR'!D13+'NE-VAR'!D13+'SE-EGM-VAR'!D13+'SE-LRC-VAR'!D13+'TX-EGM-VAR'!D13+'TX-HPL-VAR '!D13+'WE-VAR'!D13+BGC_VAR!D13</f>
        <v>131550121</v>
      </c>
      <c r="E13" s="65">
        <f>STG_VAR!E13+ONT_VAR!E13+'CE-VAR'!E13+'NE-VAR'!E13+'SE-EGM-VAR'!E13+'SE-LRC-VAR'!E13+'TX-EGM-VAR'!E13+'TX-HPL-VAR '!E13+'WE-VAR'!E13+BGC_VAR!E13</f>
        <v>237807667</v>
      </c>
      <c r="F13" s="65">
        <f>STG_VAR!F13+ONT_VAR!F13+'CE-VAR'!F13+'NE-VAR'!F13+'SE-EGM-VAR'!F13+'SE-LRC-VAR'!F13+'TX-EGM-VAR'!F13+'TX-HPL-VAR '!F13+'WE-VAR'!F13+BGC_VAR!F13</f>
        <v>106044632</v>
      </c>
      <c r="G13" s="65">
        <f>STG_VAR!G13+ONT_VAR!G13+'CE-VAR'!G13+'NE-VAR'!G13+'SE-EGM-VAR'!G13+'SE-LRC-VAR'!G13+'TX-EGM-VAR'!G13+'TX-HPL-VAR '!G13+'WE-VAR'!G13+BGC_VAR!G13</f>
        <v>205776383</v>
      </c>
      <c r="H13" s="60">
        <f t="shared" ref="H13:I15" si="0">F13-D13</f>
        <v>-25505489</v>
      </c>
      <c r="I13" s="38">
        <f t="shared" si="0"/>
        <v>-32031284</v>
      </c>
    </row>
    <row r="14" spans="1:22" x14ac:dyDescent="0.2">
      <c r="A14" s="9">
        <v>4</v>
      </c>
      <c r="B14" s="7"/>
      <c r="C14" s="18" t="s">
        <v>32</v>
      </c>
      <c r="D14" s="65">
        <f>STG_VAR!D14+ONT_VAR!D14+'CE-VAR'!D14+'NE-VAR'!D14+'SE-EGM-VAR'!D14+'SE-LRC-VAR'!D14+'TX-EGM-VAR'!D14+'TX-HPL-VAR '!D14+'WE-VAR'!D14+BGC_VAR!D14</f>
        <v>0</v>
      </c>
      <c r="E14" s="65">
        <f>STG_VAR!E14+ONT_VAR!E14+'CE-VAR'!E14+'NE-VAR'!E14+'SE-EGM-VAR'!E14+'SE-LRC-VAR'!E14+'TX-EGM-VAR'!E14+'TX-HPL-VAR '!E14+'WE-VAR'!E14+BGC_VAR!E14</f>
        <v>-73636</v>
      </c>
      <c r="F14" s="65">
        <f>STG_VAR!F14+ONT_VAR!F14+'CE-VAR'!F14+'NE-VAR'!F14+'SE-EGM-VAR'!F14+'SE-LRC-VAR'!F14+'TX-EGM-VAR'!F14+'TX-HPL-VAR '!F14+'WE-VAR'!F14+BGC_VAR!F14</f>
        <v>0</v>
      </c>
      <c r="G14" s="65">
        <f>STG_VAR!G14+ONT_VAR!G14+'CE-VAR'!G14+'NE-VAR'!G14+'SE-EGM-VAR'!G14+'SE-LRC-VAR'!G14+'TX-EGM-VAR'!G14+'TX-HPL-VAR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73636</v>
      </c>
    </row>
    <row r="15" spans="1:22" x14ac:dyDescent="0.2">
      <c r="A15" s="9">
        <v>5</v>
      </c>
      <c r="B15" s="7"/>
      <c r="C15" s="18" t="s">
        <v>33</v>
      </c>
      <c r="D15" s="65">
        <f>STG_VAR!D15+ONT_VAR!D15+'CE-VAR'!D15+'NE-VAR'!D15+'SE-EGM-VAR'!D15+'SE-LRC-VAR'!D15+'TX-EGM-VAR'!D15+'TX-HPL-VAR '!D15+'WE-VAR'!D15+BGC_VAR!D15</f>
        <v>0</v>
      </c>
      <c r="E15" s="65">
        <f>STG_VAR!E15+ONT_VAR!E15+'CE-VAR'!E15+'NE-VAR'!E15+'SE-EGM-VAR'!E15+'SE-LRC-VAR'!E15+'TX-EGM-VAR'!E15+'TX-HPL-VAR '!E15+'WE-VAR'!E15+BGC_VAR!E15</f>
        <v>120000</v>
      </c>
      <c r="F15" s="65">
        <f>STG_VAR!F15+ONT_VAR!F15+'CE-VAR'!F15+'NE-VAR'!F15+'SE-EGM-VAR'!F15+'SE-LRC-VAR'!F15+'TX-EGM-VAR'!F15+'TX-HPL-VAR '!F15+'WE-VAR'!F15+BGC_VAR!F15</f>
        <v>0</v>
      </c>
      <c r="G15" s="65">
        <f>STG_VAR!G15+ONT_VAR!G15+'CE-VAR'!G15+'NE-VAR'!G15+'SE-EGM-VAR'!G15+'SE-LRC-VAR'!G15+'TX-EGM-VAR'!G15+'TX-HPL-VAR '!G15+'WE-VAR'!G15+BGC_VAR!G15</f>
        <v>-3826574</v>
      </c>
      <c r="H15" s="60">
        <f t="shared" si="0"/>
        <v>0</v>
      </c>
      <c r="I15" s="38">
        <f t="shared" si="0"/>
        <v>-3946574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388944112</v>
      </c>
      <c r="E16" s="39">
        <f t="shared" si="1"/>
        <v>659089802</v>
      </c>
      <c r="F16" s="61">
        <f t="shared" si="1"/>
        <v>375695085</v>
      </c>
      <c r="G16" s="39">
        <f t="shared" si="1"/>
        <v>661858432.25</v>
      </c>
      <c r="H16" s="61">
        <f t="shared" si="1"/>
        <v>-13249027</v>
      </c>
      <c r="I16" s="39">
        <f t="shared" si="1"/>
        <v>2768630.2500000522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STG_VAR!D19+ONT_VAR!D19+'CE-VAR'!D19+'NE-VAR'!D19+'SE-EGM-VAR'!D19+'SE-LRC-VAR'!D19+'TX-EGM-VAR'!D19+'TX-HPL-VAR '!D19+'WE-VAR'!D19+BGC_VAR!D19</f>
        <v>-244011423</v>
      </c>
      <c r="E19" s="65">
        <f>STG_VAR!E19+ONT_VAR!E19+'CE-VAR'!E19+'NE-VAR'!E19+'SE-EGM-VAR'!E19+'SE-LRC-VAR'!E19+'TX-EGM-VAR'!E19+'TX-HPL-VAR '!E19+'WE-VAR'!E19+BGC_VAR!E19</f>
        <v>-395718888</v>
      </c>
      <c r="F19" s="65">
        <f>STG_VAR!F19+ONT_VAR!F19+'CE-VAR'!F19+'NE-VAR'!F19+'SE-EGM-VAR'!F19+'SE-LRC-VAR'!F19+'TX-EGM-VAR'!F19+'TX-HPL-VAR '!F19+'WE-VAR'!F19+BGC_VAR!F19</f>
        <v>-249314434</v>
      </c>
      <c r="G19" s="65">
        <f>STG_VAR!G19+ONT_VAR!G19+'CE-VAR'!G19+'NE-VAR'!G19+'SE-EGM-VAR'!G19+'SE-LRC-VAR'!G19+'TX-EGM-VAR'!G19+'TX-HPL-VAR '!G19+'WE-VAR'!G19+BGC_VAR!G19</f>
        <v>-419771541.6699999</v>
      </c>
      <c r="H19" s="60">
        <f>F19-D19</f>
        <v>-5303011</v>
      </c>
      <c r="I19" s="38">
        <f>G19-E19</f>
        <v>-24052653.669999897</v>
      </c>
    </row>
    <row r="20" spans="1:9" x14ac:dyDescent="0.2">
      <c r="A20" s="9">
        <v>7</v>
      </c>
      <c r="B20" s="7"/>
      <c r="C20" s="18" t="s">
        <v>30</v>
      </c>
      <c r="D20" s="65">
        <f>STG_VAR!D20+ONT_VAR!D20+'CE-VAR'!D20+'NE-VAR'!D20+'SE-EGM-VAR'!D20+'SE-LRC-VAR'!D20+'TX-EGM-VAR'!D20+'TX-HPL-VAR '!D20+'WE-VAR'!D20+BGC_VAR!D20</f>
        <v>0</v>
      </c>
      <c r="E20" s="65">
        <f>STG_VAR!E20+ONT_VAR!E20+'CE-VAR'!E20+'NE-VAR'!E20+'SE-EGM-VAR'!E20+'SE-LRC-VAR'!E20+'TX-EGM-VAR'!E20+'TX-HPL-VAR '!E20+'WE-VAR'!E20+BGC_VAR!E20</f>
        <v>0</v>
      </c>
      <c r="F20" s="65">
        <f>STG_VAR!F20+ONT_VAR!F20+'CE-VAR'!F20+'NE-VAR'!F20+'SE-EGM-VAR'!F20+'SE-LRC-VAR'!F20+'TX-EGM-VAR'!F20+'TX-HPL-VAR '!F20+'WE-VAR'!F20+BGC_VAR!F20</f>
        <v>0</v>
      </c>
      <c r="G20" s="65">
        <f>STG_VAR!G20+ONT_VAR!G20+'CE-VAR'!G20+'NE-VAR'!G20+'SE-EGM-VAR'!G20+'SE-LRC-VAR'!G20+'TX-EGM-VAR'!G20+'TX-HPL-VAR '!G20+'WE-VAR'!G20+BGC_VAR!G20</f>
        <v>11150209.530000001</v>
      </c>
      <c r="H20" s="60">
        <f>F20-D20</f>
        <v>0</v>
      </c>
      <c r="I20" s="38">
        <f>G20-E20</f>
        <v>11150209.530000001</v>
      </c>
    </row>
    <row r="21" spans="1:9" x14ac:dyDescent="0.2">
      <c r="A21" s="9">
        <v>8</v>
      </c>
      <c r="B21" s="7"/>
      <c r="C21" s="18" t="s">
        <v>31</v>
      </c>
      <c r="D21" s="65">
        <f>STG_VAR!D21+ONT_VAR!D21+'CE-VAR'!D21+'NE-VAR'!D21+'SE-EGM-VAR'!D21+'SE-LRC-VAR'!D21+'TX-EGM-VAR'!D21+'TX-HPL-VAR '!D21+'WE-VAR'!D21+BGC_VAR!D21</f>
        <v>-139555256</v>
      </c>
      <c r="E21" s="65">
        <f>STG_VAR!E21+ONT_VAR!E21+'CE-VAR'!E21+'NE-VAR'!E21+'SE-EGM-VAR'!E21+'SE-LRC-VAR'!E21+'TX-EGM-VAR'!E21+'TX-HPL-VAR '!E21+'WE-VAR'!E21+BGC_VAR!E21</f>
        <v>-251456481</v>
      </c>
      <c r="F21" s="65">
        <f>STG_VAR!F21+ONT_VAR!F21+'CE-VAR'!F21+'NE-VAR'!F21+'SE-EGM-VAR'!F21+'SE-LRC-VAR'!F21+'TX-EGM-VAR'!F21+'TX-HPL-VAR '!F21+'WE-VAR'!F21+BGC_VAR!F21</f>
        <v>-106044632</v>
      </c>
      <c r="G21" s="65">
        <f>STG_VAR!G21+ONT_VAR!G21+'CE-VAR'!G21+'NE-VAR'!G21+'SE-EGM-VAR'!G21+'SE-LRC-VAR'!G21+'TX-EGM-VAR'!G21+'TX-HPL-VAR '!G21+'WE-VAR'!G21+BGC_VAR!G21</f>
        <v>-194027343</v>
      </c>
      <c r="H21" s="60">
        <f t="shared" ref="H21:I23" si="2">F21-D21</f>
        <v>33510624</v>
      </c>
      <c r="I21" s="38">
        <f t="shared" si="2"/>
        <v>57429138</v>
      </c>
    </row>
    <row r="22" spans="1:9" x14ac:dyDescent="0.2">
      <c r="A22" s="9">
        <v>9</v>
      </c>
      <c r="B22" s="7"/>
      <c r="C22" s="18" t="s">
        <v>32</v>
      </c>
      <c r="D22" s="65">
        <f>STG_VAR!D22+ONT_VAR!D22+'CE-VAR'!D22+'NE-VAR'!D22+'SE-EGM-VAR'!D22+'SE-LRC-VAR'!D22+'TX-EGM-VAR'!D22+'TX-HPL-VAR '!D22+'WE-VAR'!D22+BGC_VAR!D22</f>
        <v>0</v>
      </c>
      <c r="E22" s="65">
        <f>STG_VAR!E22+ONT_VAR!E22+'CE-VAR'!E22+'NE-VAR'!E22+'SE-EGM-VAR'!E22+'SE-LRC-VAR'!E22+'TX-EGM-VAR'!E22+'TX-HPL-VAR '!E22+'WE-VAR'!E22+BGC_VAR!E22</f>
        <v>0</v>
      </c>
      <c r="F22" s="65">
        <f>STG_VAR!F22+ONT_VAR!F22+'CE-VAR'!F22+'NE-VAR'!F22+'SE-EGM-VAR'!F22+'SE-LRC-VAR'!F22+'TX-EGM-VAR'!F22+'TX-HPL-VAR '!F22+'WE-VAR'!F22+BGC_VAR!F22</f>
        <v>0</v>
      </c>
      <c r="G22" s="65">
        <f>STG_VAR!G22+ONT_VAR!G22+'CE-VAR'!G22+'NE-VAR'!G22+'SE-EGM-VAR'!G22+'SE-LRC-VAR'!G22+'TX-EGM-VAR'!G22+'TX-HPL-VAR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STG_VAR!D23+ONT_VAR!D23+'CE-VAR'!D23+'NE-VAR'!D23+'SE-EGM-VAR'!D23+'SE-LRC-VAR'!D23+'TX-EGM-VAR'!D23+'TX-HPL-VAR '!D23+'WE-VAR'!D23+BGC_VAR!D23</f>
        <v>1744976</v>
      </c>
      <c r="E23" s="65">
        <f>STG_VAR!E23+ONT_VAR!E23+'CE-VAR'!E23+'NE-VAR'!E23+'SE-EGM-VAR'!E23+'SE-LRC-VAR'!E23+'TX-EGM-VAR'!E23+'TX-HPL-VAR '!E23+'WE-VAR'!E23+BGC_VAR!E23</f>
        <v>3028214</v>
      </c>
      <c r="F23" s="65">
        <f>STG_VAR!F23+ONT_VAR!F23+'CE-VAR'!F23+'NE-VAR'!F23+'SE-EGM-VAR'!F23+'SE-LRC-VAR'!F23+'TX-EGM-VAR'!F23+'TX-HPL-VAR '!F23+'WE-VAR'!F23+BGC_VAR!F23</f>
        <v>1675362</v>
      </c>
      <c r="G23" s="65">
        <f>STG_VAR!G23+ONT_VAR!G23+'CE-VAR'!G23+'NE-VAR'!G23+'SE-EGM-VAR'!G23+'SE-LRC-VAR'!G23+'TX-EGM-VAR'!G23+'TX-HPL-VAR '!G23+'WE-VAR'!G23+BGC_VAR!G23</f>
        <v>2673589.3929999997</v>
      </c>
      <c r="H23" s="60">
        <f t="shared" si="2"/>
        <v>-69614</v>
      </c>
      <c r="I23" s="38">
        <f t="shared" si="2"/>
        <v>-354624.60700000031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-381821703</v>
      </c>
      <c r="E24" s="39">
        <f t="shared" si="3"/>
        <v>-644147155</v>
      </c>
      <c r="F24" s="61">
        <f t="shared" si="3"/>
        <v>-353683704</v>
      </c>
      <c r="G24" s="39">
        <f t="shared" si="3"/>
        <v>-599975085.74699986</v>
      </c>
      <c r="H24" s="61">
        <f t="shared" si="3"/>
        <v>28137999</v>
      </c>
      <c r="I24" s="39">
        <f t="shared" si="3"/>
        <v>44172069.253000103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STG_VAR!D27+ONT_VAR!D27+'CE-VAR'!D27+'NE-VAR'!D27+'SE-EGM-VAR'!D27+'SE-LRC-VAR'!D27+'TX-EGM-VAR'!D27+'TX-HPL-VAR '!D27+'WE-VAR'!D27+BGC_VAR!D27</f>
        <v>34511359</v>
      </c>
      <c r="E27" s="65">
        <f>STG_VAR!E27+ONT_VAR!E27+'CE-VAR'!E27+'NE-VAR'!E27+'SE-EGM-VAR'!E27+'SE-LRC-VAR'!E27+'TX-EGM-VAR'!E27+'TX-HPL-VAR '!E27+'WE-VAR'!E27+BGC_VAR!E27</f>
        <v>59454463.999999993</v>
      </c>
      <c r="F27" s="65">
        <f>STG_VAR!F27+ONT_VAR!F27+'CE-VAR'!F27+'NE-VAR'!F27+'SE-EGM-VAR'!F27+'SE-LRC-VAR'!F27+'TX-EGM-VAR'!F27+'TX-HPL-VAR '!F27+'WE-VAR'!F27+BGC_VAR!F27</f>
        <v>22806186</v>
      </c>
      <c r="G27" s="65">
        <f>STG_VAR!G27+ONT_VAR!G27+'CE-VAR'!G27+'NE-VAR'!G27+'SE-EGM-VAR'!G27+'SE-LRC-VAR'!G27+'TX-EGM-VAR'!G27+'TX-HPL-VAR '!G27+'WE-VAR'!G27+BGC_VAR!G27</f>
        <v>38930000.091599993</v>
      </c>
      <c r="H27" s="60">
        <f>F27-D27</f>
        <v>-11705173</v>
      </c>
      <c r="I27" s="38">
        <f>G27-E27</f>
        <v>-20524463.908399999</v>
      </c>
    </row>
    <row r="28" spans="1:9" x14ac:dyDescent="0.2">
      <c r="A28" s="9">
        <v>12</v>
      </c>
      <c r="B28" s="7"/>
      <c r="C28" s="18" t="s">
        <v>40</v>
      </c>
      <c r="D28" s="65">
        <f>STG_VAR!D28+ONT_VAR!D28+'CE-VAR'!D28+'NE-VAR'!D28+'SE-EGM-VAR'!D28+'SE-LRC-VAR'!D28+'TX-EGM-VAR'!D28+'TX-HPL-VAR '!D28+'WE-VAR'!D28+BGC_VAR!D28</f>
        <v>-34511359</v>
      </c>
      <c r="E28" s="65">
        <f>STG_VAR!E28+ONT_VAR!E28+'CE-VAR'!E28+'NE-VAR'!E28+'SE-EGM-VAR'!E28+'SE-LRC-VAR'!E28+'TX-EGM-VAR'!E28+'TX-HPL-VAR '!E28+'WE-VAR'!E28+BGC_VAR!E28</f>
        <v>-59454464</v>
      </c>
      <c r="F28" s="65">
        <f>STG_VAR!F28+ONT_VAR!F28+'CE-VAR'!F28+'NE-VAR'!F28+'SE-EGM-VAR'!F28+'SE-LRC-VAR'!F28+'TX-EGM-VAR'!F28+'TX-HPL-VAR '!F28+'WE-VAR'!F28+BGC_VAR!F28</f>
        <v>-36798689</v>
      </c>
      <c r="G28" s="65">
        <f>STG_VAR!G28+ONT_VAR!G28+'CE-VAR'!G28+'NE-VAR'!G28+'SE-EGM-VAR'!G28+'SE-LRC-VAR'!G28+'TX-EGM-VAR'!G28+'TX-HPL-VAR '!G28+'WE-VAR'!G28+BGC_VAR!G28</f>
        <v>-61913051.789999999</v>
      </c>
      <c r="H28" s="60">
        <f>F28-D28</f>
        <v>-2287330</v>
      </c>
      <c r="I28" s="38">
        <f>G28-E28</f>
        <v>-2458587.7899999991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-13992503</v>
      </c>
      <c r="G29" s="70">
        <f t="shared" si="4"/>
        <v>-22983051.698400006</v>
      </c>
      <c r="H29" s="69">
        <f t="shared" si="4"/>
        <v>-13992503</v>
      </c>
      <c r="I29" s="70">
        <f t="shared" si="4"/>
        <v>-22983051.698399998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STG_VAR!D32+ONT_VAR!D32+'CE-VAR'!D32+'NE-VAR'!D32+'SE-EGM-VAR'!D32+'SE-LRC-VAR'!D32+'TX-EGM-VAR'!D32+'TX-HPL-VAR '!D32+'WE-VAR'!D32+BGC_VAR!D32</f>
        <v>3067081</v>
      </c>
      <c r="E32" s="65">
        <f>STG_VAR!E32+ONT_VAR!E32+'CE-VAR'!E32+'NE-VAR'!E32+'SE-EGM-VAR'!E32+'SE-LRC-VAR'!E32+'TX-EGM-VAR'!E32+'TX-HPL-VAR '!E32+'WE-VAR'!E32+BGC_VAR!E32</f>
        <v>5545249</v>
      </c>
      <c r="F32" s="65">
        <f>STG_VAR!F32+ONT_VAR!F32+'CE-VAR'!F32+'NE-VAR'!F32+'SE-EGM-VAR'!F32+'SE-LRC-VAR'!F32+'TX-EGM-VAR'!F32+'TX-HPL-VAR '!F32+'WE-VAR'!F32+BGC_VAR!F32</f>
        <v>-445136</v>
      </c>
      <c r="G32" s="65">
        <f>STG_VAR!G32+ONT_VAR!G32+'CE-VAR'!G32+'NE-VAR'!G32+'SE-EGM-VAR'!G32+'SE-LRC-VAR'!G32+'TX-EGM-VAR'!G32+'TX-HPL-VAR '!G32+'WE-VAR'!G32+BGC_VAR!G32</f>
        <v>-657715.79400000011</v>
      </c>
      <c r="H32" s="60">
        <f>F32-D32</f>
        <v>-3512217</v>
      </c>
      <c r="I32" s="38">
        <f>G32-E32</f>
        <v>-6202964.7939999998</v>
      </c>
    </row>
    <row r="33" spans="1:9" x14ac:dyDescent="0.2">
      <c r="A33" s="9">
        <v>14</v>
      </c>
      <c r="B33" s="7"/>
      <c r="C33" s="18" t="s">
        <v>44</v>
      </c>
      <c r="D33" s="65">
        <f>STG_VAR!D33+ONT_VAR!D33+'CE-VAR'!D33+'NE-VAR'!D33+'SE-EGM-VAR'!D33+'SE-LRC-VAR'!D33+'TX-EGM-VAR'!D33+'TX-HPL-VAR '!D33+'WE-VAR'!D33+BGC_VAR!D33</f>
        <v>-1866392</v>
      </c>
      <c r="E33" s="65">
        <f>STG_VAR!E33+ONT_VAR!E33+'CE-VAR'!E33+'NE-VAR'!E33+'SE-EGM-VAR'!E33+'SE-LRC-VAR'!E33+'TX-EGM-VAR'!E33+'TX-HPL-VAR '!E33+'WE-VAR'!E33+BGC_VAR!E33</f>
        <v>-4227382.6630679443</v>
      </c>
      <c r="F33" s="65">
        <f>STG_VAR!F33+ONT_VAR!F33+'CE-VAR'!F33+'NE-VAR'!F33+'SE-EGM-VAR'!F33+'SE-LRC-VAR'!F33+'TX-EGM-VAR'!F33+'TX-HPL-VAR '!F33+'WE-VAR'!F33+BGC_VAR!F33</f>
        <v>-342820</v>
      </c>
      <c r="G33" s="65">
        <f>STG_VAR!G33+ONT_VAR!G33+'CE-VAR'!G33+'NE-VAR'!G33+'SE-EGM-VAR'!G33+'SE-LRC-VAR'!G33+'TX-EGM-VAR'!G33+'TX-HPL-VAR '!G33+'WE-VAR'!G33+BGC_VAR!G33</f>
        <v>-662918.09</v>
      </c>
      <c r="H33" s="60">
        <f t="shared" ref="H33:I35" si="5">F33-D33</f>
        <v>1523572</v>
      </c>
      <c r="I33" s="38">
        <f t="shared" si="5"/>
        <v>3564464.5730679445</v>
      </c>
    </row>
    <row r="34" spans="1:9" x14ac:dyDescent="0.2">
      <c r="A34" s="9">
        <v>15</v>
      </c>
      <c r="B34" s="7"/>
      <c r="C34" s="18" t="s">
        <v>45</v>
      </c>
      <c r="D34" s="65">
        <f>STG_VAR!D34+ONT_VAR!D34+'CE-VAR'!D34+'NE-VAR'!D34+'SE-EGM-VAR'!D34+'SE-LRC-VAR'!D34+'TX-EGM-VAR'!D34+'TX-HPL-VAR '!D34+'WE-VAR'!D34+BGC_VAR!D34</f>
        <v>511944</v>
      </c>
      <c r="E34" s="65">
        <f>STG_VAR!E34+ONT_VAR!E34+'CE-VAR'!E34+'NE-VAR'!E34+'SE-EGM-VAR'!E34+'SE-LRC-VAR'!E34+'TX-EGM-VAR'!E34+'TX-HPL-VAR '!E34+'WE-VAR'!E34+BGC_VAR!E34</f>
        <v>899915</v>
      </c>
      <c r="F34" s="65">
        <f>STG_VAR!F34+ONT_VAR!F34+'CE-VAR'!F34+'NE-VAR'!F34+'SE-EGM-VAR'!F34+'SE-LRC-VAR'!F34+'TX-EGM-VAR'!F34+'TX-HPL-VAR '!F34+'WE-VAR'!F34+BGC_VAR!F34</f>
        <v>74435</v>
      </c>
      <c r="G34" s="65">
        <f>STG_VAR!G34+ONT_VAR!G34+'CE-VAR'!G34+'NE-VAR'!G34+'SE-EGM-VAR'!G34+'SE-LRC-VAR'!G34+'TX-EGM-VAR'!G34+'TX-HPL-VAR '!G34+'WE-VAR'!G34+BGC_VAR!G34</f>
        <v>111662.87000000001</v>
      </c>
      <c r="H34" s="60">
        <f t="shared" si="5"/>
        <v>-437509</v>
      </c>
      <c r="I34" s="38">
        <f t="shared" si="5"/>
        <v>-788252.13</v>
      </c>
    </row>
    <row r="35" spans="1:9" x14ac:dyDescent="0.2">
      <c r="A35" s="9">
        <v>16</v>
      </c>
      <c r="B35" s="7"/>
      <c r="C35" s="18" t="s">
        <v>46</v>
      </c>
      <c r="D35" s="65">
        <f>STG_VAR!D35+ONT_VAR!D35+'CE-VAR'!D35+'NE-VAR'!D35+'SE-EGM-VAR'!D35+'SE-LRC-VAR'!D35+'TX-EGM-VAR'!D35+'TX-HPL-VAR '!D35+'WE-VAR'!D35+BGC_VAR!D35</f>
        <v>-751562</v>
      </c>
      <c r="E35" s="65">
        <f>STG_VAR!E35+ONT_VAR!E35+'CE-VAR'!E35+'NE-VAR'!E35+'SE-EGM-VAR'!E35+'SE-LRC-VAR'!E35+'TX-EGM-VAR'!E35+'TX-HPL-VAR '!E35+'WE-VAR'!E35+BGC_VAR!E35</f>
        <v>-1330601</v>
      </c>
      <c r="F35" s="65">
        <f>STG_VAR!F35+ONT_VAR!F35+'CE-VAR'!F35+'NE-VAR'!F35+'SE-EGM-VAR'!F35+'SE-LRC-VAR'!F35+'TX-EGM-VAR'!F35+'TX-HPL-VAR '!F35+'WE-VAR'!F35+BGC_VAR!F35</f>
        <v>1659039</v>
      </c>
      <c r="G35" s="65">
        <f>STG_VAR!G35+ONT_VAR!G35+'CE-VAR'!G35+'NE-VAR'!G35+'SE-EGM-VAR'!G35+'SE-LRC-VAR'!G35+'TX-EGM-VAR'!G35+'TX-HPL-VAR '!G35+'WE-VAR'!G35+BGC_VAR!G35</f>
        <v>1182106.48</v>
      </c>
      <c r="H35" s="60">
        <f t="shared" si="5"/>
        <v>2410601</v>
      </c>
      <c r="I35" s="38">
        <f t="shared" si="5"/>
        <v>2512707.48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961071</v>
      </c>
      <c r="E36" s="39">
        <f t="shared" si="6"/>
        <v>887180.33693205565</v>
      </c>
      <c r="F36" s="61">
        <f t="shared" si="6"/>
        <v>945518</v>
      </c>
      <c r="G36" s="39">
        <f t="shared" si="6"/>
        <v>-26864.533999999985</v>
      </c>
      <c r="H36" s="61">
        <f t="shared" si="6"/>
        <v>-15553</v>
      </c>
      <c r="I36" s="39">
        <f t="shared" si="6"/>
        <v>-914044.87093205517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STG_VAR!D39+ONT_VAR!D39+'CE-VAR'!D39+'NE-VAR'!D39+'SE-EGM-VAR'!D39+'SE-LRC-VAR'!D39+'TX-EGM-VAR'!D39+'TX-HPL-VAR '!D39+'WE-VAR'!D39+BGC_VAR!D39</f>
        <v>5043573</v>
      </c>
      <c r="E39" s="65">
        <f>STG_VAR!E39+ONT_VAR!E39+'CE-VAR'!E39+'NE-VAR'!E39+'SE-EGM-VAR'!E39+'SE-LRC-VAR'!E39+'TX-EGM-VAR'!E39+'TX-HPL-VAR '!E39+'WE-VAR'!E39+BGC_VAR!E39</f>
        <v>8742042</v>
      </c>
      <c r="F39" s="65">
        <f>STG_VAR!F39+ONT_VAR!F39+'CE-VAR'!F39+'NE-VAR'!F39+'SE-EGM-VAR'!F39+'SE-LRC-VAR'!F39+'TX-EGM-VAR'!F39+'TX-HPL-VAR '!F39+'WE-VAR'!F39+BGC_VAR!F39</f>
        <v>1154803</v>
      </c>
      <c r="G39" s="65">
        <f>STG_VAR!G39+ONT_VAR!G39+'CE-VAR'!G39+'NE-VAR'!G39+'SE-EGM-VAR'!G39+'SE-LRC-VAR'!G39+'TX-EGM-VAR'!G39+'TX-HPL-VAR '!G39+'WE-VAR'!G39+BGC_VAR!G39</f>
        <v>1917711.84</v>
      </c>
      <c r="H39" s="60">
        <f t="shared" ref="H39:I41" si="7">F39-D39</f>
        <v>-3888770</v>
      </c>
      <c r="I39" s="38">
        <f t="shared" si="7"/>
        <v>-6824330.1600000001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STG_VAR!D40+ONT_VAR!D40+'CE-VAR'!D40+'NE-VAR'!D40+'SE-EGM-VAR'!D40+'SE-LRC-VAR'!D40+'TX-EGM-VAR'!D40+'TX-HPL-VAR '!D40+'WE-VAR'!D40+BGC_VAR!D40</f>
        <v>-12745645</v>
      </c>
      <c r="E40" s="65">
        <f>STG_VAR!E40+ONT_VAR!E40+'CE-VAR'!E40+'NE-VAR'!E40+'SE-EGM-VAR'!E40+'SE-LRC-VAR'!E40+'TX-EGM-VAR'!E40+'TX-HPL-VAR '!E40+'WE-VAR'!E40+BGC_VAR!E40</f>
        <v>-15730218.9087</v>
      </c>
      <c r="F40" s="65">
        <f>STG_VAR!F40+ONT_VAR!F40+'CE-VAR'!F40+'NE-VAR'!F40+'SE-EGM-VAR'!F40+'SE-LRC-VAR'!F40+'TX-EGM-VAR'!F40+'TX-HPL-VAR '!F40+'WE-VAR'!F40+BGC_VAR!F40</f>
        <v>-10034689</v>
      </c>
      <c r="G40" s="65">
        <f>STG_VAR!G40+ONT_VAR!G40+'CE-VAR'!G40+'NE-VAR'!G40+'SE-EGM-VAR'!G40+'SE-LRC-VAR'!G40+'TX-EGM-VAR'!G40+'TX-HPL-VAR '!G40+'WE-VAR'!G40+BGC_VAR!G40</f>
        <v>-19350363.530000001</v>
      </c>
      <c r="H40" s="60">
        <f t="shared" si="7"/>
        <v>2710956</v>
      </c>
      <c r="I40" s="38">
        <f t="shared" si="7"/>
        <v>-3620144.6213000007</v>
      </c>
    </row>
    <row r="41" spans="1:9" x14ac:dyDescent="0.2">
      <c r="A41" s="9">
        <v>19</v>
      </c>
      <c r="B41" s="7"/>
      <c r="C41" s="18" t="s">
        <v>51</v>
      </c>
      <c r="D41" s="65">
        <f>STG_VAR!D41+ONT_VAR!D41+'CE-VAR'!D41+'NE-VAR'!D41+'SE-EGM-VAR'!D41+'SE-LRC-VAR'!D41+'TX-EGM-VAR'!D41+'TX-HPL-VAR '!D41+'WE-VAR'!D41+BGC_VAR!D41</f>
        <v>0</v>
      </c>
      <c r="E41" s="65">
        <f>STG_VAR!E41+ONT_VAR!E41+'CE-VAR'!E41+'NE-VAR'!E41+'SE-EGM-VAR'!E41+'SE-LRC-VAR'!E41+'TX-EGM-VAR'!E41+'TX-HPL-VAR '!E41+'WE-VAR'!E41+BGC_VAR!E41</f>
        <v>0</v>
      </c>
      <c r="F41" s="65">
        <f>STG_VAR!F41+ONT_VAR!F41+'CE-VAR'!F41+'NE-VAR'!F41+'SE-EGM-VAR'!F41+'SE-LRC-VAR'!F41+'TX-EGM-VAR'!F41+'TX-HPL-VAR '!F41+'WE-VAR'!F41+BGC_VAR!F41</f>
        <v>0</v>
      </c>
      <c r="G41" s="65">
        <f>STG_VAR!G41+ONT_VAR!G41+'CE-VAR'!G41+'NE-VAR'!G41+'SE-EGM-VAR'!G41+'SE-LRC-VAR'!G41+'TX-EGM-VAR'!G41+'TX-HPL-VAR '!G41+'WE-VAR'!G41+BGC_VAR!G41</f>
        <v>-210648</v>
      </c>
      <c r="H41" s="60">
        <f t="shared" si="7"/>
        <v>0</v>
      </c>
      <c r="I41" s="38">
        <f t="shared" si="7"/>
        <v>-210648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-12745645</v>
      </c>
      <c r="E42" s="70">
        <f t="shared" si="8"/>
        <v>-15730218.9087</v>
      </c>
      <c r="F42" s="69">
        <f t="shared" si="8"/>
        <v>-10034689</v>
      </c>
      <c r="G42" s="70">
        <f t="shared" si="8"/>
        <v>-19561011.530000001</v>
      </c>
      <c r="H42" s="69">
        <f t="shared" si="8"/>
        <v>2710956</v>
      </c>
      <c r="I42" s="70">
        <f t="shared" si="8"/>
        <v>-3830792.6213000007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-7702072</v>
      </c>
      <c r="E43" s="39">
        <f t="shared" si="9"/>
        <v>-6988176.9087000005</v>
      </c>
      <c r="F43" s="61">
        <f t="shared" si="9"/>
        <v>-8879886</v>
      </c>
      <c r="G43" s="39">
        <f t="shared" si="9"/>
        <v>-17643299.690000001</v>
      </c>
      <c r="H43" s="61">
        <f t="shared" si="9"/>
        <v>-1177814</v>
      </c>
      <c r="I43" s="39">
        <f t="shared" si="9"/>
        <v>-10655122.781300001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STG_VAR!D45+ONT_VAR!D45+'CE-VAR'!D45+'NE-VAR'!D45+'SE-EGM-VAR'!D45+'SE-LRC-VAR'!D45+'TX-EGM-VAR'!D45+'TX-HPL-VAR '!D45+'WE-VAR'!D45+BGC_VAR!D45</f>
        <v>0</v>
      </c>
      <c r="E45" s="65">
        <f>STG_VAR!E45+ONT_VAR!E45+'CE-VAR'!E45+'NE-VAR'!E45+'SE-EGM-VAR'!E45+'SE-LRC-VAR'!E45+'TX-EGM-VAR'!E45+'TX-HPL-VAR '!E45+'WE-VAR'!E45+BGC_VAR!E45</f>
        <v>0</v>
      </c>
      <c r="F45" s="65">
        <f>STG_VAR!F45+ONT_VAR!F45+'CE-VAR'!F45+'NE-VAR'!F45+'SE-EGM-VAR'!F45+'SE-LRC-VAR'!F45+'TX-EGM-VAR'!F45+'TX-HPL-VAR '!F45+'WE-VAR'!F45+BGC_VAR!F45</f>
        <v>-27044</v>
      </c>
      <c r="G45" s="65">
        <f>STG_VAR!G45+ONT_VAR!G45+'CE-VAR'!G45+'NE-VAR'!G45+'SE-EGM-VAR'!G45+'SE-LRC-VAR'!G45+'TX-EGM-VAR'!G45+'TX-HPL-VAR '!G45+'WE-VAR'!G45+BGC_VAR!G45</f>
        <v>-46231.18</v>
      </c>
      <c r="H45" s="60">
        <f>F45-D45</f>
        <v>-27044</v>
      </c>
      <c r="I45" s="38">
        <f>G45-E45</f>
        <v>-46231.18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STG_VAR!D47+ONT_VAR!D47+'CE-VAR'!D47+'NE-VAR'!D47+'SE-EGM-VAR'!D47+'SE-LRC-VAR'!D47+'TX-EGM-VAR'!D47+'TX-HPL-VAR '!D47+'WE-VAR'!D47+BGC_VAR!D47</f>
        <v>0</v>
      </c>
      <c r="E47" s="65">
        <f>STG_VAR!E47+ONT_VAR!E47+'CE-VAR'!E47+'NE-VAR'!E47+'SE-EGM-VAR'!E47+'SE-LRC-VAR'!E47+'TX-EGM-VAR'!E47+'TX-HPL-VAR '!E47+'WE-VAR'!E47+BGC_VAR!E47</f>
        <v>0</v>
      </c>
      <c r="F47" s="65">
        <f>STG_VAR!F47+ONT_VAR!F47+'CE-VAR'!F47+'NE-VAR'!F47+'SE-EGM-VAR'!F47+'SE-LRC-VAR'!F47+'TX-EGM-VAR'!F47+'TX-HPL-VAR '!F47+'WE-VAR'!F47+BGC_VAR!F47</f>
        <v>0</v>
      </c>
      <c r="G47" s="65">
        <f>STG_VAR!G47+ONT_VAR!G47+'CE-VAR'!G47+'NE-VAR'!G47+'SE-EGM-VAR'!G47+'SE-LRC-VAR'!G47+'TX-EGM-VAR'!G47+'TX-HPL-VAR '!G47+'WE-VAR'!G47+BGC_VAR!G47</f>
        <v>-14647.13</v>
      </c>
      <c r="H47" s="60">
        <f>F47-D47</f>
        <v>0</v>
      </c>
      <c r="I47" s="38">
        <f>G47-E47</f>
        <v>-14647.13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STG_VAR!D49+ONT_VAR!D49+'CE-VAR'!D49+'NE-VAR'!D49+'SE-EGM-VAR'!D49+'SE-LRC-VAR'!D49+'TX-EGM-VAR'!D49+'TX-HPL-VAR '!D49+'WE-VAR'!D49+BGC_VAR!D49</f>
        <v>0</v>
      </c>
      <c r="E49" s="65">
        <f>STG_VAR!E49+ONT_VAR!E49+'CE-VAR'!E49+'NE-VAR'!E49+'SE-EGM-VAR'!E49+'SE-LRC-VAR'!E49+'TX-EGM-VAR'!E49+'TX-HPL-VAR '!E49+'WE-VAR'!E49+BGC_VAR!E49</f>
        <v>0</v>
      </c>
      <c r="F49" s="65">
        <f>STG_VAR!F49+ONT_VAR!F49+'CE-VAR'!F49+'NE-VAR'!F49+'SE-EGM-VAR'!F49+'SE-LRC-VAR'!F49+'TX-EGM-VAR'!F49+'TX-HPL-VAR '!F49+'WE-VAR'!F49+BGC_VAR!F49</f>
        <v>-57466</v>
      </c>
      <c r="G49" s="65">
        <f>STG_VAR!G49+ONT_VAR!G49+'CE-VAR'!G49+'NE-VAR'!G49+'SE-EGM-VAR'!G49+'SE-LRC-VAR'!G49+'TX-EGM-VAR'!G49+'TX-HPL-VAR '!G49+'WE-VAR'!G49+BGC_VAR!G49</f>
        <v>165340.97099999955</v>
      </c>
      <c r="H49" s="60">
        <f>F49-D49</f>
        <v>-57466</v>
      </c>
      <c r="I49" s="38">
        <f>G49-E49</f>
        <v>165340.97099999955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STG_VAR!D51+ONT_VAR!D51+'CE-VAR'!D51+'NE-VAR'!D51+'SE-EGM-VAR'!D51+'SE-LRC-VAR'!D51+'TX-EGM-VAR'!D51+'TX-HPL-VAR '!D51+'WE-VAR'!D51+BGC_VAR!D51</f>
        <v>-1744308</v>
      </c>
      <c r="E51" s="65">
        <f>STG_VAR!E51+ONT_VAR!E51+'CE-VAR'!E51+'NE-VAR'!E51+'SE-EGM-VAR'!E51+'SE-LRC-VAR'!E51+'TX-EGM-VAR'!E51+'TX-HPL-VAR '!E51+'WE-VAR'!E51+BGC_VAR!E51</f>
        <v>-3027075</v>
      </c>
      <c r="F51" s="65">
        <f>STG_VAR!F51+ONT_VAR!F51+'CE-VAR'!F51+'NE-VAR'!F51+'SE-EGM-VAR'!F51+'SE-LRC-VAR'!F51+'TX-EGM-VAR'!F51+'TX-HPL-VAR '!F51+'WE-VAR'!F51+BGC_VAR!F51</f>
        <v>-1718644</v>
      </c>
      <c r="G51" s="65">
        <f>STG_VAR!G51+ONT_VAR!G51+'CE-VAR'!G51+'NE-VAR'!G51+'SE-EGM-VAR'!G51+'SE-LRC-VAR'!G51+'TX-EGM-VAR'!G51+'TX-HPL-VAR '!G51+'WE-VAR'!G51+BGC_VAR!G51</f>
        <v>-2752971.7429999993</v>
      </c>
      <c r="H51" s="60">
        <f>F51-D51</f>
        <v>25664</v>
      </c>
      <c r="I51" s="38">
        <f>G51-E51</f>
        <v>274103.25700000068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STG_VAR!D54+ONT_VAR!D54+'CE-VAR'!D54+'NE-VAR'!D54+'SE-EGM-VAR'!D54+'SE-LRC-VAR'!D54+'TX-EGM-VAR'!D54+'TX-HPL-VAR '!D54+'WE-VAR'!D54+BGC_VAR!D54</f>
        <v>0</v>
      </c>
      <c r="E54" s="65">
        <f>STG_VAR!E54+ONT_VAR!E54+'CE-VAR'!E54+'NE-VAR'!E54+'SE-EGM-VAR'!E54+'SE-LRC-VAR'!E54+'TX-EGM-VAR'!E54+'TX-HPL-VAR '!E54+'WE-VAR'!E54+BGC_VAR!E54</f>
        <v>-2889657.21</v>
      </c>
      <c r="F54" s="65">
        <f>STG_VAR!F54+ONT_VAR!F54+'CE-VAR'!F54+'NE-VAR'!F54+'SE-EGM-VAR'!F54+'SE-LRC-VAR'!F54+'TX-EGM-VAR'!F54+'TX-HPL-VAR '!F54+'WE-VAR'!F54+BGC_VAR!F54</f>
        <v>-64208319</v>
      </c>
      <c r="G54" s="65">
        <f>STG_VAR!G54+ONT_VAR!G54+'CE-VAR'!G54+'NE-VAR'!G54+'SE-EGM-VAR'!G54+'SE-LRC-VAR'!G54+'TX-EGM-VAR'!G54+'TX-HPL-VAR '!G54+'WE-VAR'!G54+BGC_VAR!G54</f>
        <v>-2668402.0899999994</v>
      </c>
      <c r="H54" s="60">
        <f>F54-D54</f>
        <v>-64208319</v>
      </c>
      <c r="I54" s="38">
        <f>G54-E54</f>
        <v>221255.12000000058</v>
      </c>
    </row>
    <row r="55" spans="1:9" x14ac:dyDescent="0.2">
      <c r="A55" s="9">
        <v>25</v>
      </c>
      <c r="B55" s="7"/>
      <c r="C55" s="18" t="s">
        <v>60</v>
      </c>
      <c r="D55" s="65">
        <f>STG_VAR!D55+ONT_VAR!D55+'CE-VAR'!D55+'NE-VAR'!D55+'SE-EGM-VAR'!D55+'SE-LRC-VAR'!D55+'TX-EGM-VAR'!D55+'TX-HPL-VAR '!D55+'WE-VAR'!D55+BGC_VAR!D55</f>
        <v>0</v>
      </c>
      <c r="E55" s="65">
        <f>STG_VAR!E55+ONT_VAR!E55+'CE-VAR'!E55+'NE-VAR'!E55+'SE-EGM-VAR'!E55+'SE-LRC-VAR'!E55+'TX-EGM-VAR'!E55+'TX-HPL-VAR '!E55+'WE-VAR'!E55+BGC_VAR!E55</f>
        <v>-16156642</v>
      </c>
      <c r="F55" s="65">
        <f>STG_VAR!F55+ONT_VAR!F55+'CE-VAR'!F55+'NE-VAR'!F55+'SE-EGM-VAR'!F55+'SE-LRC-VAR'!F55+'TX-EGM-VAR'!F55+'TX-HPL-VAR '!F55+'WE-VAR'!F55+BGC_VAR!F55</f>
        <v>-3994966</v>
      </c>
      <c r="G55" s="65">
        <f>STG_VAR!G55+ONT_VAR!G55+'CE-VAR'!G55+'NE-VAR'!G55+'SE-EGM-VAR'!G55+'SE-LRC-VAR'!G55+'TX-EGM-VAR'!G55+'TX-HPL-VAR '!G55+'WE-VAR'!G55+BGC_VAR!G55</f>
        <v>-16939640.399999999</v>
      </c>
      <c r="H55" s="60">
        <f>F55-D55</f>
        <v>-3994966</v>
      </c>
      <c r="I55" s="38">
        <f>G55-E55</f>
        <v>-782998.39999999851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-19046299.210000001</v>
      </c>
      <c r="F56" s="61">
        <f t="shared" si="10"/>
        <v>-68203285</v>
      </c>
      <c r="G56" s="39">
        <f t="shared" si="10"/>
        <v>-19608042.489999998</v>
      </c>
      <c r="H56" s="61">
        <f t="shared" si="10"/>
        <v>-68203285</v>
      </c>
      <c r="I56" s="39">
        <f t="shared" si="10"/>
        <v>-561743.27999999793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STG_VAR!D59+ONT_VAR!D59+'CE-VAR'!D59+'NE-VAR'!D59+'SE-EGM-VAR'!D59+'SE-LRC-VAR'!D59+'TX-EGM-VAR'!D59+'TX-HPL-VAR '!D59+'WE-VAR'!D59+BGC_VAR!D59</f>
        <v>0</v>
      </c>
      <c r="E59" s="65">
        <f>STG_VAR!E59+ONT_VAR!E59+'CE-VAR'!E59+'NE-VAR'!E59+'SE-EGM-VAR'!E59+'SE-LRC-VAR'!E59+'TX-EGM-VAR'!E59+'TX-HPL-VAR '!E59+'WE-VAR'!E59+BGC_VAR!E59</f>
        <v>0</v>
      </c>
      <c r="F59" s="65">
        <f>STG_VAR!F59+ONT_VAR!F59+'CE-VAR'!F59+'NE-VAR'!F59+'SE-EGM-VAR'!F59+'SE-LRC-VAR'!F59+'TX-EGM-VAR'!F59+'TX-HPL-VAR '!F59+'WE-VAR'!F59+BGC_VAR!F59</f>
        <v>3063827</v>
      </c>
      <c r="G59" s="65">
        <f>STG_VAR!G59+ONT_VAR!G59+'CE-VAR'!G59+'NE-VAR'!G59+'SE-EGM-VAR'!G59+'SE-LRC-VAR'!G59+'TX-EGM-VAR'!G59+'TX-HPL-VAR '!G59+'WE-VAR'!G59+BGC_VAR!G59</f>
        <v>97337.260000000009</v>
      </c>
      <c r="H59" s="60">
        <f>F59-D59</f>
        <v>3063827</v>
      </c>
      <c r="I59" s="38">
        <f>G59-E59</f>
        <v>97337.260000000009</v>
      </c>
    </row>
    <row r="60" spans="1:9" x14ac:dyDescent="0.2">
      <c r="A60" s="9">
        <v>27</v>
      </c>
      <c r="B60" s="11"/>
      <c r="C60" s="18" t="s">
        <v>64</v>
      </c>
      <c r="D60" s="65">
        <f>STG_VAR!D60+ONT_VAR!D60+'CE-VAR'!D60+'NE-VAR'!D60+'SE-EGM-VAR'!D60+'SE-LRC-VAR'!D60+'TX-EGM-VAR'!D60+'TX-HPL-VAR '!D60+'WE-VAR'!D60+BGC_VAR!D60</f>
        <v>0</v>
      </c>
      <c r="E60" s="65">
        <f>STG_VAR!E60+ONT_VAR!E60+'CE-VAR'!E60+'NE-VAR'!E60+'SE-EGM-VAR'!E60+'SE-LRC-VAR'!E60+'TX-EGM-VAR'!E60+'TX-HPL-VAR '!E60+'WE-VAR'!E60+BGC_VAR!E60</f>
        <v>0</v>
      </c>
      <c r="F60" s="65">
        <f>STG_VAR!F60+ONT_VAR!F60+'CE-VAR'!F60+'NE-VAR'!F60+'SE-EGM-VAR'!F60+'SE-LRC-VAR'!F60+'TX-EGM-VAR'!F60+'TX-HPL-VAR '!F60+'WE-VAR'!F60+BGC_VAR!F60</f>
        <v>0</v>
      </c>
      <c r="G60" s="65">
        <f>STG_VAR!G60+ONT_VAR!G60+'CE-VAR'!G60+'NE-VAR'!G60+'SE-EGM-VAR'!G60+'SE-LRC-VAR'!G60+'TX-EGM-VAR'!G60+'TX-HPL-VAR '!G60+'WE-VAR'!G60+BGC_VAR!G60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3063827</v>
      </c>
      <c r="G61" s="70">
        <f t="shared" si="11"/>
        <v>97337.260000000009</v>
      </c>
      <c r="H61" s="69">
        <f t="shared" si="11"/>
        <v>3063827</v>
      </c>
      <c r="I61" s="70">
        <f t="shared" si="11"/>
        <v>97337.260000000009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STG_VAR!D64+ONT_VAR!D64+'CE-VAR'!D64+'NE-VAR'!D64+'SE-EGM-VAR'!D64+'SE-LRC-VAR'!D64+'TX-EGM-VAR'!D64+'TX-HPL-VAR '!D64+'WE-VAR'!D64+BGC_VAR!D64</f>
        <v>0</v>
      </c>
      <c r="E64" s="65">
        <f>STG_VAR!E64+ONT_VAR!E64+'CE-VAR'!E64+'NE-VAR'!E64+'SE-EGM-VAR'!E64+'SE-LRC-VAR'!E64+'TX-EGM-VAR'!E64+'TX-HPL-VAR '!E64+'WE-VAR'!E64+BGC_VAR!E64</f>
        <v>163760.72419047618</v>
      </c>
      <c r="F64" s="65">
        <f>STG_VAR!F64+ONT_VAR!F64+'CE-VAR'!F64+'NE-VAR'!F64+'SE-EGM-VAR'!F64+'SE-LRC-VAR'!F64+'TX-EGM-VAR'!F64+'TX-HPL-VAR '!F64+'WE-VAR'!F64+BGC_VAR!F64</f>
        <v>-81244380</v>
      </c>
      <c r="G64" s="65">
        <f>STG_VAR!G64+ONT_VAR!G64+'CE-VAR'!G64+'NE-VAR'!G64+'SE-EGM-VAR'!G64+'SE-LRC-VAR'!G64+'TX-EGM-VAR'!G64+'TX-HPL-VAR '!G64+'WE-VAR'!G64+BGC_VAR!G64</f>
        <v>-3213778.7099999995</v>
      </c>
      <c r="H64" s="60">
        <f>F64-D64</f>
        <v>-81244380</v>
      </c>
      <c r="I64" s="38">
        <f>G64-E64</f>
        <v>-3377539.4341904758</v>
      </c>
    </row>
    <row r="65" spans="1:9" x14ac:dyDescent="0.2">
      <c r="A65" s="9">
        <v>29</v>
      </c>
      <c r="B65" s="11"/>
      <c r="C65" s="18" t="s">
        <v>67</v>
      </c>
      <c r="D65" s="65">
        <f>STG_VAR!D65+ONT_VAR!D65+'CE-VAR'!D65+'NE-VAR'!D65+'SE-EGM-VAR'!D65+'SE-LRC-VAR'!D65+'TX-EGM-VAR'!D65+'TX-HPL-VAR '!D65+'WE-VAR'!D65+BGC_VAR!D65</f>
        <v>0</v>
      </c>
      <c r="E65" s="65">
        <f>STG_VAR!E65+ONT_VAR!E65+'CE-VAR'!E65+'NE-VAR'!E65+'SE-EGM-VAR'!E65+'SE-LRC-VAR'!E65+'TX-EGM-VAR'!E65+'TX-HPL-VAR '!E65+'WE-VAR'!E65+BGC_VAR!E65</f>
        <v>0</v>
      </c>
      <c r="F65" s="65">
        <f>STG_VAR!F65+ONT_VAR!F65+'CE-VAR'!F65+'NE-VAR'!F65+'SE-EGM-VAR'!F65+'SE-LRC-VAR'!F65+'TX-EGM-VAR'!F65+'TX-HPL-VAR '!F65+'WE-VAR'!F65+BGC_VAR!F65</f>
        <v>20411330</v>
      </c>
      <c r="G65" s="65">
        <f>STG_VAR!G65+ONT_VAR!G65+'CE-VAR'!G65+'NE-VAR'!G65+'SE-EGM-VAR'!G65+'SE-LRC-VAR'!G65+'TX-EGM-VAR'!G65+'TX-HPL-VAR '!G65+'WE-VAR'!G65+BGC_VAR!G65</f>
        <v>3480277.28</v>
      </c>
      <c r="H65" s="60">
        <f>F65-D65</f>
        <v>20411330</v>
      </c>
      <c r="I65" s="38">
        <f>G65-E65</f>
        <v>3480277.28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163760.72419047618</v>
      </c>
      <c r="F66" s="61">
        <f t="shared" si="12"/>
        <v>-60833050</v>
      </c>
      <c r="G66" s="39">
        <f t="shared" si="12"/>
        <v>266498.5700000003</v>
      </c>
      <c r="H66" s="61">
        <f t="shared" si="12"/>
        <v>-60833050</v>
      </c>
      <c r="I66" s="39">
        <f t="shared" si="12"/>
        <v>102737.84580952395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STG_VAR!D70+ONT_VAR!D70+'CE-VAR'!D70+'NE-VAR'!D70+'SE-EGM-VAR'!D70+'SE-LRC-VAR'!D70+'TX-EGM-VAR'!D70+'TX-HPL-VAR '!D70+'WE-VAR'!D70+BGC_VAR!D70</f>
        <v>0</v>
      </c>
      <c r="E70" s="65">
        <f>STG_VAR!E70+ONT_VAR!E70+'CE-VAR'!E70+'NE-VAR'!E70+'SE-EGM-VAR'!E70+'SE-LRC-VAR'!E70+'TX-EGM-VAR'!E70+'TX-HPL-VAR '!E70+'WE-VAR'!E70+BGC_VAR!E70</f>
        <v>914854.82330079889</v>
      </c>
      <c r="F70" s="65">
        <f>STG_VAR!F70+ONT_VAR!F70+'CE-VAR'!F70+'NE-VAR'!F70+'SE-EGM-VAR'!F70+'SE-LRC-VAR'!F70+'TX-EGM-VAR'!F70+'TX-HPL-VAR '!F70+'WE-VAR'!F70+BGC_VAR!F70</f>
        <v>0</v>
      </c>
      <c r="G70" s="65">
        <f>STG_VAR!G70+ONT_VAR!G70+'CE-VAR'!G70+'NE-VAR'!G70+'SE-EGM-VAR'!G70+'SE-LRC-VAR'!G70+'TX-EGM-VAR'!G70+'TX-HPL-VAR '!G70+'WE-VAR'!G70+BGC_VAR!G70</f>
        <v>-6099430.0899999999</v>
      </c>
      <c r="H70" s="60">
        <f>F70-D70</f>
        <v>0</v>
      </c>
      <c r="I70" s="38">
        <f>G70-E70</f>
        <v>-7014284.9133007992</v>
      </c>
    </row>
    <row r="71" spans="1:9" x14ac:dyDescent="0.2">
      <c r="A71" s="9">
        <v>31</v>
      </c>
      <c r="B71" s="3"/>
      <c r="C71" s="10" t="s">
        <v>72</v>
      </c>
      <c r="D71" s="65">
        <f>STG_VAR!D71+ONT_VAR!D71+'CE-VAR'!D71+'NE-VAR'!D71+'SE-EGM-VAR'!D71+'SE-LRC-VAR'!D71+'TX-EGM-VAR'!D71+'TX-HPL-VAR '!D71+'WE-VAR'!D71+BGC_VAR!D71</f>
        <v>0</v>
      </c>
      <c r="E71" s="65">
        <f>STG_VAR!E71+ONT_VAR!E71+'CE-VAR'!E71+'NE-VAR'!E71+'SE-EGM-VAR'!E71+'SE-LRC-VAR'!E71+'TX-EGM-VAR'!E71+'TX-HPL-VAR '!E71+'WE-VAR'!E71+BGC_VAR!E71</f>
        <v>3867513</v>
      </c>
      <c r="F71" s="65">
        <f>STG_VAR!F71+ONT_VAR!F71+'CE-VAR'!F71+'NE-VAR'!F71+'SE-EGM-VAR'!F71+'SE-LRC-VAR'!F71+'TX-EGM-VAR'!F71+'TX-HPL-VAR '!F71+'WE-VAR'!F71+BGC_VAR!F71</f>
        <v>0</v>
      </c>
      <c r="G71" s="65">
        <f>STG_VAR!G71+ONT_VAR!G71+'CE-VAR'!G71+'NE-VAR'!G71+'SE-EGM-VAR'!G71+'SE-LRC-VAR'!G71+'TX-EGM-VAR'!G71+'TX-HPL-VAR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-3867513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4782367.8233007994</v>
      </c>
      <c r="F72" s="69">
        <f t="shared" si="13"/>
        <v>0</v>
      </c>
      <c r="G72" s="70">
        <f t="shared" si="13"/>
        <v>-6099430.0899999999</v>
      </c>
      <c r="H72" s="69">
        <f t="shared" si="13"/>
        <v>0</v>
      </c>
      <c r="I72" s="70">
        <f t="shared" si="13"/>
        <v>-10881797.913300799</v>
      </c>
    </row>
    <row r="73" spans="1:9" x14ac:dyDescent="0.2">
      <c r="A73" s="9">
        <v>32</v>
      </c>
      <c r="B73" s="3"/>
      <c r="C73" s="10" t="s">
        <v>74</v>
      </c>
      <c r="D73" s="65">
        <f>STG_VAR!D73+ONT_VAR!D73+'CE-VAR'!D73+'NE-VAR'!D73+'SE-EGM-VAR'!D73+'SE-LRC-VAR'!D73+'TX-EGM-VAR'!D73+'TX-HPL-VAR '!D73+'WE-VAR'!D73+BGC_VAR!D73</f>
        <v>0</v>
      </c>
      <c r="E73" s="65">
        <f>STG_VAR!E73+ONT_VAR!E73+'CE-VAR'!E73+'NE-VAR'!E73+'SE-EGM-VAR'!E73+'SE-LRC-VAR'!E73+'TX-EGM-VAR'!E73+'TX-HPL-VAR '!E73+'WE-VAR'!E73+BGC_VAR!E73</f>
        <v>0</v>
      </c>
      <c r="F73" s="65">
        <f>STG_VAR!F73+ONT_VAR!F73+'CE-VAR'!F73+'NE-VAR'!F73+'SE-EGM-VAR'!F73+'SE-LRC-VAR'!F73+'TX-EGM-VAR'!F73+'TX-HPL-VAR '!F73+'WE-VAR'!F73+BGC_VAR!F73</f>
        <v>0</v>
      </c>
      <c r="G73" s="65">
        <f>STG_VAR!G73+ONT_VAR!G73+'CE-VAR'!G73+'NE-VAR'!G73+'SE-EGM-VAR'!G73+'SE-LRC-VAR'!G73+'TX-EGM-VAR'!G73+'TX-HPL-VAR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STG_VAR!D74+ONT_VAR!D74+'CE-VAR'!D74+'NE-VAR'!D74+'SE-EGM-VAR'!D74+'SE-LRC-VAR'!D74+'TX-EGM-VAR'!D74+'TX-HPL-VAR '!D74+'WE-VAR'!D74+BGC_VAR!D74</f>
        <v>0</v>
      </c>
      <c r="E74" s="65">
        <f>STG_VAR!E74+ONT_VAR!E74+'CE-VAR'!E74+'NE-VAR'!E74+'SE-EGM-VAR'!E74+'SE-LRC-VAR'!E74+'TX-EGM-VAR'!E74+'TX-HPL-VAR '!E74+'WE-VAR'!E74+BGC_VAR!E74</f>
        <v>-15126777.10882353</v>
      </c>
      <c r="F74" s="65">
        <f>STG_VAR!F74+ONT_VAR!F74+'CE-VAR'!F74+'NE-VAR'!F74+'SE-EGM-VAR'!F74+'SE-LRC-VAR'!F74+'TX-EGM-VAR'!F74+'TX-HPL-VAR '!F74+'WE-VAR'!F74+BGC_VAR!F74</f>
        <v>0</v>
      </c>
      <c r="G74" s="65">
        <f>STG_VAR!G74+ONT_VAR!G74+'CE-VAR'!G74+'NE-VAR'!G74+'SE-EGM-VAR'!G74+'SE-LRC-VAR'!G74+'TX-EGM-VAR'!G74+'TX-HPL-VAR '!G74+'WE-VAR'!G74+BGC_VAR!G74</f>
        <v>1296763</v>
      </c>
      <c r="H74" s="60">
        <f t="shared" ref="H74:I79" si="14">F74-D74</f>
        <v>0</v>
      </c>
      <c r="I74" s="38">
        <f t="shared" si="14"/>
        <v>16423540.10882353</v>
      </c>
    </row>
    <row r="75" spans="1:9" x14ac:dyDescent="0.2">
      <c r="A75" s="9">
        <v>34</v>
      </c>
      <c r="B75" s="3"/>
      <c r="C75" s="10" t="s">
        <v>76</v>
      </c>
      <c r="D75" s="65">
        <f>STG_VAR!D75+ONT_VAR!D75+'CE-VAR'!D75+'NE-VAR'!D75+'SE-EGM-VAR'!D75+'SE-LRC-VAR'!D75+'TX-EGM-VAR'!D75+'TX-HPL-VAR '!D75+'WE-VAR'!D75+BGC_VAR!D75</f>
        <v>0</v>
      </c>
      <c r="E75" s="65">
        <f>STG_VAR!E75+ONT_VAR!E75+'CE-VAR'!E75+'NE-VAR'!E75+'SE-EGM-VAR'!E75+'SE-LRC-VAR'!E75+'TX-EGM-VAR'!E75+'TX-HPL-VAR '!E75+'WE-VAR'!E75+BGC_VAR!E75</f>
        <v>2222949</v>
      </c>
      <c r="F75" s="65">
        <f>STG_VAR!F75+ONT_VAR!F75+'CE-VAR'!F75+'NE-VAR'!F75+'SE-EGM-VAR'!F75+'SE-LRC-VAR'!F75+'TX-EGM-VAR'!F75+'TX-HPL-VAR '!F75+'WE-VAR'!F75+BGC_VAR!F75</f>
        <v>0</v>
      </c>
      <c r="G75" s="65">
        <f>STG_VAR!G75+ONT_VAR!G75+'CE-VAR'!G75+'NE-VAR'!G75+'SE-EGM-VAR'!G75+'SE-LRC-VAR'!G75+'TX-EGM-VAR'!G75+'TX-HPL-VAR '!G75+'WE-VAR'!G75+BGC_VAR!G75</f>
        <v>2223200</v>
      </c>
      <c r="H75" s="60">
        <f t="shared" si="14"/>
        <v>0</v>
      </c>
      <c r="I75" s="38">
        <f t="shared" si="14"/>
        <v>251</v>
      </c>
    </row>
    <row r="76" spans="1:9" x14ac:dyDescent="0.2">
      <c r="A76" s="9">
        <v>35</v>
      </c>
      <c r="B76" s="3"/>
      <c r="C76" s="10" t="s">
        <v>77</v>
      </c>
      <c r="D76" s="65">
        <f>STG_VAR!D76+ONT_VAR!D76+'CE-VAR'!D76+'NE-VAR'!D76+'SE-EGM-VAR'!D76+'SE-LRC-VAR'!D76+'TX-EGM-VAR'!D76+'TX-HPL-VAR '!D76+'WE-VAR'!D76+BGC_VAR!D76</f>
        <v>0</v>
      </c>
      <c r="E76" s="65">
        <f>STG_VAR!E76+ONT_VAR!E76+'CE-VAR'!E76+'NE-VAR'!E76+'SE-EGM-VAR'!E76+'SE-LRC-VAR'!E76+'TX-EGM-VAR'!E76+'TX-HPL-VAR '!E76+'WE-VAR'!E76+BGC_VAR!E76</f>
        <v>-66247</v>
      </c>
      <c r="F76" s="65">
        <f>STG_VAR!F76+ONT_VAR!F76+'CE-VAR'!F76+'NE-VAR'!F76+'SE-EGM-VAR'!F76+'SE-LRC-VAR'!F76+'TX-EGM-VAR'!F76+'TX-HPL-VAR '!F76+'WE-VAR'!F76+BGC_VAR!F76</f>
        <v>0</v>
      </c>
      <c r="G76" s="65">
        <f>STG_VAR!G76+ONT_VAR!G76+'CE-VAR'!G76+'NE-VAR'!G76+'SE-EGM-VAR'!G76+'SE-LRC-VAR'!G76+'TX-EGM-VAR'!G76+'TX-HPL-VAR '!G76+'WE-VAR'!G76+BGC_VAR!G76</f>
        <v>-245173.29</v>
      </c>
      <c r="H76" s="60">
        <f t="shared" si="14"/>
        <v>0</v>
      </c>
      <c r="I76" s="38">
        <f t="shared" si="14"/>
        <v>-178926.29</v>
      </c>
    </row>
    <row r="77" spans="1:9" x14ac:dyDescent="0.2">
      <c r="A77" s="9">
        <v>36</v>
      </c>
      <c r="B77" s="3"/>
      <c r="C77" s="10" t="s">
        <v>78</v>
      </c>
      <c r="D77" s="65">
        <f>STG_VAR!D77+ONT_VAR!D77+'CE-VAR'!D77+'NE-VAR'!D77+'SE-EGM-VAR'!D77+'SE-LRC-VAR'!D77+'TX-EGM-VAR'!D77+'TX-HPL-VAR '!D77+'WE-VAR'!D77+BGC_VAR!D77</f>
        <v>0</v>
      </c>
      <c r="E77" s="65">
        <f>STG_VAR!E77+ONT_VAR!E77+'CE-VAR'!E77+'NE-VAR'!E77+'SE-EGM-VAR'!E77+'SE-LRC-VAR'!E77+'TX-EGM-VAR'!E77+'TX-HPL-VAR '!E77+'WE-VAR'!E77+BGC_VAR!E77</f>
        <v>-1301726</v>
      </c>
      <c r="F77" s="65">
        <f>STG_VAR!F77+ONT_VAR!F77+'CE-VAR'!F77+'NE-VAR'!F77+'SE-EGM-VAR'!F77+'SE-LRC-VAR'!F77+'TX-EGM-VAR'!F77+'TX-HPL-VAR '!F77+'WE-VAR'!F77+BGC_VAR!F77</f>
        <v>0</v>
      </c>
      <c r="G77" s="65">
        <f>STG_VAR!G77+ONT_VAR!G77+'CE-VAR'!G77+'NE-VAR'!G77+'SE-EGM-VAR'!G77+'SE-LRC-VAR'!G77+'TX-EGM-VAR'!G77+'TX-HPL-VAR '!G77+'WE-VAR'!G77+BGC_VAR!G77</f>
        <v>-4320392</v>
      </c>
      <c r="H77" s="60">
        <f t="shared" si="14"/>
        <v>0</v>
      </c>
      <c r="I77" s="38">
        <f t="shared" si="14"/>
        <v>-3018666</v>
      </c>
    </row>
    <row r="78" spans="1:9" x14ac:dyDescent="0.2">
      <c r="A78" s="9">
        <v>37</v>
      </c>
      <c r="B78" s="3"/>
      <c r="C78" s="10" t="s">
        <v>79</v>
      </c>
      <c r="D78" s="65">
        <f>STG_VAR!D78+ONT_VAR!D78+'CE-VAR'!D78+'NE-VAR'!D78+'SE-EGM-VAR'!D78+'SE-LRC-VAR'!D78+'TX-EGM-VAR'!D78+'TX-HPL-VAR '!D78+'WE-VAR'!D78+BGC_VAR!D78</f>
        <v>0</v>
      </c>
      <c r="E78" s="65">
        <f>STG_VAR!E78+ONT_VAR!E78+'CE-VAR'!E78+'NE-VAR'!E78+'SE-EGM-VAR'!E78+'SE-LRC-VAR'!E78+'TX-EGM-VAR'!E78+'TX-HPL-VAR '!E78+'WE-VAR'!E78+BGC_VAR!E78</f>
        <v>25066.445</v>
      </c>
      <c r="F78" s="65">
        <f>STG_VAR!F78+ONT_VAR!F78+'CE-VAR'!F78+'NE-VAR'!F78+'SE-EGM-VAR'!F78+'SE-LRC-VAR'!F78+'TX-EGM-VAR'!F78+'TX-HPL-VAR '!F78+'WE-VAR'!F78+BGC_VAR!F78</f>
        <v>0</v>
      </c>
      <c r="G78" s="65">
        <f>STG_VAR!G78+ONT_VAR!G78+'CE-VAR'!G78+'NE-VAR'!G78+'SE-EGM-VAR'!G78+'SE-LRC-VAR'!G78+'TX-EGM-VAR'!G78+'TX-HPL-VAR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-25066.445</v>
      </c>
    </row>
    <row r="79" spans="1:9" x14ac:dyDescent="0.2">
      <c r="A79" s="9">
        <v>38</v>
      </c>
      <c r="B79" s="3"/>
      <c r="C79" s="10" t="s">
        <v>80</v>
      </c>
      <c r="D79" s="65">
        <f>STG_VAR!D79+ONT_VAR!D79+'CE-VAR'!D79+'NE-VAR'!D79+'SE-EGM-VAR'!D79+'SE-LRC-VAR'!D79+'TX-EGM-VAR'!D79+'TX-HPL-VAR '!D79+'WE-VAR'!D79+BGC_VAR!D79</f>
        <v>0</v>
      </c>
      <c r="E79" s="65">
        <f>STG_VAR!E79+ONT_VAR!E79+'CE-VAR'!E79+'NE-VAR'!E79+'SE-EGM-VAR'!E79+'SE-LRC-VAR'!E79+'TX-EGM-VAR'!E79+'TX-HPL-VAR '!E79+'WE-VAR'!E79+BGC_VAR!E79</f>
        <v>14378101</v>
      </c>
      <c r="F79" s="65">
        <f>STG_VAR!F79+ONT_VAR!F79+'CE-VAR'!F79+'NE-VAR'!F79+'SE-EGM-VAR'!F79+'SE-LRC-VAR'!F79+'TX-EGM-VAR'!F79+'TX-HPL-VAR '!F79+'WE-VAR'!F79+BGC_VAR!F79</f>
        <v>0</v>
      </c>
      <c r="G79" s="65">
        <f>STG_VAR!G79+ONT_VAR!G79+'CE-VAR'!G79+'NE-VAR'!G79+'SE-EGM-VAR'!G79+'SE-LRC-VAR'!G79+'TX-EGM-VAR'!G79+'TX-HPL-VAR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-14378101</v>
      </c>
    </row>
    <row r="80" spans="1:9" x14ac:dyDescent="0.2">
      <c r="A80" s="9">
        <v>39</v>
      </c>
      <c r="B80" s="3"/>
      <c r="C80" s="10" t="s">
        <v>81</v>
      </c>
      <c r="D80" s="65">
        <f>STG_VAR!D80+ONT_VAR!D80+'CE-VAR'!D80+'NE-VAR'!D80+'SE-EGM-VAR'!D80+'SE-LRC-VAR'!D80+'TX-EGM-VAR'!D80+'TX-HPL-VAR '!D80+'WE-VAR'!D80+BGC_VAR!D80</f>
        <v>0</v>
      </c>
      <c r="E80" s="65">
        <f>STG_VAR!E80+ONT_VAR!E80+'CE-VAR'!E80+'NE-VAR'!E80+'SE-EGM-VAR'!E80+'SE-LRC-VAR'!E80+'TX-EGM-VAR'!E80+'TX-HPL-VAR '!E80+'WE-VAR'!E80+BGC_VAR!E80</f>
        <v>109984.08</v>
      </c>
      <c r="F80" s="65">
        <f>STG_VAR!F80+ONT_VAR!F80+'CE-VAR'!F80+'NE-VAR'!F80+'SE-EGM-VAR'!F80+'SE-LRC-VAR'!F80+'TX-EGM-VAR'!F80+'TX-HPL-VAR '!F80+'WE-VAR'!F80+BGC_VAR!F80</f>
        <v>0</v>
      </c>
      <c r="G80" s="65">
        <f>STG_VAR!G80+ONT_VAR!G80+'CE-VAR'!G80+'NE-VAR'!G80+'SE-EGM-VAR'!G80+'SE-LRC-VAR'!G80+'TX-EGM-VAR'!G80+'TX-HPL-VAR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-109984.08</v>
      </c>
    </row>
    <row r="81" spans="1:9" x14ac:dyDescent="0.2">
      <c r="A81" s="9">
        <v>40</v>
      </c>
      <c r="B81" s="3"/>
      <c r="C81" s="10" t="s">
        <v>82</v>
      </c>
      <c r="D81" s="65">
        <f>STG_VAR!D81+ONT_VAR!D81+'CE-VAR'!D81+'NE-VAR'!D81+'SE-EGM-VAR'!D81+'SE-LRC-VAR'!D81+'TX-EGM-VAR'!D81+'TX-HPL-VAR '!D81+'WE-VAR'!D81+BGC_VAR!D81</f>
        <v>0</v>
      </c>
      <c r="E81" s="65">
        <f>STG_VAR!E81+ONT_VAR!E81+'CE-VAR'!E81+'NE-VAR'!E81+'SE-EGM-VAR'!E81+'SE-LRC-VAR'!E81+'TX-EGM-VAR'!E81+'TX-HPL-VAR '!E81+'WE-VAR'!E81+BGC_VAR!E81</f>
        <v>4049295</v>
      </c>
      <c r="F81" s="65">
        <f>STG_VAR!F81+ONT_VAR!F81+'CE-VAR'!F81+'NE-VAR'!F81+'SE-EGM-VAR'!F81+'SE-LRC-VAR'!F81+'TX-EGM-VAR'!F81+'TX-HPL-VAR '!F81+'WE-VAR'!F81+BGC_VAR!F81</f>
        <v>0</v>
      </c>
      <c r="G81" s="65">
        <f>STG_VAR!G81+ONT_VAR!G81+'CE-VAR'!G81+'NE-VAR'!G81+'SE-EGM-VAR'!G81+'SE-LRC-VAR'!G81+'TX-EGM-VAR'!G81+'TX-HPL-VAR '!G81+'WE-VAR'!G81+BGC_VAR!G81</f>
        <v>1080586.02</v>
      </c>
      <c r="H81" s="60">
        <f>F81-D81</f>
        <v>0</v>
      </c>
      <c r="I81" s="38">
        <f>G81-E81</f>
        <v>-2968708.98</v>
      </c>
    </row>
    <row r="82" spans="1:9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381408</v>
      </c>
      <c r="E82" s="93">
        <f>SUM(E72:E81)+E16+E24+E29+E36+E43+E45+E47+E49+E51+E56+E61+E66</f>
        <v>-3994949.8181001926</v>
      </c>
      <c r="F82" s="92">
        <f>F16+F24+F29+F36+F43+F45+F47+F49</f>
        <v>0</v>
      </c>
      <c r="G82" s="93">
        <f>SUM(G72:G81)+G16+G24+G29+G36+G43+G45+G47+G49+G51+G56+G61+G66</f>
        <v>-6727031.5213998817</v>
      </c>
      <c r="H82" s="92">
        <f>H16+H24+H29+H36+H43+H45+H47+H49</f>
        <v>-381408</v>
      </c>
      <c r="I82" s="93">
        <f>SUM(I72:I81)+I16+I24+I29+I36+I43+I45+I47+I49+I51+I56+I61+I66</f>
        <v>-2732081.7032996425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188</v>
      </c>
      <c r="B85" s="3"/>
      <c r="F85" s="31"/>
      <c r="G85" s="31"/>
      <c r="H85" s="31"/>
      <c r="I85" s="31"/>
    </row>
    <row r="86" spans="1:9" x14ac:dyDescent="0.2">
      <c r="A86" s="182"/>
      <c r="B86" s="3"/>
      <c r="C86" s="10" t="s">
        <v>191</v>
      </c>
      <c r="D86" s="183">
        <f>STG_VAR!D86+ONT_VAR!D86+'CE-VAR'!D86+'NE-VAR'!D86+'SE-EGM-VAR'!D86+'SE-LRC-VAR'!D86+'TX-EGM-VAR'!D86+'TX-HPL-VAR '!D86+'WE-VAR'!D86+BGC_VAR!D86</f>
        <v>0</v>
      </c>
      <c r="E86" s="183">
        <f>STG_VAR!E86+ONT_VAR!E86+'CE-VAR'!E86+'NE-VAR'!E86+'SE-EGM-VAR'!E86+'SE-LRC-VAR'!E86+'TX-EGM-VAR'!E86+'TX-HPL-VAR '!E86+'WE-VAR'!E86+BGC_VAR!E86</f>
        <v>11590269</v>
      </c>
      <c r="F86" s="183">
        <f>STG_VAR!F86+ONT_VAR!F86+'CE-VAR'!F86+'NE-VAR'!F86+'SE-EGM-VAR'!F86+'SE-LRC-VAR'!F86+'TX-EGM-VAR'!F86+'TX-HPL-VAR '!F86+'WE-VAR'!F86+BGC_VAR!F86</f>
        <v>0</v>
      </c>
      <c r="G86" s="183">
        <f>STG_VAR!G86+ONT_VAR!G86+'CE-VAR'!G86+'NE-VAR'!G86+'SE-EGM-VAR'!G86+'SE-LRC-VAR'!G86+'TX-EGM-VAR'!G86+'TX-HPL-VAR '!G86+'WE-VAR'!G86+BGC_VAR!G86</f>
        <v>11599698.09</v>
      </c>
      <c r="H86" s="183">
        <f t="shared" ref="H86:I88" si="15">F86-D86</f>
        <v>0</v>
      </c>
      <c r="I86" s="183">
        <f t="shared" si="15"/>
        <v>9429.089999999851</v>
      </c>
    </row>
    <row r="87" spans="1:9" x14ac:dyDescent="0.2">
      <c r="A87" s="182"/>
      <c r="B87" s="3"/>
      <c r="C87" s="10" t="s">
        <v>75</v>
      </c>
      <c r="D87" s="184">
        <f>STG_VAR!D87+ONT_VAR!D87+'CE-VAR'!D87+'NE-VAR'!D87+'SE-EGM-VAR'!D87+'SE-LRC-VAR'!D87+'TX-EGM-VAR'!D87+'TX-HPL-VAR '!D87+'WE-VAR'!D87+BGC_VAR!D87</f>
        <v>0</v>
      </c>
      <c r="E87" s="184">
        <f>STG_VAR!E87+ONT_VAR!E87+'CE-VAR'!E87+'NE-VAR'!E87+'SE-EGM-VAR'!E87+'SE-LRC-VAR'!E87+'TX-EGM-VAR'!E87+'TX-HPL-VAR '!E87+'WE-VAR'!E87+BGC_VAR!E87</f>
        <v>0</v>
      </c>
      <c r="F87" s="184">
        <f>STG_VAR!F87+ONT_VAR!F87+'CE-VAR'!F87+'NE-VAR'!F87+'SE-EGM-VAR'!F87+'SE-LRC-VAR'!F87+'TX-EGM-VAR'!F87+'TX-HPL-VAR '!F87+'WE-VAR'!F87+BGC_VAR!F87</f>
        <v>0</v>
      </c>
      <c r="G87" s="184">
        <f>STG_VAR!G87+ONT_VAR!G87+'CE-VAR'!G87+'NE-VAR'!G87+'SE-EGM-VAR'!G87+'SE-LRC-VAR'!G87+'TX-EGM-VAR'!G87+'TX-HPL-VAR '!G87+'WE-VAR'!G87+BGC_VAR!G87</f>
        <v>0</v>
      </c>
      <c r="H87" s="184">
        <f t="shared" si="15"/>
        <v>0</v>
      </c>
      <c r="I87" s="184">
        <f t="shared" si="15"/>
        <v>0</v>
      </c>
    </row>
    <row r="88" spans="1:9" x14ac:dyDescent="0.2">
      <c r="A88" s="182"/>
      <c r="B88" s="3"/>
      <c r="C88" s="10" t="s">
        <v>76</v>
      </c>
      <c r="D88" s="185">
        <f>STG_VAR!D88+ONT_VAR!D88+'CE-VAR'!D88+'NE-VAR'!D88+'SE-EGM-VAR'!D88+'SE-LRC-VAR'!D88+'TX-EGM-VAR'!D88+'TX-HPL-VAR '!D88+'WE-VAR'!D88+BGC_VAR!D88</f>
        <v>0</v>
      </c>
      <c r="E88" s="185">
        <f>STG_VAR!E88+ONT_VAR!E88+'CE-VAR'!E88+'NE-VAR'!E88+'SE-EGM-VAR'!E88+'SE-LRC-VAR'!E88+'TX-EGM-VAR'!E88+'TX-HPL-VAR '!E88+'WE-VAR'!E88+BGC_VAR!E88</f>
        <v>-11438321</v>
      </c>
      <c r="F88" s="185">
        <f>STG_VAR!F88+ONT_VAR!F88+'CE-VAR'!F88+'NE-VAR'!F88+'SE-EGM-VAR'!F88+'SE-LRC-VAR'!F88+'TX-EGM-VAR'!F88+'TX-HPL-VAR '!F88+'WE-VAR'!F88+BGC_VAR!F88</f>
        <v>0</v>
      </c>
      <c r="G88" s="185">
        <f>STG_VAR!G88+ONT_VAR!G88+'CE-VAR'!G88+'NE-VAR'!G88+'SE-EGM-VAR'!G88+'SE-LRC-VAR'!G88+'TX-EGM-VAR'!G88+'TX-HPL-VAR '!G88+'WE-VAR'!G88+BGC_VAR!G88</f>
        <v>-11447730</v>
      </c>
      <c r="H88" s="185">
        <f t="shared" si="15"/>
        <v>0</v>
      </c>
      <c r="I88" s="185">
        <f t="shared" si="15"/>
        <v>-9409</v>
      </c>
    </row>
    <row r="89" spans="1:9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151948</v>
      </c>
      <c r="F89" s="189">
        <f t="shared" si="16"/>
        <v>0</v>
      </c>
      <c r="G89" s="189">
        <f t="shared" si="16"/>
        <v>151968.08999999985</v>
      </c>
      <c r="H89" s="189">
        <f t="shared" si="16"/>
        <v>0</v>
      </c>
      <c r="I89" s="189">
        <f t="shared" si="16"/>
        <v>20.089999999850988</v>
      </c>
    </row>
    <row r="90" spans="1:9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9" s="149" customFormat="1" x14ac:dyDescent="0.2">
      <c r="A91" s="186"/>
      <c r="B91" s="187"/>
      <c r="C91" s="188" t="s">
        <v>193</v>
      </c>
      <c r="D91" s="189">
        <f t="shared" ref="D91:I91" si="17">+D82+D89</f>
        <v>381408</v>
      </c>
      <c r="E91" s="189">
        <f t="shared" si="17"/>
        <v>-3843001.8181001926</v>
      </c>
      <c r="F91" s="189">
        <f t="shared" si="17"/>
        <v>0</v>
      </c>
      <c r="G91" s="189">
        <f t="shared" si="17"/>
        <v>-6575063.4313998818</v>
      </c>
      <c r="H91" s="189">
        <f t="shared" si="17"/>
        <v>-381408</v>
      </c>
      <c r="I91" s="189">
        <f t="shared" si="17"/>
        <v>-2732061.6132996427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S187"/>
  <sheetViews>
    <sheetView zoomScale="75" workbookViewId="0">
      <pane xSplit="3" ySplit="9" topLeftCell="AJ10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N647" sqref="AN64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0</v>
      </c>
      <c r="E11" s="38">
        <f t="shared" si="0"/>
        <v>132666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>
        <f>111833+20833</f>
        <v>132666</v>
      </c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  <c r="AR11" s="60"/>
      <c r="AS11" s="38"/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-10675</v>
      </c>
      <c r="F12" s="60">
        <f>'TIE-OUT'!T12+RECLASS!T12</f>
        <v>0</v>
      </c>
      <c r="G12" s="38">
        <f>'TIE-OUT'!U12+RECLASS!U12</f>
        <v>-10675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>
        <v>0</v>
      </c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  <c r="AR12" s="60"/>
      <c r="AS12" s="38"/>
    </row>
    <row r="13" spans="1:45" x14ac:dyDescent="0.2">
      <c r="A13" s="9">
        <v>3</v>
      </c>
      <c r="B13" s="7"/>
      <c r="C13" s="18" t="s">
        <v>206</v>
      </c>
      <c r="D13" s="60">
        <f t="shared" si="0"/>
        <v>0</v>
      </c>
      <c r="E13" s="38">
        <f t="shared" si="0"/>
        <v>11749040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>
        <v>11815759</v>
      </c>
      <c r="X13" s="60"/>
      <c r="Y13" s="38"/>
      <c r="Z13" s="60"/>
      <c r="AA13" s="38"/>
      <c r="AB13" s="60"/>
      <c r="AC13" s="38">
        <v>1968</v>
      </c>
      <c r="AD13" s="60"/>
      <c r="AE13" s="38"/>
      <c r="AF13" s="60"/>
      <c r="AG13" s="38">
        <v>-1461848</v>
      </c>
      <c r="AH13" s="60"/>
      <c r="AI13" s="38"/>
      <c r="AJ13" s="60"/>
      <c r="AK13" s="38"/>
      <c r="AL13" s="60"/>
      <c r="AM13" s="38">
        <v>1393161</v>
      </c>
      <c r="AN13" s="60"/>
      <c r="AO13" s="38">
        <v>0</v>
      </c>
      <c r="AP13" s="60"/>
      <c r="AQ13" s="38">
        <v>0</v>
      </c>
      <c r="AR13" s="60"/>
      <c r="AS13" s="38">
        <v>0</v>
      </c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  <c r="AR14" s="60"/>
      <c r="AS14" s="38"/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  <c r="AR15" s="60"/>
      <c r="AS15" s="38"/>
    </row>
    <row r="16" spans="1:45" x14ac:dyDescent="0.2">
      <c r="A16" s="9"/>
      <c r="B16" s="7" t="s">
        <v>34</v>
      </c>
      <c r="C16" s="6"/>
      <c r="D16" s="61">
        <f>SUM(D11:D15)</f>
        <v>0</v>
      </c>
      <c r="E16" s="39">
        <f>SUM(E11:E15)</f>
        <v>11871031</v>
      </c>
      <c r="F16" s="61">
        <f t="shared" ref="F16:AB16" si="1">SUM(F11:F15)</f>
        <v>0</v>
      </c>
      <c r="G16" s="39">
        <f t="shared" si="1"/>
        <v>-10675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132666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C16" si="2">SUM(U11:U15)</f>
        <v>0</v>
      </c>
      <c r="V16" s="61">
        <f t="shared" si="1"/>
        <v>0</v>
      </c>
      <c r="W16" s="39">
        <f t="shared" si="2"/>
        <v>11815759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1968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-1461848</v>
      </c>
      <c r="AH16" s="61">
        <f t="shared" si="3"/>
        <v>0</v>
      </c>
      <c r="AI16" s="39">
        <f t="shared" si="3"/>
        <v>0</v>
      </c>
      <c r="AJ16" s="61">
        <f t="shared" ref="AJ16:AO16" si="4">SUM(AJ11:AJ15)</f>
        <v>0</v>
      </c>
      <c r="AK16" s="39">
        <f t="shared" si="4"/>
        <v>0</v>
      </c>
      <c r="AL16" s="61">
        <f t="shared" si="4"/>
        <v>0</v>
      </c>
      <c r="AM16" s="39">
        <f t="shared" si="4"/>
        <v>1393161</v>
      </c>
      <c r="AN16" s="61">
        <f t="shared" si="4"/>
        <v>0</v>
      </c>
      <c r="AO16" s="39">
        <f t="shared" si="4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SUM(F19,H19,J19,L19,N19,P19,R19,T19,V19,X19,Z19,AB19,AD19,AF19,AH19,AJ19,AL19,AN19,AP19,AR19)</f>
        <v>0</v>
      </c>
      <c r="E19" s="38">
        <f t="shared" si="5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  <c r="AR19" s="60"/>
      <c r="AS19" s="38"/>
    </row>
    <row r="20" spans="1:45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  <c r="AR20" s="60"/>
      <c r="AS20" s="38"/>
    </row>
    <row r="21" spans="1:45" x14ac:dyDescent="0.2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  <c r="AR21" s="60"/>
      <c r="AS21" s="38"/>
    </row>
    <row r="22" spans="1:45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  <c r="AR22" s="60"/>
      <c r="AS22" s="38"/>
    </row>
    <row r="23" spans="1:45" x14ac:dyDescent="0.2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  <c r="AR23" s="60"/>
      <c r="AS23" s="38"/>
    </row>
    <row r="24" spans="1:45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B24" si="6">SUM(F19:F23)</f>
        <v>0</v>
      </c>
      <c r="G24" s="39">
        <f t="shared" si="6"/>
        <v>0</v>
      </c>
      <c r="H24" s="61">
        <f t="shared" si="6"/>
        <v>0</v>
      </c>
      <c r="I24" s="39">
        <f t="shared" si="6"/>
        <v>0</v>
      </c>
      <c r="J24" s="61">
        <f t="shared" si="6"/>
        <v>0</v>
      </c>
      <c r="K24" s="154">
        <f t="shared" si="6"/>
        <v>0</v>
      </c>
      <c r="L24" s="61">
        <f t="shared" si="6"/>
        <v>0</v>
      </c>
      <c r="M24" s="39">
        <f t="shared" si="6"/>
        <v>0</v>
      </c>
      <c r="N24" s="61">
        <f t="shared" si="6"/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ref="U24:AC24" si="7">SUM(U19:U23)</f>
        <v>0</v>
      </c>
      <c r="V24" s="61">
        <f t="shared" si="6"/>
        <v>0</v>
      </c>
      <c r="W24" s="39">
        <f t="shared" si="7"/>
        <v>0</v>
      </c>
      <c r="X24" s="61">
        <f t="shared" si="6"/>
        <v>0</v>
      </c>
      <c r="Y24" s="39">
        <f t="shared" si="7"/>
        <v>0</v>
      </c>
      <c r="Z24" s="61">
        <f t="shared" si="6"/>
        <v>0</v>
      </c>
      <c r="AA24" s="39">
        <f t="shared" si="7"/>
        <v>0</v>
      </c>
      <c r="AB24" s="61">
        <f t="shared" si="6"/>
        <v>0</v>
      </c>
      <c r="AC24" s="39">
        <f t="shared" si="7"/>
        <v>0</v>
      </c>
      <c r="AD24" s="61">
        <f t="shared" ref="AD24:AI24" si="8">SUM(AD19:AD23)</f>
        <v>0</v>
      </c>
      <c r="AE24" s="39">
        <f t="shared" si="8"/>
        <v>0</v>
      </c>
      <c r="AF24" s="61">
        <f t="shared" si="8"/>
        <v>0</v>
      </c>
      <c r="AG24" s="39">
        <f t="shared" si="8"/>
        <v>0</v>
      </c>
      <c r="AH24" s="61">
        <f t="shared" si="8"/>
        <v>0</v>
      </c>
      <c r="AI24" s="39">
        <f t="shared" si="8"/>
        <v>0</v>
      </c>
      <c r="AJ24" s="61">
        <f t="shared" ref="AJ24:AO24" si="9">SUM(AJ19:AJ23)</f>
        <v>0</v>
      </c>
      <c r="AK24" s="39">
        <f t="shared" si="9"/>
        <v>0</v>
      </c>
      <c r="AL24" s="61">
        <f t="shared" si="9"/>
        <v>0</v>
      </c>
      <c r="AM24" s="39">
        <f t="shared" si="9"/>
        <v>0</v>
      </c>
      <c r="AN24" s="61">
        <f t="shared" si="9"/>
        <v>0</v>
      </c>
      <c r="AO24" s="39">
        <f t="shared" si="9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0</v>
      </c>
      <c r="E27" s="38">
        <f>SUM(G27,I27,K27,M27,O27,Q27,S27,U27,W27,Y27,AA27,AC27,AE27,AG27,AI27,AK27,AM27,AO27,AQ27,AS27)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  <c r="AR27" s="60"/>
      <c r="AS27" s="38"/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0</v>
      </c>
      <c r="E28" s="38">
        <f>SUM(G28,I28,K28,M28,O28,Q28,S28,U28,W28,Y28,AA28,AC28,AE28,AG28,AI28,AK28,AM28,AO28,AQ28,AS28)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  <c r="AR28" s="60"/>
      <c r="AS28" s="38"/>
    </row>
    <row r="29" spans="1:45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B29" si="10">SUM(F27:F28)</f>
        <v>0</v>
      </c>
      <c r="G29" s="39">
        <f t="shared" si="10"/>
        <v>0</v>
      </c>
      <c r="H29" s="61">
        <f t="shared" si="10"/>
        <v>0</v>
      </c>
      <c r="I29" s="39">
        <f t="shared" si="10"/>
        <v>0</v>
      </c>
      <c r="J29" s="61">
        <f t="shared" si="10"/>
        <v>0</v>
      </c>
      <c r="K29" s="154">
        <f t="shared" si="10"/>
        <v>0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ref="U29:AC29" si="11">SUM(U27:U28)</f>
        <v>0</v>
      </c>
      <c r="V29" s="61">
        <f t="shared" si="10"/>
        <v>0</v>
      </c>
      <c r="W29" s="39">
        <f t="shared" si="11"/>
        <v>0</v>
      </c>
      <c r="X29" s="61">
        <f t="shared" si="10"/>
        <v>0</v>
      </c>
      <c r="Y29" s="39">
        <f t="shared" si="11"/>
        <v>0</v>
      </c>
      <c r="Z29" s="61">
        <f t="shared" si="10"/>
        <v>0</v>
      </c>
      <c r="AA29" s="39">
        <f t="shared" si="11"/>
        <v>0</v>
      </c>
      <c r="AB29" s="61">
        <f t="shared" si="10"/>
        <v>0</v>
      </c>
      <c r="AC29" s="39">
        <f t="shared" si="11"/>
        <v>0</v>
      </c>
      <c r="AD29" s="61">
        <f t="shared" ref="AD29:AI29" si="12">SUM(AD27:AD28)</f>
        <v>0</v>
      </c>
      <c r="AE29" s="39">
        <f t="shared" si="12"/>
        <v>0</v>
      </c>
      <c r="AF29" s="61">
        <f t="shared" si="12"/>
        <v>0</v>
      </c>
      <c r="AG29" s="39">
        <f t="shared" si="12"/>
        <v>0</v>
      </c>
      <c r="AH29" s="61">
        <f t="shared" si="12"/>
        <v>0</v>
      </c>
      <c r="AI29" s="39">
        <f t="shared" si="12"/>
        <v>0</v>
      </c>
      <c r="AJ29" s="61">
        <f t="shared" ref="AJ29:AO29" si="13">SUM(AJ27:AJ28)</f>
        <v>0</v>
      </c>
      <c r="AK29" s="39">
        <f t="shared" si="13"/>
        <v>0</v>
      </c>
      <c r="AL29" s="61">
        <f t="shared" si="13"/>
        <v>0</v>
      </c>
      <c r="AM29" s="39">
        <f t="shared" si="13"/>
        <v>0</v>
      </c>
      <c r="AN29" s="61">
        <f t="shared" si="13"/>
        <v>0</v>
      </c>
      <c r="AO29" s="39">
        <f t="shared" si="13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SUM(F32,H32,J32,L32,N32,P32,R32,T32,V32,X32,Z32,AB32,AD32,AF32,AH32,AJ32,AL32,AN32,AP32,AR32)</f>
        <v>0</v>
      </c>
      <c r="E32" s="38">
        <f t="shared" si="14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  <c r="AR32" s="60"/>
      <c r="AS32" s="38"/>
    </row>
    <row r="33" spans="1:45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  <c r="AR33" s="60"/>
      <c r="AS33" s="38"/>
    </row>
    <row r="34" spans="1:45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  <c r="AR34" s="60"/>
      <c r="AS34" s="38"/>
    </row>
    <row r="35" spans="1:45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  <c r="AR35" s="60"/>
      <c r="AS35" s="38"/>
    </row>
    <row r="36" spans="1:4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B36" si="15">SUM(F32:F35)</f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0</v>
      </c>
      <c r="K36" s="154">
        <f t="shared" si="15"/>
        <v>0</v>
      </c>
      <c r="L36" s="61">
        <f t="shared" si="15"/>
        <v>0</v>
      </c>
      <c r="M36" s="39">
        <f t="shared" si="15"/>
        <v>0</v>
      </c>
      <c r="N36" s="61">
        <f t="shared" si="15"/>
        <v>0</v>
      </c>
      <c r="O36" s="39">
        <f t="shared" si="15"/>
        <v>0</v>
      </c>
      <c r="P36" s="61">
        <f t="shared" si="15"/>
        <v>0</v>
      </c>
      <c r="Q36" s="39">
        <f t="shared" si="15"/>
        <v>0</v>
      </c>
      <c r="R36" s="61">
        <f t="shared" si="15"/>
        <v>0</v>
      </c>
      <c r="S36" s="39">
        <f t="shared" si="15"/>
        <v>0</v>
      </c>
      <c r="T36" s="61">
        <f t="shared" si="15"/>
        <v>0</v>
      </c>
      <c r="U36" s="39">
        <f t="shared" ref="U36:AC36" si="16">SUM(U32:U35)</f>
        <v>0</v>
      </c>
      <c r="V36" s="61">
        <f t="shared" si="15"/>
        <v>0</v>
      </c>
      <c r="W36" s="39">
        <f t="shared" si="16"/>
        <v>0</v>
      </c>
      <c r="X36" s="61">
        <f t="shared" si="15"/>
        <v>0</v>
      </c>
      <c r="Y36" s="39">
        <f t="shared" si="16"/>
        <v>0</v>
      </c>
      <c r="Z36" s="61">
        <f t="shared" si="15"/>
        <v>0</v>
      </c>
      <c r="AA36" s="39">
        <f t="shared" si="16"/>
        <v>0</v>
      </c>
      <c r="AB36" s="61">
        <f t="shared" si="15"/>
        <v>0</v>
      </c>
      <c r="AC36" s="39">
        <f t="shared" si="16"/>
        <v>0</v>
      </c>
      <c r="AD36" s="61">
        <f t="shared" ref="AD36:AI36" si="17">SUM(AD32:AD35)</f>
        <v>0</v>
      </c>
      <c r="AE36" s="39">
        <f t="shared" si="17"/>
        <v>0</v>
      </c>
      <c r="AF36" s="61">
        <f t="shared" si="17"/>
        <v>0</v>
      </c>
      <c r="AG36" s="39">
        <f t="shared" si="17"/>
        <v>0</v>
      </c>
      <c r="AH36" s="61">
        <f t="shared" si="17"/>
        <v>0</v>
      </c>
      <c r="AI36" s="39">
        <f t="shared" si="17"/>
        <v>0</v>
      </c>
      <c r="AJ36" s="61">
        <f t="shared" ref="AJ36:AO36" si="18">SUM(AJ32:AJ35)</f>
        <v>0</v>
      </c>
      <c r="AK36" s="39">
        <f t="shared" si="18"/>
        <v>0</v>
      </c>
      <c r="AL36" s="61">
        <f t="shared" si="18"/>
        <v>0</v>
      </c>
      <c r="AM36" s="39">
        <f t="shared" si="18"/>
        <v>0</v>
      </c>
      <c r="AN36" s="61">
        <f t="shared" si="18"/>
        <v>0</v>
      </c>
      <c r="AO36" s="39">
        <f t="shared" si="18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SUM(F39,H39,J39,L39,N39,P39,R39,T39,V39,X39,Z39,AB39,AD39,AF39,AH39,AJ39,AL39,AN39,AP39,AR39)</f>
        <v>0</v>
      </c>
      <c r="E39" s="38">
        <f t="shared" si="19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  <c r="AR39" s="60"/>
      <c r="AS39" s="38"/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9"/>
        <v>0</v>
      </c>
      <c r="E40" s="38">
        <f t="shared" si="19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  <c r="AR40" s="60"/>
      <c r="AS40" s="38"/>
    </row>
    <row r="41" spans="1:45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143510</v>
      </c>
      <c r="F41" s="81">
        <f>'TIE-OUT'!T41+RECLASS!T41</f>
        <v>0</v>
      </c>
      <c r="G41" s="82">
        <f>'TIE-OUT'!U41+RECLASS!U41</f>
        <v>354158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>
        <v>-210648</v>
      </c>
      <c r="AJ41" s="60"/>
      <c r="AK41" s="38"/>
      <c r="AL41" s="60"/>
      <c r="AM41" s="38"/>
      <c r="AN41" s="60"/>
      <c r="AO41" s="38"/>
      <c r="AP41" s="60"/>
      <c r="AQ41" s="38"/>
      <c r="AR41" s="60"/>
      <c r="AS41" s="38"/>
    </row>
    <row r="42" spans="1:45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143510</v>
      </c>
      <c r="F42" s="61">
        <f t="shared" ref="F42:AB42" si="20">SUM(F40:F41)</f>
        <v>0</v>
      </c>
      <c r="G42" s="39">
        <f t="shared" si="20"/>
        <v>354158</v>
      </c>
      <c r="H42" s="61">
        <f t="shared" si="20"/>
        <v>0</v>
      </c>
      <c r="I42" s="39">
        <f t="shared" si="20"/>
        <v>0</v>
      </c>
      <c r="J42" s="61">
        <f t="shared" si="20"/>
        <v>0</v>
      </c>
      <c r="K42" s="154">
        <f t="shared" si="20"/>
        <v>0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ref="U42:AC42" si="21">SUM(U40:U41)</f>
        <v>0</v>
      </c>
      <c r="V42" s="61">
        <f t="shared" si="20"/>
        <v>0</v>
      </c>
      <c r="W42" s="39">
        <f t="shared" si="21"/>
        <v>0</v>
      </c>
      <c r="X42" s="61">
        <f t="shared" si="20"/>
        <v>0</v>
      </c>
      <c r="Y42" s="39">
        <f t="shared" si="21"/>
        <v>0</v>
      </c>
      <c r="Z42" s="61">
        <f t="shared" si="20"/>
        <v>0</v>
      </c>
      <c r="AA42" s="39">
        <f t="shared" si="21"/>
        <v>0</v>
      </c>
      <c r="AB42" s="61">
        <f t="shared" si="20"/>
        <v>0</v>
      </c>
      <c r="AC42" s="39">
        <f t="shared" si="21"/>
        <v>0</v>
      </c>
      <c r="AD42" s="61">
        <f t="shared" ref="AD42:AI42" si="22">SUM(AD40:AD41)</f>
        <v>0</v>
      </c>
      <c r="AE42" s="39">
        <f t="shared" si="22"/>
        <v>0</v>
      </c>
      <c r="AF42" s="61">
        <f t="shared" si="22"/>
        <v>0</v>
      </c>
      <c r="AG42" s="39">
        <f t="shared" si="22"/>
        <v>0</v>
      </c>
      <c r="AH42" s="61">
        <f t="shared" si="22"/>
        <v>0</v>
      </c>
      <c r="AI42" s="39">
        <f t="shared" si="22"/>
        <v>-210648</v>
      </c>
      <c r="AJ42" s="61">
        <f t="shared" ref="AJ42:AO42" si="23">SUM(AJ40:AJ41)</f>
        <v>0</v>
      </c>
      <c r="AK42" s="39">
        <f t="shared" si="23"/>
        <v>0</v>
      </c>
      <c r="AL42" s="61">
        <f t="shared" si="23"/>
        <v>0</v>
      </c>
      <c r="AM42" s="39">
        <f t="shared" si="23"/>
        <v>0</v>
      </c>
      <c r="AN42" s="61">
        <f t="shared" si="23"/>
        <v>0</v>
      </c>
      <c r="AO42" s="39">
        <f t="shared" si="23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143510</v>
      </c>
      <c r="F43" s="61">
        <f t="shared" ref="F43:AB43" si="24">F42+F39</f>
        <v>0</v>
      </c>
      <c r="G43" s="39">
        <f t="shared" si="24"/>
        <v>354158</v>
      </c>
      <c r="H43" s="61">
        <f t="shared" si="24"/>
        <v>0</v>
      </c>
      <c r="I43" s="39">
        <f t="shared" si="24"/>
        <v>0</v>
      </c>
      <c r="J43" s="61">
        <f t="shared" si="24"/>
        <v>0</v>
      </c>
      <c r="K43" s="154">
        <f t="shared" si="24"/>
        <v>0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ref="U43:AC43" si="25">U42+U39</f>
        <v>0</v>
      </c>
      <c r="V43" s="61">
        <f t="shared" si="24"/>
        <v>0</v>
      </c>
      <c r="W43" s="39">
        <f t="shared" si="25"/>
        <v>0</v>
      </c>
      <c r="X43" s="61">
        <f t="shared" si="24"/>
        <v>0</v>
      </c>
      <c r="Y43" s="39">
        <f t="shared" si="25"/>
        <v>0</v>
      </c>
      <c r="Z43" s="61">
        <f t="shared" si="24"/>
        <v>0</v>
      </c>
      <c r="AA43" s="39">
        <f t="shared" si="25"/>
        <v>0</v>
      </c>
      <c r="AB43" s="61">
        <f t="shared" si="24"/>
        <v>0</v>
      </c>
      <c r="AC43" s="39">
        <f t="shared" si="25"/>
        <v>0</v>
      </c>
      <c r="AD43" s="61">
        <f t="shared" ref="AD43:AI43" si="26">AD42+AD39</f>
        <v>0</v>
      </c>
      <c r="AE43" s="39">
        <f t="shared" si="26"/>
        <v>0</v>
      </c>
      <c r="AF43" s="61">
        <f t="shared" si="26"/>
        <v>0</v>
      </c>
      <c r="AG43" s="39">
        <f t="shared" si="26"/>
        <v>0</v>
      </c>
      <c r="AH43" s="61">
        <f t="shared" si="26"/>
        <v>0</v>
      </c>
      <c r="AI43" s="39">
        <f t="shared" si="26"/>
        <v>-210648</v>
      </c>
      <c r="AJ43" s="61">
        <f t="shared" ref="AJ43:AO43" si="27">AJ42+AJ39</f>
        <v>0</v>
      </c>
      <c r="AK43" s="39">
        <f t="shared" si="27"/>
        <v>0</v>
      </c>
      <c r="AL43" s="61">
        <f t="shared" si="27"/>
        <v>0</v>
      </c>
      <c r="AM43" s="39">
        <f t="shared" si="27"/>
        <v>0</v>
      </c>
      <c r="AN43" s="61">
        <f t="shared" si="27"/>
        <v>0</v>
      </c>
      <c r="AO43" s="39">
        <f t="shared" si="27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8">SUM(F45,H45,J45,L45,N45,P45,R45,T45,V45,X45,Z45,AB45,AD45,AF45,AH45,AJ45,AL45,AN45,AP45,AR45)</f>
        <v>0</v>
      </c>
      <c r="E45" s="38">
        <f t="shared" si="28"/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  <c r="AR45" s="60"/>
      <c r="AS45" s="38"/>
    </row>
    <row r="46" spans="1:45" x14ac:dyDescent="0.2">
      <c r="A46" s="9"/>
      <c r="B46" s="11"/>
      <c r="C46" s="6"/>
      <c r="D46" s="60">
        <f t="shared" si="28"/>
        <v>0</v>
      </c>
      <c r="E46" s="38">
        <f t="shared" si="28"/>
        <v>0</v>
      </c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8"/>
        <v>0</v>
      </c>
      <c r="E47" s="38">
        <f t="shared" si="28"/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  <c r="AR47" s="60"/>
      <c r="AS47" s="38"/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0</v>
      </c>
      <c r="E49" s="38">
        <f>SUM(G49,I49,K49,M49,O49,Q49,S49,U49,W49,Y49,AA49,AC49,AE49,AG49,AI49,AK49,AM49,AO49,AQ49,AS49)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  <c r="AR49" s="60">
        <v>0</v>
      </c>
      <c r="AS49" s="38"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0</v>
      </c>
      <c r="E51" s="38">
        <f>SUM(G51,I51,K51,M51,O51,Q51,S51,U51,W51,Y51,AA51,AC51,AE51,AG51,AI51,AK51,AM51,AO51,AQ51,AS51)</f>
        <v>-5371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-105777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100406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0</v>
      </c>
      <c r="E54" s="38">
        <f>SUM(G54,I54,K54,M54,O54,Q54,S54,U54,W54,Y54,AA54,AC54,AE54,AG54,AI54,AK54,AM54,AO54,AQ54,AS54)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  <c r="AR54" s="60"/>
      <c r="AS54" s="38"/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165">
        <v>-635000</v>
      </c>
      <c r="AB55" s="60"/>
      <c r="AC55" s="172">
        <v>635000</v>
      </c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  <c r="AR55" s="60"/>
      <c r="AS55" s="38"/>
    </row>
    <row r="56" spans="1:4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B56" si="29">SUM(F54:F55)</f>
        <v>0</v>
      </c>
      <c r="G56" s="39">
        <f t="shared" si="29"/>
        <v>0</v>
      </c>
      <c r="H56" s="61">
        <f t="shared" si="29"/>
        <v>0</v>
      </c>
      <c r="I56" s="39">
        <f t="shared" si="29"/>
        <v>0</v>
      </c>
      <c r="J56" s="61">
        <f t="shared" si="29"/>
        <v>0</v>
      </c>
      <c r="K56" s="154">
        <f t="shared" si="29"/>
        <v>0</v>
      </c>
      <c r="L56" s="61">
        <f t="shared" si="29"/>
        <v>0</v>
      </c>
      <c r="M56" s="39">
        <f t="shared" si="29"/>
        <v>0</v>
      </c>
      <c r="N56" s="61">
        <f t="shared" si="29"/>
        <v>0</v>
      </c>
      <c r="O56" s="39">
        <f t="shared" si="29"/>
        <v>0</v>
      </c>
      <c r="P56" s="61">
        <f t="shared" si="29"/>
        <v>0</v>
      </c>
      <c r="Q56" s="39">
        <f t="shared" si="29"/>
        <v>0</v>
      </c>
      <c r="R56" s="61">
        <f t="shared" si="29"/>
        <v>0</v>
      </c>
      <c r="S56" s="39">
        <f t="shared" si="29"/>
        <v>0</v>
      </c>
      <c r="T56" s="61">
        <f t="shared" si="29"/>
        <v>0</v>
      </c>
      <c r="U56" s="39">
        <f t="shared" ref="U56:AC56" si="30">SUM(U54:U55)</f>
        <v>0</v>
      </c>
      <c r="V56" s="61">
        <f t="shared" si="29"/>
        <v>0</v>
      </c>
      <c r="W56" s="39">
        <f t="shared" si="30"/>
        <v>0</v>
      </c>
      <c r="X56" s="61">
        <f t="shared" si="29"/>
        <v>0</v>
      </c>
      <c r="Y56" s="39">
        <f t="shared" si="30"/>
        <v>0</v>
      </c>
      <c r="Z56" s="61">
        <f t="shared" si="29"/>
        <v>0</v>
      </c>
      <c r="AA56" s="39">
        <f t="shared" si="30"/>
        <v>-635000</v>
      </c>
      <c r="AB56" s="61">
        <f t="shared" si="29"/>
        <v>0</v>
      </c>
      <c r="AC56" s="39">
        <f t="shared" si="30"/>
        <v>635000</v>
      </c>
      <c r="AD56" s="61">
        <f t="shared" ref="AD56:AI56" si="31">SUM(AD54:AD55)</f>
        <v>0</v>
      </c>
      <c r="AE56" s="39">
        <f t="shared" si="31"/>
        <v>0</v>
      </c>
      <c r="AF56" s="61">
        <f t="shared" si="31"/>
        <v>0</v>
      </c>
      <c r="AG56" s="39">
        <f t="shared" si="31"/>
        <v>0</v>
      </c>
      <c r="AH56" s="61">
        <f t="shared" si="31"/>
        <v>0</v>
      </c>
      <c r="AI56" s="39">
        <f t="shared" si="31"/>
        <v>0</v>
      </c>
      <c r="AJ56" s="61">
        <f t="shared" ref="AJ56:AO56" si="32">SUM(AJ54:AJ55)</f>
        <v>0</v>
      </c>
      <c r="AK56" s="39">
        <f t="shared" si="32"/>
        <v>0</v>
      </c>
      <c r="AL56" s="61">
        <f t="shared" si="32"/>
        <v>0</v>
      </c>
      <c r="AM56" s="39">
        <f t="shared" si="32"/>
        <v>0</v>
      </c>
      <c r="AN56" s="61">
        <f t="shared" si="32"/>
        <v>0</v>
      </c>
      <c r="AO56" s="39">
        <f t="shared" si="32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  <c r="AR59" s="60"/>
      <c r="AS59" s="38"/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  <c r="AR60" s="60"/>
      <c r="AS60" s="38"/>
    </row>
    <row r="61" spans="1:4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B61" si="33">SUM(F59:F60)</f>
        <v>0</v>
      </c>
      <c r="G61" s="39">
        <f t="shared" si="33"/>
        <v>0</v>
      </c>
      <c r="H61" s="61">
        <f t="shared" si="33"/>
        <v>0</v>
      </c>
      <c r="I61" s="39">
        <f t="shared" si="33"/>
        <v>0</v>
      </c>
      <c r="J61" s="61">
        <f t="shared" si="33"/>
        <v>0</v>
      </c>
      <c r="K61" s="154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ref="U61:AC61" si="34">SUM(U59:U60)</f>
        <v>0</v>
      </c>
      <c r="V61" s="61">
        <f t="shared" si="33"/>
        <v>0</v>
      </c>
      <c r="W61" s="39">
        <f t="shared" si="34"/>
        <v>0</v>
      </c>
      <c r="X61" s="61">
        <f t="shared" si="33"/>
        <v>0</v>
      </c>
      <c r="Y61" s="39">
        <f t="shared" si="34"/>
        <v>0</v>
      </c>
      <c r="Z61" s="61">
        <f t="shared" si="33"/>
        <v>0</v>
      </c>
      <c r="AA61" s="39">
        <f t="shared" si="34"/>
        <v>0</v>
      </c>
      <c r="AB61" s="61">
        <f t="shared" si="33"/>
        <v>0</v>
      </c>
      <c r="AC61" s="39">
        <f t="shared" si="34"/>
        <v>0</v>
      </c>
      <c r="AD61" s="61">
        <f t="shared" ref="AD61:AI61" si="35">SUM(AD59:AD60)</f>
        <v>0</v>
      </c>
      <c r="AE61" s="39">
        <f t="shared" si="35"/>
        <v>0</v>
      </c>
      <c r="AF61" s="61">
        <f t="shared" si="35"/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ref="AJ61:AO61" si="36">SUM(AJ59:AJ60)</f>
        <v>0</v>
      </c>
      <c r="AK61" s="39">
        <f t="shared" si="36"/>
        <v>0</v>
      </c>
      <c r="AL61" s="61">
        <f t="shared" si="36"/>
        <v>0</v>
      </c>
      <c r="AM61" s="39">
        <f t="shared" si="36"/>
        <v>0</v>
      </c>
      <c r="AN61" s="61">
        <f t="shared" si="36"/>
        <v>0</v>
      </c>
      <c r="AO61" s="39">
        <f t="shared" si="36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37">SUM(F63,H63,J63,L63,N63,P63,R63,T63,V63,X63,Z63,AB63,AD63,AF63,AH63,AJ63,AL63,AN63,AP63,AR63)</f>
        <v>0</v>
      </c>
      <c r="E63" s="38">
        <f t="shared" si="37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37"/>
        <v>0</v>
      </c>
      <c r="E64" s="38">
        <f t="shared" si="37"/>
        <v>-120383</v>
      </c>
      <c r="F64" s="64">
        <f>'TIE-OUT'!T64+RECLASS!T64</f>
        <v>0</v>
      </c>
      <c r="G64" s="68">
        <f>'TIE-OUT'!U64+RECLASS!U64</f>
        <v>-120383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</row>
    <row r="65" spans="1:45" x14ac:dyDescent="0.2">
      <c r="A65" s="9">
        <v>29</v>
      </c>
      <c r="B65" s="11"/>
      <c r="C65" s="18" t="s">
        <v>67</v>
      </c>
      <c r="D65" s="60">
        <f t="shared" si="37"/>
        <v>0</v>
      </c>
      <c r="E65" s="38">
        <f t="shared" si="37"/>
        <v>410000</v>
      </c>
      <c r="F65" s="81">
        <f>'TIE-OUT'!T65+RECLASS!T65</f>
        <v>0</v>
      </c>
      <c r="G65" s="82">
        <f>'TIE-OUT'!U65+RECLASS!U65</f>
        <v>410000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</row>
    <row r="66" spans="1:45" x14ac:dyDescent="0.2">
      <c r="A66" s="9"/>
      <c r="B66" s="7" t="s">
        <v>68</v>
      </c>
      <c r="C66" s="6"/>
      <c r="D66" s="61">
        <f>SUM(D64:D65)</f>
        <v>0</v>
      </c>
      <c r="E66" s="39">
        <f>SUM(E64:E65)</f>
        <v>289617</v>
      </c>
      <c r="F66" s="61">
        <f t="shared" ref="F66:AB66" si="38">SUM(F64:F65)</f>
        <v>0</v>
      </c>
      <c r="G66" s="39">
        <f t="shared" si="38"/>
        <v>289617</v>
      </c>
      <c r="H66" s="61">
        <f t="shared" si="38"/>
        <v>0</v>
      </c>
      <c r="I66" s="39">
        <f t="shared" si="38"/>
        <v>0</v>
      </c>
      <c r="J66" s="61">
        <f t="shared" si="38"/>
        <v>0</v>
      </c>
      <c r="K66" s="154">
        <f t="shared" si="38"/>
        <v>0</v>
      </c>
      <c r="L66" s="61">
        <f t="shared" si="38"/>
        <v>0</v>
      </c>
      <c r="M66" s="39">
        <f t="shared" si="38"/>
        <v>0</v>
      </c>
      <c r="N66" s="61">
        <f t="shared" si="38"/>
        <v>0</v>
      </c>
      <c r="O66" s="39">
        <f t="shared" si="38"/>
        <v>0</v>
      </c>
      <c r="P66" s="61">
        <f t="shared" si="38"/>
        <v>0</v>
      </c>
      <c r="Q66" s="39">
        <f t="shared" si="38"/>
        <v>0</v>
      </c>
      <c r="R66" s="61">
        <f t="shared" si="38"/>
        <v>0</v>
      </c>
      <c r="S66" s="39">
        <f t="shared" si="38"/>
        <v>0</v>
      </c>
      <c r="T66" s="61">
        <f t="shared" si="38"/>
        <v>0</v>
      </c>
      <c r="U66" s="39">
        <f t="shared" ref="U66:AC66" si="39">SUM(U64:U65)</f>
        <v>0</v>
      </c>
      <c r="V66" s="61">
        <f t="shared" si="38"/>
        <v>0</v>
      </c>
      <c r="W66" s="39">
        <f t="shared" si="39"/>
        <v>0</v>
      </c>
      <c r="X66" s="61">
        <f t="shared" si="38"/>
        <v>0</v>
      </c>
      <c r="Y66" s="39">
        <f t="shared" si="39"/>
        <v>0</v>
      </c>
      <c r="Z66" s="61">
        <f t="shared" si="38"/>
        <v>0</v>
      </c>
      <c r="AA66" s="39">
        <f t="shared" si="39"/>
        <v>0</v>
      </c>
      <c r="AB66" s="61">
        <f t="shared" si="38"/>
        <v>0</v>
      </c>
      <c r="AC66" s="39">
        <f t="shared" si="39"/>
        <v>0</v>
      </c>
      <c r="AD66" s="61">
        <f t="shared" ref="AD66:AI66" si="40">SUM(AD64:AD65)</f>
        <v>0</v>
      </c>
      <c r="AE66" s="39">
        <f t="shared" si="40"/>
        <v>0</v>
      </c>
      <c r="AF66" s="61">
        <f t="shared" si="40"/>
        <v>0</v>
      </c>
      <c r="AG66" s="39">
        <f t="shared" si="40"/>
        <v>0</v>
      </c>
      <c r="AH66" s="61">
        <f t="shared" si="40"/>
        <v>0</v>
      </c>
      <c r="AI66" s="39">
        <f t="shared" si="40"/>
        <v>0</v>
      </c>
      <c r="AJ66" s="61">
        <f t="shared" ref="AJ66:AO66" si="41">SUM(AJ64:AJ65)</f>
        <v>0</v>
      </c>
      <c r="AK66" s="39">
        <f t="shared" si="41"/>
        <v>0</v>
      </c>
      <c r="AL66" s="61">
        <f t="shared" si="41"/>
        <v>0</v>
      </c>
      <c r="AM66" s="39">
        <f t="shared" si="41"/>
        <v>0</v>
      </c>
      <c r="AN66" s="61">
        <f t="shared" si="41"/>
        <v>0</v>
      </c>
      <c r="AO66" s="39">
        <f t="shared" si="41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-17593155</v>
      </c>
      <c r="F70" s="64">
        <f>'TIE-OUT'!T70+RECLASS!T70</f>
        <v>0</v>
      </c>
      <c r="G70" s="68">
        <f>'TIE-OUT'!U70+RECLASS!U70</f>
        <v>-5059754</v>
      </c>
      <c r="H70" s="60"/>
      <c r="I70" s="38"/>
      <c r="J70" s="60"/>
      <c r="K70" s="153"/>
      <c r="L70" s="60"/>
      <c r="M70" s="38">
        <v>-647317</v>
      </c>
      <c r="N70" s="60"/>
      <c r="O70" s="38"/>
      <c r="P70" s="60"/>
      <c r="Q70" s="38"/>
      <c r="R70" s="60"/>
      <c r="S70" s="38"/>
      <c r="T70" s="60"/>
      <c r="U70" s="38"/>
      <c r="V70" s="60"/>
      <c r="W70" s="38">
        <f>-70325-11815759</f>
        <v>-11886084</v>
      </c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  <c r="AR70" s="60"/>
      <c r="AS70" s="38"/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  <c r="AR71" s="60"/>
      <c r="AS71" s="38"/>
    </row>
    <row r="72" spans="1:4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-17593155</v>
      </c>
      <c r="F72" s="61">
        <f t="shared" ref="F72:AB72" si="42">SUM(F70:F71)</f>
        <v>0</v>
      </c>
      <c r="G72" s="39">
        <f t="shared" si="42"/>
        <v>-5059754</v>
      </c>
      <c r="H72" s="61">
        <f t="shared" si="42"/>
        <v>0</v>
      </c>
      <c r="I72" s="39">
        <f t="shared" si="42"/>
        <v>0</v>
      </c>
      <c r="J72" s="61">
        <f t="shared" si="42"/>
        <v>0</v>
      </c>
      <c r="K72" s="154">
        <f t="shared" si="42"/>
        <v>0</v>
      </c>
      <c r="L72" s="61">
        <f t="shared" si="42"/>
        <v>0</v>
      </c>
      <c r="M72" s="39">
        <f t="shared" si="42"/>
        <v>-647317</v>
      </c>
      <c r="N72" s="61">
        <f t="shared" si="42"/>
        <v>0</v>
      </c>
      <c r="O72" s="39">
        <f t="shared" si="42"/>
        <v>0</v>
      </c>
      <c r="P72" s="61">
        <f t="shared" si="42"/>
        <v>0</v>
      </c>
      <c r="Q72" s="39">
        <f t="shared" si="42"/>
        <v>0</v>
      </c>
      <c r="R72" s="61">
        <f t="shared" si="42"/>
        <v>0</v>
      </c>
      <c r="S72" s="39">
        <f t="shared" si="42"/>
        <v>0</v>
      </c>
      <c r="T72" s="61">
        <f t="shared" si="42"/>
        <v>0</v>
      </c>
      <c r="U72" s="39">
        <f t="shared" ref="U72:AC72" si="43">SUM(U70:U71)</f>
        <v>0</v>
      </c>
      <c r="V72" s="61">
        <f t="shared" si="42"/>
        <v>0</v>
      </c>
      <c r="W72" s="39">
        <f t="shared" si="43"/>
        <v>-11886084</v>
      </c>
      <c r="X72" s="61">
        <f t="shared" si="42"/>
        <v>0</v>
      </c>
      <c r="Y72" s="39">
        <f t="shared" si="43"/>
        <v>0</v>
      </c>
      <c r="Z72" s="61">
        <f t="shared" si="42"/>
        <v>0</v>
      </c>
      <c r="AA72" s="39">
        <f t="shared" si="43"/>
        <v>0</v>
      </c>
      <c r="AB72" s="61">
        <f t="shared" si="42"/>
        <v>0</v>
      </c>
      <c r="AC72" s="39">
        <f t="shared" si="43"/>
        <v>0</v>
      </c>
      <c r="AD72" s="61">
        <f t="shared" ref="AD72:AI72" si="44">SUM(AD70:AD71)</f>
        <v>0</v>
      </c>
      <c r="AE72" s="39">
        <f t="shared" si="44"/>
        <v>0</v>
      </c>
      <c r="AF72" s="61">
        <f t="shared" si="44"/>
        <v>0</v>
      </c>
      <c r="AG72" s="39">
        <f t="shared" si="44"/>
        <v>0</v>
      </c>
      <c r="AH72" s="61">
        <f t="shared" si="44"/>
        <v>0</v>
      </c>
      <c r="AI72" s="39">
        <f t="shared" si="44"/>
        <v>0</v>
      </c>
      <c r="AJ72" s="61">
        <f t="shared" ref="AJ72:AO72" si="45">SUM(AJ70:AJ71)</f>
        <v>0</v>
      </c>
      <c r="AK72" s="39">
        <f t="shared" si="45"/>
        <v>0</v>
      </c>
      <c r="AL72" s="61">
        <f t="shared" si="45"/>
        <v>0</v>
      </c>
      <c r="AM72" s="39">
        <f t="shared" si="45"/>
        <v>0</v>
      </c>
      <c r="AN72" s="61">
        <f t="shared" si="45"/>
        <v>0</v>
      </c>
      <c r="AO72" s="39">
        <f t="shared" si="4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46">SUM(F73,H73,J73,L73,N73,P73,R73,T73,V73,X73,Z73,AB73,AD73,AF73,AH73,AJ73,AL73,AN73,AP73,AR73)</f>
        <v>0</v>
      </c>
      <c r="E73" s="38">
        <f t="shared" ref="E73:E81" si="47">SUM(G73,I73,K73,M73,O73,Q73,S73,U73,W73,Y73,AA73,AC73,AE73,AG73,AI73,AK73,AM73,AO73,AQ73,AS73)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  <c r="AR73" s="60"/>
      <c r="AS73" s="38"/>
    </row>
    <row r="74" spans="1:45" x14ac:dyDescent="0.2">
      <c r="A74" s="9">
        <v>33</v>
      </c>
      <c r="B74" s="3"/>
      <c r="C74" s="10" t="s">
        <v>75</v>
      </c>
      <c r="D74" s="60">
        <f t="shared" si="46"/>
        <v>0</v>
      </c>
      <c r="E74" s="38">
        <f t="shared" si="47"/>
        <v>5144896</v>
      </c>
      <c r="F74" s="60">
        <f>'TIE-OUT'!T74+RECLASS!T74</f>
        <v>0</v>
      </c>
      <c r="G74" s="60">
        <f>'TIE-OUT'!U74+RECLASS!U74</f>
        <v>5144896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  <c r="AP74" s="60"/>
      <c r="AQ74" s="38"/>
      <c r="AR74" s="60"/>
      <c r="AS74" s="38"/>
    </row>
    <row r="75" spans="1:45" x14ac:dyDescent="0.2">
      <c r="A75" s="9">
        <v>34</v>
      </c>
      <c r="B75" s="3"/>
      <c r="C75" s="10" t="s">
        <v>76</v>
      </c>
      <c r="D75" s="60">
        <f t="shared" si="46"/>
        <v>0</v>
      </c>
      <c r="E75" s="38">
        <f t="shared" si="47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  <c r="AR75" s="60"/>
      <c r="AS75" s="38"/>
    </row>
    <row r="76" spans="1:45" x14ac:dyDescent="0.2">
      <c r="A76" s="9">
        <v>35</v>
      </c>
      <c r="B76" s="3"/>
      <c r="C76" s="10" t="s">
        <v>77</v>
      </c>
      <c r="D76" s="60">
        <f t="shared" si="46"/>
        <v>0</v>
      </c>
      <c r="E76" s="38">
        <f t="shared" si="47"/>
        <v>-2740</v>
      </c>
      <c r="F76" s="60">
        <f>'TIE-OUT'!T76+RECLASS!T76</f>
        <v>0</v>
      </c>
      <c r="G76" s="60">
        <f>'TIE-OUT'!U76+RECLASS!U76</f>
        <v>-2740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  <c r="AR76" s="60"/>
      <c r="AS76" s="38"/>
    </row>
    <row r="77" spans="1:45" x14ac:dyDescent="0.2">
      <c r="A77" s="9">
        <v>36</v>
      </c>
      <c r="B77" s="3"/>
      <c r="C77" s="10" t="s">
        <v>78</v>
      </c>
      <c r="D77" s="60">
        <f t="shared" si="46"/>
        <v>0</v>
      </c>
      <c r="E77" s="38">
        <f t="shared" si="47"/>
        <v>-453583</v>
      </c>
      <c r="F77" s="60">
        <f>'TIE-OUT'!T77+RECLASS!T77</f>
        <v>0</v>
      </c>
      <c r="G77" s="60">
        <f>'TIE-OUT'!U77+RECLASS!U77</f>
        <v>-897000</v>
      </c>
      <c r="H77" s="60"/>
      <c r="I77" s="38"/>
      <c r="J77" s="60"/>
      <c r="K77" s="153"/>
      <c r="L77" s="60"/>
      <c r="M77" s="38">
        <f>820000-376583</f>
        <v>443417</v>
      </c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  <c r="AR77" s="60"/>
      <c r="AS77" s="38"/>
    </row>
    <row r="78" spans="1:45" x14ac:dyDescent="0.2">
      <c r="A78" s="9">
        <v>37</v>
      </c>
      <c r="B78" s="3"/>
      <c r="C78" s="10" t="s">
        <v>79</v>
      </c>
      <c r="D78" s="60">
        <f t="shared" si="46"/>
        <v>0</v>
      </c>
      <c r="E78" s="38">
        <f t="shared" si="47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  <c r="AR78" s="60"/>
      <c r="AS78" s="38"/>
    </row>
    <row r="79" spans="1:45" x14ac:dyDescent="0.2">
      <c r="A79" s="9">
        <v>38</v>
      </c>
      <c r="B79" s="3"/>
      <c r="C79" s="10" t="s">
        <v>80</v>
      </c>
      <c r="D79" s="60">
        <f t="shared" si="46"/>
        <v>0</v>
      </c>
      <c r="E79" s="38">
        <f t="shared" si="47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  <c r="AR79" s="60"/>
      <c r="AS79" s="38"/>
    </row>
    <row r="80" spans="1:45" x14ac:dyDescent="0.2">
      <c r="A80" s="9">
        <v>39</v>
      </c>
      <c r="B80" s="3"/>
      <c r="C80" s="10" t="s">
        <v>81</v>
      </c>
      <c r="D80" s="60">
        <f t="shared" si="46"/>
        <v>0</v>
      </c>
      <c r="E80" s="38">
        <f t="shared" si="47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  <c r="AR80" s="60"/>
      <c r="AS80" s="38"/>
    </row>
    <row r="81" spans="1:45" x14ac:dyDescent="0.2">
      <c r="A81" s="9">
        <v>40</v>
      </c>
      <c r="B81" s="3"/>
      <c r="C81" s="10" t="s">
        <v>82</v>
      </c>
      <c r="D81" s="60">
        <f t="shared" si="46"/>
        <v>0</v>
      </c>
      <c r="E81" s="38">
        <f t="shared" si="47"/>
        <v>-123834</v>
      </c>
      <c r="F81" s="60">
        <f>'TIE-OUT'!T81+RECLASS!T81</f>
        <v>0</v>
      </c>
      <c r="G81" s="60">
        <f>'TIE-OUT'!U81+RECLASS!U81</f>
        <v>0</v>
      </c>
      <c r="H81" s="60"/>
      <c r="I81" s="38">
        <v>-6269</v>
      </c>
      <c r="J81" s="60"/>
      <c r="K81" s="153">
        <v>0</v>
      </c>
      <c r="L81" s="60"/>
      <c r="M81" s="38">
        <f>6269-125739-110079</f>
        <v>-229549</v>
      </c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f>35744+76240</f>
        <v>111984</v>
      </c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  <c r="AR81" s="60"/>
      <c r="AS81" s="38"/>
    </row>
    <row r="82" spans="1:45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-729629</v>
      </c>
      <c r="F82" s="92">
        <f>F16+F24+F29+F36+F43+F45+F47+F49</f>
        <v>0</v>
      </c>
      <c r="G82" s="93">
        <f>SUM(G72:G81)+G16+G24+G29+G36+G43+G45+G47+G49+G51+G56+G61+G66</f>
        <v>-181498</v>
      </c>
      <c r="H82" s="92">
        <f>H16+H24+H29+H36+H43+H45+H47+H49</f>
        <v>0</v>
      </c>
      <c r="I82" s="93">
        <f>SUM(I72:I81)+I16+I24+I29+I36+I43+I45+I47+I49+I51+I56+I61+I66</f>
        <v>-6269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-539226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132666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-70325</v>
      </c>
      <c r="X82" s="92">
        <f>X16+X24+X29+X36+X43+X45+X47+X49</f>
        <v>0</v>
      </c>
      <c r="Y82" s="93">
        <f>SUM(Y72:Y81)+Y16+Y24+Y29+Y36+Y43+Y45+Y47+Y49+Y51+Y56+Y61+Y66</f>
        <v>212390</v>
      </c>
      <c r="Z82" s="92">
        <f>Z16+Z24+Z29+Z36+Z43+Z45+Z47+Z49</f>
        <v>0</v>
      </c>
      <c r="AA82" s="93">
        <f>SUM(AA72:AA81)+AA16+AA24+AA29+AA36+AA43+AA45+AA47+AA49+AA51+AA56+AA61+AA66</f>
        <v>-635000</v>
      </c>
      <c r="AB82" s="92">
        <f>AB16+AB24+AB29+AB36+AB43+AB45+AB47+AB49</f>
        <v>0</v>
      </c>
      <c r="AC82" s="93">
        <f>SUM(AC72:AC81)+AC16+AC24+AC29+AC36+AC43+AC45+AC47+AC49+AC51+AC56+AC61+AC66</f>
        <v>636968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-1461848</v>
      </c>
      <c r="AH82" s="92">
        <f>AH16+AH24+AH29+AH36+AH43+AH45+AH47+AH49</f>
        <v>0</v>
      </c>
      <c r="AI82" s="93">
        <f>SUM(AI72:AI81)+AI16+AI24+AI29+AI36+AI43+AI45+AI47+AI49+AI51+AI56+AI61+AI66</f>
        <v>-210648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1393161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45" ht="13.5" thickTop="1" x14ac:dyDescent="0.2">
      <c r="A83" s="4"/>
      <c r="B83" s="3"/>
    </row>
    <row r="84" spans="1:45" x14ac:dyDescent="0.2">
      <c r="A84" s="4"/>
      <c r="B84" s="3"/>
      <c r="E84" s="31">
        <f>+E72+E12-G12</f>
        <v>-17593155</v>
      </c>
    </row>
    <row r="85" spans="1:45" x14ac:dyDescent="0.2">
      <c r="A85" s="4"/>
      <c r="B85" s="3"/>
    </row>
    <row r="86" spans="1:45" x14ac:dyDescent="0.2">
      <c r="A86" s="4"/>
      <c r="B86" s="3"/>
    </row>
    <row r="87" spans="1:45" x14ac:dyDescent="0.2">
      <c r="A87" s="4"/>
      <c r="B87" s="3"/>
    </row>
    <row r="88" spans="1:45" x14ac:dyDescent="0.2">
      <c r="A88" s="4"/>
      <c r="B88" s="3"/>
    </row>
    <row r="89" spans="1:45" x14ac:dyDescent="0.2">
      <c r="A89" s="4"/>
      <c r="B89" s="3"/>
    </row>
    <row r="90" spans="1:45" x14ac:dyDescent="0.2">
      <c r="A90" s="4"/>
      <c r="B90" s="3"/>
    </row>
    <row r="91" spans="1:45" x14ac:dyDescent="0.2">
      <c r="A91" s="4"/>
      <c r="B91" s="3"/>
    </row>
    <row r="92" spans="1:45" x14ac:dyDescent="0.2">
      <c r="A92" s="4"/>
      <c r="B92" s="3"/>
    </row>
    <row r="93" spans="1:45" x14ac:dyDescent="0.2">
      <c r="A93" s="4"/>
      <c r="B93" s="3"/>
    </row>
    <row r="94" spans="1:45" x14ac:dyDescent="0.2">
      <c r="A94" s="4"/>
      <c r="B94" s="3"/>
    </row>
    <row r="95" spans="1:45" x14ac:dyDescent="0.2">
      <c r="A95" s="4"/>
      <c r="B95" s="3"/>
    </row>
    <row r="96" spans="1:4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Y187"/>
  <sheetViews>
    <sheetView zoomScale="75" workbookViewId="0">
      <pane xSplit="3" ySplit="9" topLeftCell="D78" activePane="bottomRight" state="frozen"/>
      <selection activeCell="AN647" sqref="AN647"/>
      <selection pane="topRight" activeCell="AN647" sqref="AN647"/>
      <selection pane="bottomLeft" activeCell="AN647" sqref="AN647"/>
      <selection pane="bottomRight" activeCell="AN647" sqref="AN64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45" width="15.42578125" customWidth="1"/>
  </cols>
  <sheetData>
    <row r="1" spans="1:45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">
      <c r="A3" s="5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</row>
    <row r="4" spans="1:45" x14ac:dyDescent="0.2">
      <c r="A4" s="5" t="s">
        <v>180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4"/>
      <c r="B7" s="19"/>
      <c r="C7" s="19"/>
    </row>
    <row r="8" spans="1:45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March</v>
      </c>
      <c r="I8" s="27"/>
      <c r="J8" s="26" t="str">
        <f>CE_GL!J8</f>
        <v>April</v>
      </c>
      <c r="K8" s="150"/>
      <c r="L8" s="26" t="s">
        <v>187</v>
      </c>
      <c r="M8" s="27"/>
      <c r="N8" s="26" t="str">
        <f>CE_GL!N8</f>
        <v>June</v>
      </c>
      <c r="O8" s="27"/>
      <c r="P8" s="26" t="str">
        <f>CE_GL!P8</f>
        <v>July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207</v>
      </c>
      <c r="AC8" s="27"/>
      <c r="AD8" s="26" t="s">
        <v>208</v>
      </c>
      <c r="AE8" s="27"/>
      <c r="AF8" s="26" t="s">
        <v>181</v>
      </c>
      <c r="AG8" s="27"/>
      <c r="AH8" s="26" t="s">
        <v>182</v>
      </c>
      <c r="AI8" s="27"/>
      <c r="AJ8" s="26" t="s">
        <v>187</v>
      </c>
      <c r="AK8" s="27"/>
      <c r="AL8" s="26" t="s">
        <v>199</v>
      </c>
      <c r="AM8" s="27"/>
      <c r="AN8" s="26" t="s">
        <v>200</v>
      </c>
      <c r="AO8" s="27"/>
      <c r="AP8" s="26" t="s">
        <v>201</v>
      </c>
      <c r="AQ8" s="27"/>
      <c r="AR8" s="26" t="s">
        <v>202</v>
      </c>
      <c r="AS8" s="27"/>
    </row>
    <row r="9" spans="1:45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</row>
    <row r="10" spans="1:4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</row>
    <row r="11" spans="1:45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SUM(F11,H11,J11,L11,N11,P11,R11,T11,V11,X11,Z11,AB11,AD11,AF11,AH11,AJ11,AL11,AN11,AP11,AR11)</f>
        <v>11370215</v>
      </c>
      <c r="E11" s="38">
        <f t="shared" si="0"/>
        <v>20805132</v>
      </c>
      <c r="F11" s="60">
        <f>'TIE-OUT'!V11+RECLASS!V11</f>
        <v>0</v>
      </c>
      <c r="G11" s="38">
        <f>'TIE-OUT'!W11+RECLASS!W11</f>
        <v>0</v>
      </c>
      <c r="H11" s="60">
        <f>4853632+6164903</f>
        <v>11018535</v>
      </c>
      <c r="I11" s="38">
        <f>8941537+11244566</f>
        <v>20186103</v>
      </c>
      <c r="J11" s="60">
        <v>351290</v>
      </c>
      <c r="K11" s="153">
        <v>618299</v>
      </c>
      <c r="L11" s="60">
        <v>390</v>
      </c>
      <c r="M11" s="38">
        <v>730</v>
      </c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  <c r="AR11" s="60"/>
      <c r="AS11" s="38"/>
    </row>
    <row r="12" spans="1:45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-273322.32</v>
      </c>
      <c r="F12" s="60">
        <f>'TIE-OUT'!V12+RECLASS!V12</f>
        <v>0</v>
      </c>
      <c r="G12" s="38">
        <f>'TIE-OUT'!W12+RECLASS!W12</f>
        <v>-365487.37</v>
      </c>
      <c r="H12" s="60"/>
      <c r="I12" s="38"/>
      <c r="J12" s="60"/>
      <c r="K12" s="153"/>
      <c r="L12" s="60"/>
      <c r="M12" s="38"/>
      <c r="N12" s="60"/>
      <c r="O12" s="172">
        <v>92165.05</v>
      </c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  <c r="AR12" s="60"/>
      <c r="AS12" s="38"/>
    </row>
    <row r="13" spans="1:45" x14ac:dyDescent="0.2">
      <c r="A13" s="9">
        <v>3</v>
      </c>
      <c r="B13" s="7"/>
      <c r="C13" s="18" t="s">
        <v>31</v>
      </c>
      <c r="D13" s="60">
        <f t="shared" si="0"/>
        <v>1101341</v>
      </c>
      <c r="E13" s="38">
        <f t="shared" si="0"/>
        <v>2059687</v>
      </c>
      <c r="F13" s="60">
        <f>'TIE-OUT'!V13+RECLASS!V13</f>
        <v>0</v>
      </c>
      <c r="G13" s="38">
        <f>'TIE-OUT'!W13+RECLASS!W13</f>
        <v>0</v>
      </c>
      <c r="H13" s="60">
        <v>1101341</v>
      </c>
      <c r="I13" s="38">
        <v>2059687</v>
      </c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  <c r="AP13" s="60"/>
      <c r="AQ13" s="38"/>
      <c r="AR13" s="60"/>
      <c r="AS13" s="38"/>
    </row>
    <row r="14" spans="1:45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  <c r="AR14" s="60"/>
      <c r="AS14" s="38"/>
    </row>
    <row r="15" spans="1:45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  <c r="AR15" s="60"/>
      <c r="AS15" s="38"/>
    </row>
    <row r="16" spans="1:45" x14ac:dyDescent="0.2">
      <c r="A16" s="9"/>
      <c r="B16" s="7" t="s">
        <v>34</v>
      </c>
      <c r="C16" s="6"/>
      <c r="D16" s="61">
        <f>SUM(D11:D15)</f>
        <v>12471556</v>
      </c>
      <c r="E16" s="39">
        <f>SUM(E11:E15)</f>
        <v>22591496.68</v>
      </c>
      <c r="F16" s="61">
        <f t="shared" ref="F16:AB16" si="1">SUM(F11:F15)</f>
        <v>0</v>
      </c>
      <c r="G16" s="39">
        <f t="shared" si="1"/>
        <v>-365487.37</v>
      </c>
      <c r="H16" s="61">
        <f t="shared" si="1"/>
        <v>12119876</v>
      </c>
      <c r="I16" s="39">
        <f t="shared" si="1"/>
        <v>22245790</v>
      </c>
      <c r="J16" s="61">
        <f t="shared" si="1"/>
        <v>351290</v>
      </c>
      <c r="K16" s="154">
        <f t="shared" si="1"/>
        <v>618299</v>
      </c>
      <c r="L16" s="61">
        <f t="shared" si="1"/>
        <v>390</v>
      </c>
      <c r="M16" s="39">
        <f t="shared" si="1"/>
        <v>730</v>
      </c>
      <c r="N16" s="61">
        <f t="shared" si="1"/>
        <v>0</v>
      </c>
      <c r="O16" s="39">
        <f t="shared" si="1"/>
        <v>92165.05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C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ref="AD16:AI16" si="3">SUM(AD11:AD15)</f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ref="AJ16:AO16" si="4">SUM(AJ11:AJ15)</f>
        <v>0</v>
      </c>
      <c r="AK16" s="39">
        <f t="shared" si="4"/>
        <v>0</v>
      </c>
      <c r="AL16" s="61">
        <f t="shared" si="4"/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>SUM(AP11:AP15)</f>
        <v>0</v>
      </c>
      <c r="AQ16" s="39">
        <f>SUM(AQ11:AQ15)</f>
        <v>0</v>
      </c>
      <c r="AR16" s="61">
        <f>SUM(AR11:AR15)</f>
        <v>0</v>
      </c>
      <c r="AS16" s="39">
        <f>SUM(AS11:AS15)</f>
        <v>0</v>
      </c>
    </row>
    <row r="17" spans="1:4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</row>
    <row r="18" spans="1:4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</row>
    <row r="19" spans="1:45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SUM(F19,H19,J19,L19,N19,P19,R19,T19,V19,X19,Z19,AB19,AD19,AF19,AH19,AJ19,AL19,AN19,AP19,AR19)</f>
        <v>-15044461</v>
      </c>
      <c r="E19" s="38">
        <f t="shared" si="5"/>
        <v>-27906421</v>
      </c>
      <c r="F19" s="64">
        <f>'TIE-OUT'!V19+RECLASS!V19</f>
        <v>0</v>
      </c>
      <c r="G19" s="68">
        <f>'TIE-OUT'!W19+RECLASS!W19</f>
        <v>0</v>
      </c>
      <c r="H19" s="60">
        <f>-7485130-5726157</f>
        <v>-13211287</v>
      </c>
      <c r="I19" s="38">
        <f>-13680543-10182139</f>
        <v>-23862682</v>
      </c>
      <c r="J19" s="60">
        <v>-844444</v>
      </c>
      <c r="K19" s="153">
        <v>-1991490</v>
      </c>
      <c r="L19" s="60">
        <v>170</v>
      </c>
      <c r="M19" s="38">
        <v>311</v>
      </c>
      <c r="N19" s="60"/>
      <c r="O19" s="38"/>
      <c r="P19" s="60"/>
      <c r="Q19" s="38"/>
      <c r="R19" s="60">
        <v>-988900</v>
      </c>
      <c r="S19" s="38">
        <v>-2052560</v>
      </c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  <c r="AR19" s="60"/>
      <c r="AS19" s="38"/>
    </row>
    <row r="20" spans="1:45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205723.33</v>
      </c>
      <c r="F20" s="60">
        <f>'TIE-OUT'!V20+RECLASS!V20</f>
        <v>0</v>
      </c>
      <c r="G20" s="38">
        <f>'TIE-OUT'!W20+RECLASS!W20</f>
        <v>205723.33</v>
      </c>
      <c r="H20" s="60"/>
      <c r="I20" s="165">
        <v>-61775</v>
      </c>
      <c r="J20" s="60"/>
      <c r="K20" s="172">
        <v>61775</v>
      </c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  <c r="AR20" s="60"/>
      <c r="AS20" s="38"/>
    </row>
    <row r="21" spans="1:45" x14ac:dyDescent="0.2">
      <c r="A21" s="9">
        <v>8</v>
      </c>
      <c r="B21" s="7"/>
      <c r="C21" s="18" t="s">
        <v>31</v>
      </c>
      <c r="D21" s="60">
        <f t="shared" si="5"/>
        <v>-69067</v>
      </c>
      <c r="E21" s="38">
        <f t="shared" si="5"/>
        <v>-125071</v>
      </c>
      <c r="F21" s="60">
        <f>'TIE-OUT'!V21+RECLASS!V21</f>
        <v>0</v>
      </c>
      <c r="G21" s="38">
        <f>'TIE-OUT'!W21+RECLASS!W21</f>
        <v>0</v>
      </c>
      <c r="H21" s="60">
        <v>-69067</v>
      </c>
      <c r="I21" s="38">
        <v>-125071</v>
      </c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  <c r="AR21" s="60"/>
      <c r="AS21" s="38"/>
    </row>
    <row r="22" spans="1:45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  <c r="AR22" s="60"/>
      <c r="AS22" s="38"/>
    </row>
    <row r="23" spans="1:45" x14ac:dyDescent="0.2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  <c r="AR23" s="60"/>
      <c r="AS23" s="38"/>
    </row>
    <row r="24" spans="1:45" x14ac:dyDescent="0.2">
      <c r="A24" s="9"/>
      <c r="B24" s="7" t="s">
        <v>37</v>
      </c>
      <c r="C24" s="6"/>
      <c r="D24" s="61">
        <f>SUM(D19:D23)</f>
        <v>-15113528</v>
      </c>
      <c r="E24" s="39">
        <f>SUM(E19:E23)</f>
        <v>-27825768.670000002</v>
      </c>
      <c r="F24" s="61">
        <f t="shared" ref="F24:AB24" si="6">SUM(F19:F23)</f>
        <v>0</v>
      </c>
      <c r="G24" s="39">
        <f t="shared" si="6"/>
        <v>205723.33</v>
      </c>
      <c r="H24" s="61">
        <f t="shared" si="6"/>
        <v>-13280354</v>
      </c>
      <c r="I24" s="39">
        <f t="shared" si="6"/>
        <v>-24049528</v>
      </c>
      <c r="J24" s="61">
        <f t="shared" si="6"/>
        <v>-844444</v>
      </c>
      <c r="K24" s="154">
        <f t="shared" si="6"/>
        <v>-1929715</v>
      </c>
      <c r="L24" s="61">
        <f t="shared" si="6"/>
        <v>170</v>
      </c>
      <c r="M24" s="39">
        <f t="shared" si="6"/>
        <v>311</v>
      </c>
      <c r="N24" s="61">
        <f t="shared" si="6"/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-988900</v>
      </c>
      <c r="S24" s="39">
        <f t="shared" si="6"/>
        <v>-2052560</v>
      </c>
      <c r="T24" s="61">
        <f t="shared" si="6"/>
        <v>0</v>
      </c>
      <c r="U24" s="39">
        <f t="shared" ref="U24:AC24" si="7">SUM(U19:U23)</f>
        <v>0</v>
      </c>
      <c r="V24" s="61">
        <f t="shared" si="6"/>
        <v>0</v>
      </c>
      <c r="W24" s="39">
        <f t="shared" si="7"/>
        <v>0</v>
      </c>
      <c r="X24" s="61">
        <f t="shared" si="6"/>
        <v>0</v>
      </c>
      <c r="Y24" s="39">
        <f t="shared" si="7"/>
        <v>0</v>
      </c>
      <c r="Z24" s="61">
        <f t="shared" si="6"/>
        <v>0</v>
      </c>
      <c r="AA24" s="39">
        <f t="shared" si="7"/>
        <v>0</v>
      </c>
      <c r="AB24" s="61">
        <f t="shared" si="6"/>
        <v>0</v>
      </c>
      <c r="AC24" s="39">
        <f t="shared" si="7"/>
        <v>0</v>
      </c>
      <c r="AD24" s="61">
        <f t="shared" ref="AD24:AI24" si="8">SUM(AD19:AD23)</f>
        <v>0</v>
      </c>
      <c r="AE24" s="39">
        <f t="shared" si="8"/>
        <v>0</v>
      </c>
      <c r="AF24" s="61">
        <f t="shared" si="8"/>
        <v>0</v>
      </c>
      <c r="AG24" s="39">
        <f t="shared" si="8"/>
        <v>0</v>
      </c>
      <c r="AH24" s="61">
        <f t="shared" si="8"/>
        <v>0</v>
      </c>
      <c r="AI24" s="39">
        <f t="shared" si="8"/>
        <v>0</v>
      </c>
      <c r="AJ24" s="61">
        <f t="shared" ref="AJ24:AO24" si="9">SUM(AJ19:AJ23)</f>
        <v>0</v>
      </c>
      <c r="AK24" s="39">
        <f t="shared" si="9"/>
        <v>0</v>
      </c>
      <c r="AL24" s="61">
        <f t="shared" si="9"/>
        <v>0</v>
      </c>
      <c r="AM24" s="39">
        <f t="shared" si="9"/>
        <v>0</v>
      </c>
      <c r="AN24" s="61">
        <f t="shared" si="9"/>
        <v>0</v>
      </c>
      <c r="AO24" s="39">
        <f t="shared" si="9"/>
        <v>0</v>
      </c>
      <c r="AP24" s="61">
        <f>SUM(AP19:AP23)</f>
        <v>0</v>
      </c>
      <c r="AQ24" s="39">
        <f>SUM(AQ19:AQ23)</f>
        <v>0</v>
      </c>
      <c r="AR24" s="61">
        <f>SUM(AR19:AR23)</f>
        <v>0</v>
      </c>
      <c r="AS24" s="39">
        <f>SUM(AS19:AS23)</f>
        <v>0</v>
      </c>
    </row>
    <row r="25" spans="1:4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</row>
    <row r="26" spans="1:4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</row>
    <row r="27" spans="1:45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SUM(F27,H27,J27,L27,N27,P27,R27,T27,V27,X27,Z27,AB27,AD27,AF27,AH27,AJ27,AL27,AN27,AP27,AR27)</f>
        <v>0</v>
      </c>
      <c r="E27" s="38">
        <f>SUM(G27,I27,K27,M27,O27,Q27,S27,U27,W27,Y27,AA27,AC27,AE27,AG27,AI27,AK27,AM27,AO27,AQ27,AS27)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  <c r="AR27" s="60"/>
      <c r="AS27" s="38"/>
    </row>
    <row r="28" spans="1:45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SUM(F28,H28,J28,L28,N28,P28,R28,T28,V28,X28,Z28,AB28,AD28,AF28,AH28,AJ28,AL28,AN28,AP28,AR28)</f>
        <v>0</v>
      </c>
      <c r="E28" s="38">
        <f>SUM(G28,I28,K28,M28,O28,Q28,S28,U28,W28,Y28,AA28,AC28,AE28,AG28,AI28,AK28,AM28,AO28,AQ28,AS28)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  <c r="AR28" s="60"/>
      <c r="AS28" s="38"/>
    </row>
    <row r="29" spans="1:45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B29" si="10">SUM(F27:F28)</f>
        <v>0</v>
      </c>
      <c r="G29" s="39">
        <f t="shared" si="10"/>
        <v>0</v>
      </c>
      <c r="H29" s="61">
        <f t="shared" si="10"/>
        <v>0</v>
      </c>
      <c r="I29" s="39">
        <f t="shared" si="10"/>
        <v>0</v>
      </c>
      <c r="J29" s="61">
        <f t="shared" si="10"/>
        <v>0</v>
      </c>
      <c r="K29" s="154">
        <f t="shared" si="10"/>
        <v>0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ref="U29:AC29" si="11">SUM(U27:U28)</f>
        <v>0</v>
      </c>
      <c r="V29" s="61">
        <f t="shared" si="10"/>
        <v>0</v>
      </c>
      <c r="W29" s="39">
        <f t="shared" si="11"/>
        <v>0</v>
      </c>
      <c r="X29" s="61">
        <f t="shared" si="10"/>
        <v>0</v>
      </c>
      <c r="Y29" s="39">
        <f t="shared" si="11"/>
        <v>0</v>
      </c>
      <c r="Z29" s="61">
        <f t="shared" si="10"/>
        <v>0</v>
      </c>
      <c r="AA29" s="39">
        <f t="shared" si="11"/>
        <v>0</v>
      </c>
      <c r="AB29" s="61">
        <f t="shared" si="10"/>
        <v>0</v>
      </c>
      <c r="AC29" s="39">
        <f t="shared" si="11"/>
        <v>0</v>
      </c>
      <c r="AD29" s="61">
        <f t="shared" ref="AD29:AI29" si="12">SUM(AD27:AD28)</f>
        <v>0</v>
      </c>
      <c r="AE29" s="39">
        <f t="shared" si="12"/>
        <v>0</v>
      </c>
      <c r="AF29" s="61">
        <f t="shared" si="12"/>
        <v>0</v>
      </c>
      <c r="AG29" s="39">
        <f t="shared" si="12"/>
        <v>0</v>
      </c>
      <c r="AH29" s="61">
        <f t="shared" si="12"/>
        <v>0</v>
      </c>
      <c r="AI29" s="39">
        <f t="shared" si="12"/>
        <v>0</v>
      </c>
      <c r="AJ29" s="61">
        <f t="shared" ref="AJ29:AO29" si="13">SUM(AJ27:AJ28)</f>
        <v>0</v>
      </c>
      <c r="AK29" s="39">
        <f t="shared" si="13"/>
        <v>0</v>
      </c>
      <c r="AL29" s="61">
        <f t="shared" si="13"/>
        <v>0</v>
      </c>
      <c r="AM29" s="39">
        <f t="shared" si="13"/>
        <v>0</v>
      </c>
      <c r="AN29" s="61">
        <f t="shared" si="13"/>
        <v>0</v>
      </c>
      <c r="AO29" s="39">
        <f t="shared" si="13"/>
        <v>0</v>
      </c>
      <c r="AP29" s="61">
        <f>SUM(AP27:AP28)</f>
        <v>0</v>
      </c>
      <c r="AQ29" s="39">
        <f>SUM(AQ27:AQ28)</f>
        <v>0</v>
      </c>
      <c r="AR29" s="61">
        <f>SUM(AR27:AR28)</f>
        <v>0</v>
      </c>
      <c r="AS29" s="39">
        <f>SUM(AS27:AS28)</f>
        <v>0</v>
      </c>
    </row>
    <row r="30" spans="1:4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</row>
    <row r="31" spans="1:4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</row>
    <row r="32" spans="1:45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SUM(F32,H32,J32,L32,N32,P32,R32,T32,V32,X32,Z32,AB32,AD32,AF32,AH32,AJ32,AL32,AN32,AP32,AR32)</f>
        <v>0</v>
      </c>
      <c r="E32" s="38">
        <f t="shared" si="14"/>
        <v>0</v>
      </c>
      <c r="F32" s="64">
        <f>'TIE-OUT'!V32+RECLASS!V32</f>
        <v>0</v>
      </c>
      <c r="G32" s="68">
        <f>'TIE-OUT'!W32+RECLASS!W32</f>
        <v>0</v>
      </c>
      <c r="H32" s="60">
        <v>1160478</v>
      </c>
      <c r="I32" s="38">
        <v>2063330</v>
      </c>
      <c r="J32" s="60">
        <v>-1160478</v>
      </c>
      <c r="K32" s="153">
        <v>-2063330</v>
      </c>
      <c r="L32" s="60">
        <v>-677654</v>
      </c>
      <c r="M32" s="38">
        <v>-1585710</v>
      </c>
      <c r="N32" s="60">
        <v>677654</v>
      </c>
      <c r="O32" s="38">
        <v>1585710</v>
      </c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  <c r="AR32" s="60"/>
      <c r="AS32" s="38"/>
    </row>
    <row r="33" spans="1:45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  <c r="AR33" s="60"/>
      <c r="AS33" s="38"/>
    </row>
    <row r="34" spans="1:45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  <c r="AR34" s="60"/>
      <c r="AS34" s="38"/>
    </row>
    <row r="35" spans="1:45" x14ac:dyDescent="0.2">
      <c r="A35" s="9">
        <v>16</v>
      </c>
      <c r="B35" s="7"/>
      <c r="C35" s="18" t="s">
        <v>46</v>
      </c>
      <c r="D35" s="60">
        <f t="shared" si="14"/>
        <v>1120823</v>
      </c>
      <c r="E35" s="38">
        <f t="shared" si="14"/>
        <v>1992263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>
        <v>1120823</v>
      </c>
      <c r="S35" s="38">
        <v>1992263</v>
      </c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  <c r="AR35" s="60"/>
      <c r="AS35" s="38"/>
    </row>
    <row r="36" spans="1:45" x14ac:dyDescent="0.2">
      <c r="A36" s="9"/>
      <c r="B36" s="7" t="s">
        <v>47</v>
      </c>
      <c r="C36" s="6"/>
      <c r="D36" s="61">
        <f>SUM(D32:D35)</f>
        <v>1120823</v>
      </c>
      <c r="E36" s="39">
        <f>SUM(E32:E35)</f>
        <v>1992263</v>
      </c>
      <c r="F36" s="61">
        <f t="shared" ref="F36:AB36" si="15">SUM(F32:F35)</f>
        <v>0</v>
      </c>
      <c r="G36" s="39">
        <f t="shared" si="15"/>
        <v>0</v>
      </c>
      <c r="H36" s="61">
        <f t="shared" si="15"/>
        <v>1160478</v>
      </c>
      <c r="I36" s="39">
        <f t="shared" si="15"/>
        <v>2063330</v>
      </c>
      <c r="J36" s="61">
        <f t="shared" si="15"/>
        <v>-1160478</v>
      </c>
      <c r="K36" s="154">
        <f t="shared" si="15"/>
        <v>-2063330</v>
      </c>
      <c r="L36" s="61">
        <f t="shared" si="15"/>
        <v>-677654</v>
      </c>
      <c r="M36" s="39">
        <f t="shared" si="15"/>
        <v>-1585710</v>
      </c>
      <c r="N36" s="61">
        <f t="shared" si="15"/>
        <v>677654</v>
      </c>
      <c r="O36" s="39">
        <f t="shared" si="15"/>
        <v>1585710</v>
      </c>
      <c r="P36" s="61">
        <f t="shared" si="15"/>
        <v>0</v>
      </c>
      <c r="Q36" s="39">
        <f t="shared" si="15"/>
        <v>0</v>
      </c>
      <c r="R36" s="61">
        <f t="shared" si="15"/>
        <v>1120823</v>
      </c>
      <c r="S36" s="39">
        <f t="shared" si="15"/>
        <v>1992263</v>
      </c>
      <c r="T36" s="61">
        <f t="shared" si="15"/>
        <v>0</v>
      </c>
      <c r="U36" s="39">
        <f t="shared" ref="U36:AC36" si="16">SUM(U32:U35)</f>
        <v>0</v>
      </c>
      <c r="V36" s="61">
        <f t="shared" si="15"/>
        <v>0</v>
      </c>
      <c r="W36" s="39">
        <f t="shared" si="16"/>
        <v>0</v>
      </c>
      <c r="X36" s="61">
        <f t="shared" si="15"/>
        <v>0</v>
      </c>
      <c r="Y36" s="39">
        <f t="shared" si="16"/>
        <v>0</v>
      </c>
      <c r="Z36" s="61">
        <f t="shared" si="15"/>
        <v>0</v>
      </c>
      <c r="AA36" s="39">
        <f t="shared" si="16"/>
        <v>0</v>
      </c>
      <c r="AB36" s="61">
        <f t="shared" si="15"/>
        <v>0</v>
      </c>
      <c r="AC36" s="39">
        <f t="shared" si="16"/>
        <v>0</v>
      </c>
      <c r="AD36" s="61">
        <f t="shared" ref="AD36:AI36" si="17">SUM(AD32:AD35)</f>
        <v>0</v>
      </c>
      <c r="AE36" s="39">
        <f t="shared" si="17"/>
        <v>0</v>
      </c>
      <c r="AF36" s="61">
        <f t="shared" si="17"/>
        <v>0</v>
      </c>
      <c r="AG36" s="39">
        <f t="shared" si="17"/>
        <v>0</v>
      </c>
      <c r="AH36" s="61">
        <f t="shared" si="17"/>
        <v>0</v>
      </c>
      <c r="AI36" s="39">
        <f t="shared" si="17"/>
        <v>0</v>
      </c>
      <c r="AJ36" s="61">
        <f t="shared" ref="AJ36:AO36" si="18">SUM(AJ32:AJ35)</f>
        <v>0</v>
      </c>
      <c r="AK36" s="39">
        <f t="shared" si="18"/>
        <v>0</v>
      </c>
      <c r="AL36" s="61">
        <f t="shared" si="18"/>
        <v>0</v>
      </c>
      <c r="AM36" s="39">
        <f t="shared" si="18"/>
        <v>0</v>
      </c>
      <c r="AN36" s="61">
        <f t="shared" si="18"/>
        <v>0</v>
      </c>
      <c r="AO36" s="39">
        <f t="shared" si="18"/>
        <v>0</v>
      </c>
      <c r="AP36" s="61">
        <f>SUM(AP32:AP35)</f>
        <v>0</v>
      </c>
      <c r="AQ36" s="39">
        <f>SUM(AQ32:AQ35)</f>
        <v>0</v>
      </c>
      <c r="AR36" s="61">
        <f>SUM(AR32:AR35)</f>
        <v>0</v>
      </c>
      <c r="AS36" s="39">
        <f>SUM(AS32:AS35)</f>
        <v>0</v>
      </c>
    </row>
    <row r="37" spans="1:4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</row>
    <row r="38" spans="1:4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</row>
    <row r="39" spans="1:45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SUM(F39,H39,J39,L39,N39,P39,R39,T39,V39,X39,Z39,AB39,AD39,AF39,AH39,AJ39,AL39,AN39,AP39,AR39)</f>
        <v>0</v>
      </c>
      <c r="E39" s="38">
        <f t="shared" si="19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  <c r="AR39" s="60"/>
      <c r="AS39" s="38"/>
    </row>
    <row r="40" spans="1:45" ht="22.5" customHeight="1" x14ac:dyDescent="0.2">
      <c r="A40" s="9">
        <v>18</v>
      </c>
      <c r="B40" s="7"/>
      <c r="C40" s="18" t="s">
        <v>50</v>
      </c>
      <c r="D40" s="60">
        <f t="shared" si="19"/>
        <v>0</v>
      </c>
      <c r="E40" s="38">
        <f t="shared" si="19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  <c r="AR40" s="60"/>
      <c r="AS40" s="38"/>
    </row>
    <row r="41" spans="1:45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  <c r="AP41" s="60"/>
      <c r="AQ41" s="38"/>
      <c r="AR41" s="60"/>
      <c r="AS41" s="38"/>
    </row>
    <row r="42" spans="1:45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B42" si="20">SUM(F40:F41)</f>
        <v>0</v>
      </c>
      <c r="G42" s="39">
        <f t="shared" si="20"/>
        <v>0</v>
      </c>
      <c r="H42" s="61">
        <f t="shared" si="20"/>
        <v>0</v>
      </c>
      <c r="I42" s="39">
        <f t="shared" si="20"/>
        <v>0</v>
      </c>
      <c r="J42" s="61">
        <f t="shared" si="20"/>
        <v>0</v>
      </c>
      <c r="K42" s="154">
        <f t="shared" si="20"/>
        <v>0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ref="U42:AC42" si="21">SUM(U40:U41)</f>
        <v>0</v>
      </c>
      <c r="V42" s="61">
        <f t="shared" si="20"/>
        <v>0</v>
      </c>
      <c r="W42" s="39">
        <f t="shared" si="21"/>
        <v>0</v>
      </c>
      <c r="X42" s="61">
        <f t="shared" si="20"/>
        <v>0</v>
      </c>
      <c r="Y42" s="39">
        <f t="shared" si="21"/>
        <v>0</v>
      </c>
      <c r="Z42" s="61">
        <f t="shared" si="20"/>
        <v>0</v>
      </c>
      <c r="AA42" s="39">
        <f t="shared" si="21"/>
        <v>0</v>
      </c>
      <c r="AB42" s="61">
        <f t="shared" si="20"/>
        <v>0</v>
      </c>
      <c r="AC42" s="39">
        <f t="shared" si="21"/>
        <v>0</v>
      </c>
      <c r="AD42" s="61">
        <f t="shared" ref="AD42:AI42" si="22">SUM(AD40:AD41)</f>
        <v>0</v>
      </c>
      <c r="AE42" s="39">
        <f t="shared" si="22"/>
        <v>0</v>
      </c>
      <c r="AF42" s="61">
        <f t="shared" si="22"/>
        <v>0</v>
      </c>
      <c r="AG42" s="39">
        <f t="shared" si="22"/>
        <v>0</v>
      </c>
      <c r="AH42" s="61">
        <f t="shared" si="22"/>
        <v>0</v>
      </c>
      <c r="AI42" s="39">
        <f t="shared" si="22"/>
        <v>0</v>
      </c>
      <c r="AJ42" s="61">
        <f t="shared" ref="AJ42:AO42" si="23">SUM(AJ40:AJ41)</f>
        <v>0</v>
      </c>
      <c r="AK42" s="39">
        <f t="shared" si="23"/>
        <v>0</v>
      </c>
      <c r="AL42" s="61">
        <f t="shared" si="23"/>
        <v>0</v>
      </c>
      <c r="AM42" s="39">
        <f t="shared" si="23"/>
        <v>0</v>
      </c>
      <c r="AN42" s="61">
        <f t="shared" si="23"/>
        <v>0</v>
      </c>
      <c r="AO42" s="39">
        <f t="shared" si="23"/>
        <v>0</v>
      </c>
      <c r="AP42" s="61">
        <f>SUM(AP40:AP41)</f>
        <v>0</v>
      </c>
      <c r="AQ42" s="39">
        <f>SUM(AQ40:AQ41)</f>
        <v>0</v>
      </c>
      <c r="AR42" s="61">
        <f>SUM(AR40:AR41)</f>
        <v>0</v>
      </c>
      <c r="AS42" s="39">
        <f>SUM(AS40:AS41)</f>
        <v>0</v>
      </c>
    </row>
    <row r="43" spans="1:45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B43" si="24">F42+F39</f>
        <v>0</v>
      </c>
      <c r="G43" s="39">
        <f t="shared" si="24"/>
        <v>0</v>
      </c>
      <c r="H43" s="61">
        <f t="shared" si="24"/>
        <v>0</v>
      </c>
      <c r="I43" s="39">
        <f t="shared" si="24"/>
        <v>0</v>
      </c>
      <c r="J43" s="61">
        <f t="shared" si="24"/>
        <v>0</v>
      </c>
      <c r="K43" s="154">
        <f t="shared" si="24"/>
        <v>0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ref="U43:AC43" si="25">U42+U39</f>
        <v>0</v>
      </c>
      <c r="V43" s="61">
        <f t="shared" si="24"/>
        <v>0</v>
      </c>
      <c r="W43" s="39">
        <f t="shared" si="25"/>
        <v>0</v>
      </c>
      <c r="X43" s="61">
        <f t="shared" si="24"/>
        <v>0</v>
      </c>
      <c r="Y43" s="39">
        <f t="shared" si="25"/>
        <v>0</v>
      </c>
      <c r="Z43" s="61">
        <f t="shared" si="24"/>
        <v>0</v>
      </c>
      <c r="AA43" s="39">
        <f t="shared" si="25"/>
        <v>0</v>
      </c>
      <c r="AB43" s="61">
        <f t="shared" si="24"/>
        <v>0</v>
      </c>
      <c r="AC43" s="39">
        <f t="shared" si="25"/>
        <v>0</v>
      </c>
      <c r="AD43" s="61">
        <f t="shared" ref="AD43:AI43" si="26">AD42+AD39</f>
        <v>0</v>
      </c>
      <c r="AE43" s="39">
        <f t="shared" si="26"/>
        <v>0</v>
      </c>
      <c r="AF43" s="61">
        <f t="shared" si="26"/>
        <v>0</v>
      </c>
      <c r="AG43" s="39">
        <f t="shared" si="26"/>
        <v>0</v>
      </c>
      <c r="AH43" s="61">
        <f t="shared" si="26"/>
        <v>0</v>
      </c>
      <c r="AI43" s="39">
        <f t="shared" si="26"/>
        <v>0</v>
      </c>
      <c r="AJ43" s="61">
        <f t="shared" ref="AJ43:AO43" si="27">AJ42+AJ39</f>
        <v>0</v>
      </c>
      <c r="AK43" s="39">
        <f t="shared" si="27"/>
        <v>0</v>
      </c>
      <c r="AL43" s="61">
        <f t="shared" si="27"/>
        <v>0</v>
      </c>
      <c r="AM43" s="39">
        <f t="shared" si="27"/>
        <v>0</v>
      </c>
      <c r="AN43" s="61">
        <f t="shared" si="27"/>
        <v>0</v>
      </c>
      <c r="AO43" s="39">
        <f t="shared" si="27"/>
        <v>0</v>
      </c>
      <c r="AP43" s="61">
        <f>AP42+AP39</f>
        <v>0</v>
      </c>
      <c r="AQ43" s="39">
        <f>AQ42+AQ39</f>
        <v>0</v>
      </c>
      <c r="AR43" s="61">
        <f>AR42+AR39</f>
        <v>0</v>
      </c>
      <c r="AS43" s="39">
        <f>AS42+AS39</f>
        <v>0</v>
      </c>
    </row>
    <row r="44" spans="1:4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</row>
    <row r="45" spans="1:45" x14ac:dyDescent="0.2">
      <c r="A45" s="9">
        <v>20</v>
      </c>
      <c r="B45" s="11" t="s">
        <v>54</v>
      </c>
      <c r="C45" s="6"/>
      <c r="D45" s="60">
        <f t="shared" ref="D45:E47" si="28">SUM(F45,H45,J45,L45,N45,P45,R45,T45,V45,X45,Z45,AB45,AD45,AF45,AH45,AJ45,AL45,AN45,AP45,AR45)</f>
        <v>0</v>
      </c>
      <c r="E45" s="38">
        <f t="shared" si="28"/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  <c r="AR45" s="60"/>
      <c r="AS45" s="38"/>
    </row>
    <row r="46" spans="1:45" x14ac:dyDescent="0.2">
      <c r="A46" s="9"/>
      <c r="B46" s="11"/>
      <c r="C46" s="6"/>
      <c r="D46" s="60">
        <f t="shared" si="28"/>
        <v>0</v>
      </c>
      <c r="E46" s="38">
        <f t="shared" si="28"/>
        <v>0</v>
      </c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</row>
    <row r="47" spans="1:45" x14ac:dyDescent="0.2">
      <c r="A47" s="9">
        <v>21</v>
      </c>
      <c r="B47" s="11" t="s">
        <v>55</v>
      </c>
      <c r="C47" s="6"/>
      <c r="D47" s="60">
        <f t="shared" si="28"/>
        <v>0</v>
      </c>
      <c r="E47" s="38">
        <f t="shared" si="28"/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  <c r="AR47" s="60"/>
      <c r="AS47" s="38"/>
    </row>
    <row r="48" spans="1:4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</row>
    <row r="49" spans="1:45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SUM(F49,H49,J49,L49,N49,P49,R49,T49,V49,X49,Z49,AB49,AD49,AF49,AH49,AJ49,AL49,AN49,AP49,AR49)</f>
        <v>1521149</v>
      </c>
      <c r="E49" s="38">
        <f>SUM(G49,I49,K49,M49,O49,Q49,S49,U49,W49,Y49,AA49,AC49,AE49,AG49,AI49,AK49,AM49,AO49,AQ49,AS49)</f>
        <v>2704603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1653632</v>
      </c>
      <c r="K49" s="153">
        <v>2940158</v>
      </c>
      <c r="L49" s="60">
        <v>677094</v>
      </c>
      <c r="M49" s="38">
        <v>1203873</v>
      </c>
      <c r="N49" s="60">
        <v>-677654</v>
      </c>
      <c r="O49" s="38">
        <v>-1204869</v>
      </c>
      <c r="P49" s="60">
        <v>0</v>
      </c>
      <c r="Q49" s="38">
        <v>0</v>
      </c>
      <c r="R49" s="60">
        <v>-131923</v>
      </c>
      <c r="S49" s="38">
        <v>-234559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  <c r="AR49" s="60">
        <v>0</v>
      </c>
      <c r="AS49" s="38">
        <v>0</v>
      </c>
    </row>
    <row r="50" spans="1:4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</row>
    <row r="51" spans="1:45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SUM(F51,H51,J51,L51,N51,P51,R51,T51,V51,X51,Z51,AB51,AD51,AF51,AH51,AJ51,AL51,AN51,AP51,AR51)</f>
        <v>0</v>
      </c>
      <c r="E51" s="38">
        <f>SUM(G51,I51,K51,M51,O51,Q51,S51,U51,W51,Y51,AA51,AC51,AE51,AG51,AI51,AK51,AM51,AO51,AQ51,AS51)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</row>
    <row r="52" spans="1:4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</row>
    <row r="53" spans="1:4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</row>
    <row r="54" spans="1:45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SUM(F54,H54,J54,L54,N54,P54,R54,T54,V54,X54,Z54,AB54,AD54,AF54,AH54,AJ54,AL54,AN54,AP54,AR54)</f>
        <v>0</v>
      </c>
      <c r="E54" s="38">
        <f>SUM(G54,I54,K54,M54,O54,Q54,S54,U54,W54,Y54,AA54,AC54,AE54,AG54,AI54,AK54,AM54,AO54,AQ54,AS54)</f>
        <v>-654685</v>
      </c>
      <c r="F54" s="64">
        <f>'TIE-OUT'!V54+RECLASS!V54</f>
        <v>0</v>
      </c>
      <c r="G54" s="68">
        <f>'TIE-OUT'!W54+RECLASS!W54</f>
        <v>-25573</v>
      </c>
      <c r="H54" s="60"/>
      <c r="I54" s="38">
        <v>-620000</v>
      </c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>
        <v>-9112</v>
      </c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  <c r="AR54" s="60"/>
      <c r="AS54" s="38"/>
    </row>
    <row r="55" spans="1:45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SUM(F55,H55,J55,L55,N55,P55,R55,T55,V55,X55,Z55,AB55,AD55,AF55,AH55,AJ55,AL55,AN55,AP55,AR55)</f>
        <v>0</v>
      </c>
      <c r="E55" s="38">
        <f>SUM(G55,I55,K55,M55,O55,Q55,S55,U55,W55,Y55,AA55,AC55,AE55,AG55,AI55,AK55,AM55,AO55,AQ55,AS55)</f>
        <v>-9114</v>
      </c>
      <c r="F55" s="81">
        <f>'TIE-OUT'!V55+RECLASS!V55</f>
        <v>0</v>
      </c>
      <c r="G55" s="82">
        <f>'TIE-OUT'!W55+RECLASS!W55</f>
        <v>-9114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  <c r="AR55" s="60"/>
      <c r="AS55" s="38"/>
    </row>
    <row r="56" spans="1:4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-663799</v>
      </c>
      <c r="F56" s="61">
        <f t="shared" ref="F56:AB56" si="29">SUM(F54:F55)</f>
        <v>0</v>
      </c>
      <c r="G56" s="39">
        <f t="shared" si="29"/>
        <v>-34687</v>
      </c>
      <c r="H56" s="61">
        <f t="shared" si="29"/>
        <v>0</v>
      </c>
      <c r="I56" s="39">
        <f t="shared" si="29"/>
        <v>-620000</v>
      </c>
      <c r="J56" s="61">
        <f t="shared" si="29"/>
        <v>0</v>
      </c>
      <c r="K56" s="154">
        <f t="shared" si="29"/>
        <v>0</v>
      </c>
      <c r="L56" s="61">
        <f t="shared" si="29"/>
        <v>0</v>
      </c>
      <c r="M56" s="39">
        <f t="shared" si="29"/>
        <v>0</v>
      </c>
      <c r="N56" s="61">
        <f t="shared" si="29"/>
        <v>0</v>
      </c>
      <c r="O56" s="39">
        <f t="shared" si="29"/>
        <v>0</v>
      </c>
      <c r="P56" s="61">
        <f t="shared" si="29"/>
        <v>0</v>
      </c>
      <c r="Q56" s="39">
        <f t="shared" si="29"/>
        <v>0</v>
      </c>
      <c r="R56" s="61">
        <f t="shared" si="29"/>
        <v>0</v>
      </c>
      <c r="S56" s="39">
        <f t="shared" si="29"/>
        <v>0</v>
      </c>
      <c r="T56" s="61">
        <f t="shared" si="29"/>
        <v>0</v>
      </c>
      <c r="U56" s="39">
        <f t="shared" ref="U56:AC56" si="30">SUM(U54:U55)</f>
        <v>-9112</v>
      </c>
      <c r="V56" s="61">
        <f t="shared" si="29"/>
        <v>0</v>
      </c>
      <c r="W56" s="39">
        <f t="shared" si="30"/>
        <v>0</v>
      </c>
      <c r="X56" s="61">
        <f t="shared" si="29"/>
        <v>0</v>
      </c>
      <c r="Y56" s="39">
        <f t="shared" si="30"/>
        <v>0</v>
      </c>
      <c r="Z56" s="61">
        <f t="shared" si="29"/>
        <v>0</v>
      </c>
      <c r="AA56" s="39">
        <f t="shared" si="30"/>
        <v>0</v>
      </c>
      <c r="AB56" s="61">
        <f t="shared" si="29"/>
        <v>0</v>
      </c>
      <c r="AC56" s="39">
        <f t="shared" si="30"/>
        <v>0</v>
      </c>
      <c r="AD56" s="61">
        <f t="shared" ref="AD56:AI56" si="31">SUM(AD54:AD55)</f>
        <v>0</v>
      </c>
      <c r="AE56" s="39">
        <f t="shared" si="31"/>
        <v>0</v>
      </c>
      <c r="AF56" s="61">
        <f t="shared" si="31"/>
        <v>0</v>
      </c>
      <c r="AG56" s="39">
        <f t="shared" si="31"/>
        <v>0</v>
      </c>
      <c r="AH56" s="61">
        <f t="shared" si="31"/>
        <v>0</v>
      </c>
      <c r="AI56" s="39">
        <f t="shared" si="31"/>
        <v>0</v>
      </c>
      <c r="AJ56" s="61">
        <f t="shared" ref="AJ56:AO56" si="32">SUM(AJ54:AJ55)</f>
        <v>0</v>
      </c>
      <c r="AK56" s="39">
        <f t="shared" si="32"/>
        <v>0</v>
      </c>
      <c r="AL56" s="61">
        <f t="shared" si="32"/>
        <v>0</v>
      </c>
      <c r="AM56" s="39">
        <f t="shared" si="32"/>
        <v>0</v>
      </c>
      <c r="AN56" s="61">
        <f t="shared" si="32"/>
        <v>0</v>
      </c>
      <c r="AO56" s="39">
        <f t="shared" si="32"/>
        <v>0</v>
      </c>
      <c r="AP56" s="61">
        <f>SUM(AP54:AP55)</f>
        <v>0</v>
      </c>
      <c r="AQ56" s="39">
        <f>SUM(AQ54:AQ55)</f>
        <v>0</v>
      </c>
      <c r="AR56" s="61">
        <f>SUM(AR54:AR55)</f>
        <v>0</v>
      </c>
      <c r="AS56" s="39">
        <f>SUM(AS54:AS55)</f>
        <v>0</v>
      </c>
    </row>
    <row r="57" spans="1:4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</row>
    <row r="58" spans="1:4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</row>
    <row r="59" spans="1:45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SUM(F59,H59,J59,L59,N59,P59,R59,T59,V59,X59,Z59,AB59,AD59,AF59,AH59,AJ59,AL59,AN59,AP59,AR59)</f>
        <v>0</v>
      </c>
      <c r="E59" s="38">
        <f>SUM(G59,I59,K59,M59,O59,Q59,S59,U59,W59,Y59,AA59,AC59,AE59,AG59,AI59,AK59,AM59,AO59,AQ59,AS59)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  <c r="AR59" s="60"/>
      <c r="AS59" s="38"/>
    </row>
    <row r="60" spans="1:45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SUM(F60,H60,J60,L60,N60,P60,R60,T60,V60,X60,Z60,AB60,AD60,AF60,AH60,AJ60,AL60,AN60,AP60,AR60)</f>
        <v>0</v>
      </c>
      <c r="E60" s="38">
        <f>SUM(G60,I60,K60,M60,O60,Q60,S60,U60,W60,Y60,AA60,AC60,AE60,AG60,AI60,AK60,AM60,AO60,AQ60,AS60)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  <c r="AR60" s="60"/>
      <c r="AS60" s="38"/>
    </row>
    <row r="61" spans="1:4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B61" si="33">SUM(F59:F60)</f>
        <v>0</v>
      </c>
      <c r="G61" s="39">
        <f t="shared" si="33"/>
        <v>0</v>
      </c>
      <c r="H61" s="61">
        <f t="shared" si="33"/>
        <v>0</v>
      </c>
      <c r="I61" s="39">
        <f t="shared" si="33"/>
        <v>0</v>
      </c>
      <c r="J61" s="61">
        <f t="shared" si="33"/>
        <v>0</v>
      </c>
      <c r="K61" s="154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ref="U61:AC61" si="34">SUM(U59:U60)</f>
        <v>0</v>
      </c>
      <c r="V61" s="61">
        <f t="shared" si="33"/>
        <v>0</v>
      </c>
      <c r="W61" s="39">
        <f t="shared" si="34"/>
        <v>0</v>
      </c>
      <c r="X61" s="61">
        <f t="shared" si="33"/>
        <v>0</v>
      </c>
      <c r="Y61" s="39">
        <f t="shared" si="34"/>
        <v>0</v>
      </c>
      <c r="Z61" s="61">
        <f t="shared" si="33"/>
        <v>0</v>
      </c>
      <c r="AA61" s="39">
        <f t="shared" si="34"/>
        <v>0</v>
      </c>
      <c r="AB61" s="61">
        <f t="shared" si="33"/>
        <v>0</v>
      </c>
      <c r="AC61" s="39">
        <f t="shared" si="34"/>
        <v>0</v>
      </c>
      <c r="AD61" s="61">
        <f t="shared" ref="AD61:AI61" si="35">SUM(AD59:AD60)</f>
        <v>0</v>
      </c>
      <c r="AE61" s="39">
        <f t="shared" si="35"/>
        <v>0</v>
      </c>
      <c r="AF61" s="61">
        <f t="shared" si="35"/>
        <v>0</v>
      </c>
      <c r="AG61" s="39">
        <f t="shared" si="35"/>
        <v>0</v>
      </c>
      <c r="AH61" s="61">
        <f t="shared" si="35"/>
        <v>0</v>
      </c>
      <c r="AI61" s="39">
        <f t="shared" si="35"/>
        <v>0</v>
      </c>
      <c r="AJ61" s="61">
        <f t="shared" ref="AJ61:AO61" si="36">SUM(AJ59:AJ60)</f>
        <v>0</v>
      </c>
      <c r="AK61" s="39">
        <f t="shared" si="36"/>
        <v>0</v>
      </c>
      <c r="AL61" s="61">
        <f t="shared" si="36"/>
        <v>0</v>
      </c>
      <c r="AM61" s="39">
        <f t="shared" si="36"/>
        <v>0</v>
      </c>
      <c r="AN61" s="61">
        <f t="shared" si="36"/>
        <v>0</v>
      </c>
      <c r="AO61" s="39">
        <f t="shared" si="36"/>
        <v>0</v>
      </c>
      <c r="AP61" s="61">
        <f>SUM(AP59:AP60)</f>
        <v>0</v>
      </c>
      <c r="AQ61" s="39">
        <f>SUM(AQ59:AQ60)</f>
        <v>0</v>
      </c>
      <c r="AR61" s="61">
        <f>SUM(AR59:AR60)</f>
        <v>0</v>
      </c>
      <c r="AS61" s="39">
        <f>SUM(AS59:AS60)</f>
        <v>0</v>
      </c>
    </row>
    <row r="62" spans="1:4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</row>
    <row r="63" spans="1:45" x14ac:dyDescent="0.2">
      <c r="A63" s="9"/>
      <c r="B63" s="86" t="s">
        <v>38</v>
      </c>
      <c r="C63" s="6"/>
      <c r="D63" s="60">
        <f t="shared" ref="D63:E65" si="37">SUM(F63,H63,J63,L63,N63,P63,R63,T63,V63,X63,Z63,AB63,AD63,AF63,AH63,AJ63,AL63,AN63,AP63,AR63)</f>
        <v>0</v>
      </c>
      <c r="E63" s="38">
        <f t="shared" si="37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</row>
    <row r="64" spans="1:45" x14ac:dyDescent="0.2">
      <c r="A64" s="9">
        <v>28</v>
      </c>
      <c r="B64" s="7"/>
      <c r="C64" s="18" t="s">
        <v>66</v>
      </c>
      <c r="D64" s="60">
        <f t="shared" si="37"/>
        <v>0</v>
      </c>
      <c r="E64" s="38">
        <f t="shared" si="37"/>
        <v>620000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>
        <v>620000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</row>
    <row r="65" spans="1:45" x14ac:dyDescent="0.2">
      <c r="A65" s="9">
        <v>29</v>
      </c>
      <c r="B65" s="11"/>
      <c r="C65" s="18" t="s">
        <v>67</v>
      </c>
      <c r="D65" s="60">
        <f t="shared" si="37"/>
        <v>0</v>
      </c>
      <c r="E65" s="38">
        <f t="shared" si="37"/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</row>
    <row r="66" spans="1:45" x14ac:dyDescent="0.2">
      <c r="A66" s="9"/>
      <c r="B66" s="7" t="s">
        <v>68</v>
      </c>
      <c r="C66" s="6"/>
      <c r="D66" s="61">
        <f>SUM(D64:D65)</f>
        <v>0</v>
      </c>
      <c r="E66" s="39">
        <f>SUM(E64:E65)</f>
        <v>620000</v>
      </c>
      <c r="F66" s="61">
        <f t="shared" ref="F66:AB66" si="38">SUM(F64:F65)</f>
        <v>0</v>
      </c>
      <c r="G66" s="39">
        <f t="shared" si="38"/>
        <v>0</v>
      </c>
      <c r="H66" s="61">
        <f t="shared" si="38"/>
        <v>0</v>
      </c>
      <c r="I66" s="39">
        <f t="shared" si="38"/>
        <v>0</v>
      </c>
      <c r="J66" s="61">
        <f t="shared" si="38"/>
        <v>0</v>
      </c>
      <c r="K66" s="154">
        <f t="shared" si="38"/>
        <v>620000</v>
      </c>
      <c r="L66" s="61">
        <f t="shared" si="38"/>
        <v>0</v>
      </c>
      <c r="M66" s="39">
        <f t="shared" si="38"/>
        <v>0</v>
      </c>
      <c r="N66" s="61">
        <f t="shared" si="38"/>
        <v>0</v>
      </c>
      <c r="O66" s="39">
        <f t="shared" si="38"/>
        <v>0</v>
      </c>
      <c r="P66" s="61">
        <f t="shared" si="38"/>
        <v>0</v>
      </c>
      <c r="Q66" s="39">
        <f t="shared" si="38"/>
        <v>0</v>
      </c>
      <c r="R66" s="61">
        <f t="shared" si="38"/>
        <v>0</v>
      </c>
      <c r="S66" s="39">
        <f t="shared" si="38"/>
        <v>0</v>
      </c>
      <c r="T66" s="61">
        <f t="shared" si="38"/>
        <v>0</v>
      </c>
      <c r="U66" s="39">
        <f t="shared" ref="U66:AC66" si="39">SUM(U64:U65)</f>
        <v>0</v>
      </c>
      <c r="V66" s="61">
        <f t="shared" si="38"/>
        <v>0</v>
      </c>
      <c r="W66" s="39">
        <f t="shared" si="39"/>
        <v>0</v>
      </c>
      <c r="X66" s="61">
        <f t="shared" si="38"/>
        <v>0</v>
      </c>
      <c r="Y66" s="39">
        <f t="shared" si="39"/>
        <v>0</v>
      </c>
      <c r="Z66" s="61">
        <f t="shared" si="38"/>
        <v>0</v>
      </c>
      <c r="AA66" s="39">
        <f t="shared" si="39"/>
        <v>0</v>
      </c>
      <c r="AB66" s="61">
        <f t="shared" si="38"/>
        <v>0</v>
      </c>
      <c r="AC66" s="39">
        <f t="shared" si="39"/>
        <v>0</v>
      </c>
      <c r="AD66" s="61">
        <f t="shared" ref="AD66:AI66" si="40">SUM(AD64:AD65)</f>
        <v>0</v>
      </c>
      <c r="AE66" s="39">
        <f t="shared" si="40"/>
        <v>0</v>
      </c>
      <c r="AF66" s="61">
        <f t="shared" si="40"/>
        <v>0</v>
      </c>
      <c r="AG66" s="39">
        <f t="shared" si="40"/>
        <v>0</v>
      </c>
      <c r="AH66" s="61">
        <f t="shared" si="40"/>
        <v>0</v>
      </c>
      <c r="AI66" s="39">
        <f t="shared" si="40"/>
        <v>0</v>
      </c>
      <c r="AJ66" s="61">
        <f t="shared" ref="AJ66:AO66" si="41">SUM(AJ64:AJ65)</f>
        <v>0</v>
      </c>
      <c r="AK66" s="39">
        <f t="shared" si="41"/>
        <v>0</v>
      </c>
      <c r="AL66" s="61">
        <f t="shared" si="41"/>
        <v>0</v>
      </c>
      <c r="AM66" s="39">
        <f t="shared" si="41"/>
        <v>0</v>
      </c>
      <c r="AN66" s="61">
        <f t="shared" si="41"/>
        <v>0</v>
      </c>
      <c r="AO66" s="39">
        <f t="shared" si="41"/>
        <v>0</v>
      </c>
      <c r="AP66" s="61">
        <f>SUM(AP64:AP65)</f>
        <v>0</v>
      </c>
      <c r="AQ66" s="39">
        <f>SUM(AQ64:AQ65)</f>
        <v>0</v>
      </c>
      <c r="AR66" s="61">
        <f>SUM(AR64:AR65)</f>
        <v>0</v>
      </c>
      <c r="AS66" s="39">
        <f>SUM(AS64:AS65)</f>
        <v>0</v>
      </c>
    </row>
    <row r="67" spans="1:4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</row>
    <row r="68" spans="1:4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</row>
    <row r="69" spans="1:4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</row>
    <row r="70" spans="1:45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SUM(F70,H70,J70,L70,N70,P70,R70,T70,V70,X70,Z70,AB70,AD70,AF70,AH70,AJ70,AL70,AN70,AP70,AR70)</f>
        <v>0</v>
      </c>
      <c r="E70" s="38">
        <f>SUM(G70,I70,K70,M70,O70,Q70,S70,U70,W70,Y70,AA70,AC70,AE70,AG70,AI70,AK70,AM70,AO70,AQ70,AS70)</f>
        <v>113999</v>
      </c>
      <c r="F70" s="64">
        <f>'TIE-OUT'!V70+RECLASS!V70</f>
        <v>0</v>
      </c>
      <c r="G70" s="68">
        <f>'TIE-OUT'!W70+RECLASS!W70</f>
        <v>113999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  <c r="AR70" s="60"/>
      <c r="AS70" s="38"/>
    </row>
    <row r="71" spans="1:45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SUM(F71,H71,J71,L71,N71,P71,R71,T71,V71,X71,Z71,AB71,AD71,AF71,AH71,AJ71,AL71,AN71,AP71,AR71)</f>
        <v>0</v>
      </c>
      <c r="E71" s="38">
        <f>SUM(G71,I71,K71,M71,O71,Q71,S71,U71,W71,Y71,AA71,AC71,AE71,AG71,AI71,AK71,AM71,AO71,AQ71,AS71)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  <c r="AR71" s="60"/>
      <c r="AS71" s="38"/>
    </row>
    <row r="72" spans="1:45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113999</v>
      </c>
      <c r="F72" s="61">
        <f t="shared" ref="F72:AB72" si="42">SUM(F70:F71)</f>
        <v>0</v>
      </c>
      <c r="G72" s="39">
        <f t="shared" si="42"/>
        <v>113999</v>
      </c>
      <c r="H72" s="61">
        <f t="shared" si="42"/>
        <v>0</v>
      </c>
      <c r="I72" s="39">
        <f t="shared" si="42"/>
        <v>0</v>
      </c>
      <c r="J72" s="61">
        <f t="shared" si="42"/>
        <v>0</v>
      </c>
      <c r="K72" s="154">
        <f t="shared" si="42"/>
        <v>0</v>
      </c>
      <c r="L72" s="61">
        <f t="shared" si="42"/>
        <v>0</v>
      </c>
      <c r="M72" s="39">
        <f t="shared" si="42"/>
        <v>0</v>
      </c>
      <c r="N72" s="61">
        <f t="shared" si="42"/>
        <v>0</v>
      </c>
      <c r="O72" s="39">
        <f t="shared" si="42"/>
        <v>0</v>
      </c>
      <c r="P72" s="61">
        <f t="shared" si="42"/>
        <v>0</v>
      </c>
      <c r="Q72" s="39">
        <f t="shared" si="42"/>
        <v>0</v>
      </c>
      <c r="R72" s="61">
        <f t="shared" si="42"/>
        <v>0</v>
      </c>
      <c r="S72" s="39">
        <f t="shared" si="42"/>
        <v>0</v>
      </c>
      <c r="T72" s="61">
        <f t="shared" si="42"/>
        <v>0</v>
      </c>
      <c r="U72" s="39">
        <f t="shared" ref="U72:AC72" si="43">SUM(U70:U71)</f>
        <v>0</v>
      </c>
      <c r="V72" s="61">
        <f t="shared" si="42"/>
        <v>0</v>
      </c>
      <c r="W72" s="39">
        <f t="shared" si="43"/>
        <v>0</v>
      </c>
      <c r="X72" s="61">
        <f t="shared" si="42"/>
        <v>0</v>
      </c>
      <c r="Y72" s="39">
        <f t="shared" si="43"/>
        <v>0</v>
      </c>
      <c r="Z72" s="61">
        <f t="shared" si="42"/>
        <v>0</v>
      </c>
      <c r="AA72" s="39">
        <f t="shared" si="43"/>
        <v>0</v>
      </c>
      <c r="AB72" s="61">
        <f t="shared" si="42"/>
        <v>0</v>
      </c>
      <c r="AC72" s="39">
        <f t="shared" si="43"/>
        <v>0</v>
      </c>
      <c r="AD72" s="61">
        <f t="shared" ref="AD72:AI72" si="44">SUM(AD70:AD71)</f>
        <v>0</v>
      </c>
      <c r="AE72" s="39">
        <f t="shared" si="44"/>
        <v>0</v>
      </c>
      <c r="AF72" s="61">
        <f t="shared" si="44"/>
        <v>0</v>
      </c>
      <c r="AG72" s="39">
        <f t="shared" si="44"/>
        <v>0</v>
      </c>
      <c r="AH72" s="61">
        <f t="shared" si="44"/>
        <v>0</v>
      </c>
      <c r="AI72" s="39">
        <f t="shared" si="44"/>
        <v>0</v>
      </c>
      <c r="AJ72" s="61">
        <f t="shared" ref="AJ72:AO72" si="45">SUM(AJ70:AJ71)</f>
        <v>0</v>
      </c>
      <c r="AK72" s="39">
        <f t="shared" si="45"/>
        <v>0</v>
      </c>
      <c r="AL72" s="61">
        <f t="shared" si="45"/>
        <v>0</v>
      </c>
      <c r="AM72" s="39">
        <f t="shared" si="45"/>
        <v>0</v>
      </c>
      <c r="AN72" s="61">
        <f t="shared" si="45"/>
        <v>0</v>
      </c>
      <c r="AO72" s="39">
        <f t="shared" si="45"/>
        <v>0</v>
      </c>
      <c r="AP72" s="61">
        <f>SUM(AP70:AP71)</f>
        <v>0</v>
      </c>
      <c r="AQ72" s="39">
        <f>SUM(AQ70:AQ71)</f>
        <v>0</v>
      </c>
      <c r="AR72" s="61">
        <f>SUM(AR70:AR71)</f>
        <v>0</v>
      </c>
      <c r="AS72" s="39">
        <f>SUM(AS70:AS71)</f>
        <v>0</v>
      </c>
    </row>
    <row r="73" spans="1:45" x14ac:dyDescent="0.2">
      <c r="A73" s="9">
        <v>32</v>
      </c>
      <c r="B73" s="3"/>
      <c r="C73" s="10" t="s">
        <v>74</v>
      </c>
      <c r="D73" s="60">
        <f t="shared" ref="D73:D81" si="46">SUM(F73,H73,J73,L73,N73,P73,R73,T73,V73,X73,Z73,AB73,AD73,AF73,AH73,AJ73,AL73,AN73,AP73,AR73)</f>
        <v>0</v>
      </c>
      <c r="E73" s="38">
        <f t="shared" ref="E73:E81" si="47">SUM(G73,I73,K73,M73,O73,Q73,S73,U73,W73,Y73,AA73,AC73,AE73,AG73,AI73,AK73,AM73,AO73,AQ73,AS73)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  <c r="AR73" s="60"/>
      <c r="AS73" s="38"/>
    </row>
    <row r="74" spans="1:45" x14ac:dyDescent="0.2">
      <c r="A74" s="9">
        <v>33</v>
      </c>
      <c r="B74" s="3"/>
      <c r="C74" s="10" t="s">
        <v>75</v>
      </c>
      <c r="D74" s="60">
        <f t="shared" si="46"/>
        <v>0</v>
      </c>
      <c r="E74" s="38">
        <f t="shared" si="47"/>
        <v>-7273</v>
      </c>
      <c r="F74" s="60">
        <f>'TIE-OUT'!V74+RECLASS!V74</f>
        <v>0</v>
      </c>
      <c r="G74" s="60">
        <f>'TIE-OUT'!W74+RECLASS!W74</f>
        <v>177057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>
        <v>-184330</v>
      </c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  <c r="AP74" s="60"/>
      <c r="AQ74" s="38"/>
      <c r="AR74" s="60"/>
      <c r="AS74" s="38"/>
    </row>
    <row r="75" spans="1:45" x14ac:dyDescent="0.2">
      <c r="A75" s="9">
        <v>34</v>
      </c>
      <c r="B75" s="3"/>
      <c r="C75" s="10" t="s">
        <v>76</v>
      </c>
      <c r="D75" s="60">
        <f t="shared" si="46"/>
        <v>0</v>
      </c>
      <c r="E75" s="38">
        <f t="shared" si="47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  <c r="AR75" s="60"/>
      <c r="AS75" s="38"/>
    </row>
    <row r="76" spans="1:45" x14ac:dyDescent="0.2">
      <c r="A76" s="9">
        <v>35</v>
      </c>
      <c r="B76" s="3"/>
      <c r="C76" s="10" t="s">
        <v>77</v>
      </c>
      <c r="D76" s="60">
        <f t="shared" si="46"/>
        <v>0</v>
      </c>
      <c r="E76" s="38">
        <f t="shared" si="47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  <c r="AR76" s="60"/>
      <c r="AS76" s="38"/>
    </row>
    <row r="77" spans="1:45" x14ac:dyDescent="0.2">
      <c r="A77" s="9">
        <v>36</v>
      </c>
      <c r="B77" s="3"/>
      <c r="C77" s="10" t="s">
        <v>78</v>
      </c>
      <c r="D77" s="60">
        <f t="shared" si="46"/>
        <v>0</v>
      </c>
      <c r="E77" s="38">
        <f t="shared" si="47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  <c r="AR77" s="60"/>
      <c r="AS77" s="38"/>
    </row>
    <row r="78" spans="1:45" x14ac:dyDescent="0.2">
      <c r="A78" s="9">
        <v>37</v>
      </c>
      <c r="B78" s="3"/>
      <c r="C78" s="10" t="s">
        <v>79</v>
      </c>
      <c r="D78" s="60">
        <f t="shared" si="46"/>
        <v>0</v>
      </c>
      <c r="E78" s="38">
        <f t="shared" si="47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  <c r="AR78" s="60"/>
      <c r="AS78" s="38"/>
    </row>
    <row r="79" spans="1:45" x14ac:dyDescent="0.2">
      <c r="A79" s="9">
        <v>38</v>
      </c>
      <c r="B79" s="3"/>
      <c r="C79" s="10" t="s">
        <v>80</v>
      </c>
      <c r="D79" s="60">
        <f t="shared" si="46"/>
        <v>0</v>
      </c>
      <c r="E79" s="38">
        <f t="shared" si="47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  <c r="AR79" s="60"/>
      <c r="AS79" s="38"/>
    </row>
    <row r="80" spans="1:45" x14ac:dyDescent="0.2">
      <c r="A80" s="9">
        <v>39</v>
      </c>
      <c r="B80" s="3"/>
      <c r="C80" s="10" t="s">
        <v>81</v>
      </c>
      <c r="D80" s="60">
        <f t="shared" si="46"/>
        <v>0</v>
      </c>
      <c r="E80" s="38">
        <f t="shared" si="47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  <c r="AR80" s="60"/>
      <c r="AS80" s="38"/>
    </row>
    <row r="81" spans="1:77" x14ac:dyDescent="0.2">
      <c r="A81" s="9">
        <v>40</v>
      </c>
      <c r="B81" s="3"/>
      <c r="C81" s="10" t="s">
        <v>82</v>
      </c>
      <c r="D81" s="60">
        <f t="shared" si="46"/>
        <v>0</v>
      </c>
      <c r="E81" s="38">
        <f t="shared" si="47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53">
        <v>0</v>
      </c>
      <c r="L81" s="60"/>
      <c r="M81" s="38"/>
      <c r="N81" s="60"/>
      <c r="O81" s="38"/>
      <c r="P81" s="60">
        <v>988900</v>
      </c>
      <c r="Q81" s="38">
        <v>2052560</v>
      </c>
      <c r="R81" s="60">
        <f>988900-988900-988900</f>
        <v>-988900</v>
      </c>
      <c r="S81" s="38">
        <f>2052560-2052560-2052560</f>
        <v>-2052560</v>
      </c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  <c r="AR81" s="60"/>
      <c r="AS81" s="38"/>
    </row>
    <row r="82" spans="1:7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-474478.99000000209</v>
      </c>
      <c r="F82" s="92">
        <f>F16+F24+F29+F36+F43+F45+F47+F49</f>
        <v>0</v>
      </c>
      <c r="G82" s="93">
        <f>SUM(G72:G81)+G16+G24+G29+G36+G43+G45+G47+G49+G51+G56+G61+G66</f>
        <v>96604.959999999992</v>
      </c>
      <c r="H82" s="92">
        <f>H16+H24+H29+H36+H43+H45+H47+H49</f>
        <v>0</v>
      </c>
      <c r="I82" s="93">
        <f>SUM(I72:I81)+I16+I24+I29+I36+I43+I45+I47+I49+I51+I56+I61+I66</f>
        <v>-360408</v>
      </c>
      <c r="J82" s="92">
        <f>J16+J24+J29+J36+J43+J45+J47+J49</f>
        <v>0</v>
      </c>
      <c r="K82" s="181">
        <f>SUM(K72:K81)+K16+K24+K29+K36+K43+K45+K47+K49+K51+K56+K61+K66</f>
        <v>185412</v>
      </c>
      <c r="L82" s="92">
        <f>L16+L24+L29+L36+L43+L45+L47+L49</f>
        <v>0</v>
      </c>
      <c r="M82" s="93">
        <f>SUM(M72:M81)+M16+M24+M29+M36+M43+M45+M47+M49+M51+M56+M61+M66</f>
        <v>-380796</v>
      </c>
      <c r="N82" s="92">
        <f>N16+N24+N29+N36+N43+N45+N47+N49</f>
        <v>0</v>
      </c>
      <c r="O82" s="93">
        <f>SUM(O72:O81)+O16+O24+O29+O36+O43+O45+O47+O49+O51+O56+O61+O66</f>
        <v>473006.05000000005</v>
      </c>
      <c r="P82" s="92">
        <f>P16+P24+P29+P36+P43+P45+P47+P49</f>
        <v>0</v>
      </c>
      <c r="Q82" s="93">
        <f>SUM(Q72:Q81)+Q16+Q24+Q29+Q36+Q43+Q45+Q47+Q49+Q51+Q56+Q61+Q66</f>
        <v>1868230</v>
      </c>
      <c r="R82" s="92">
        <f>R16+R24+R29+R36+R43+R45+R47+R49</f>
        <v>0</v>
      </c>
      <c r="S82" s="93">
        <f>SUM(S72:S81)+S16+S24+S29+S36+S43+S45+S47+S49+S51+S56+S61+S66</f>
        <v>-2347416</v>
      </c>
      <c r="T82" s="92">
        <f>T16+T24+T29+T36+T43+T45+T47+T49</f>
        <v>0</v>
      </c>
      <c r="U82" s="93">
        <f>SUM(U72:U81)+U16+U24+U29+U36+U43+U45+U47+U49+U51+U56+U61+U66</f>
        <v>-9112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</row>
    <row r="83" spans="1:77" ht="13.5" thickTop="1" x14ac:dyDescent="0.2">
      <c r="A83" s="4"/>
      <c r="B83" s="3"/>
    </row>
    <row r="84" spans="1:77" x14ac:dyDescent="0.2">
      <c r="A84" s="4"/>
      <c r="B84" s="3"/>
    </row>
    <row r="85" spans="1:77" x14ac:dyDescent="0.2">
      <c r="A85" s="4" t="s">
        <v>188</v>
      </c>
      <c r="B85" s="3"/>
      <c r="F85" s="31"/>
      <c r="G85" s="31"/>
      <c r="H85" s="31"/>
      <c r="I85" s="31"/>
      <c r="K85"/>
      <c r="L85" s="45"/>
    </row>
    <row r="86" spans="1:77" s="3" customFormat="1" x14ac:dyDescent="0.2">
      <c r="A86" s="182"/>
      <c r="C86" s="10" t="s">
        <v>191</v>
      </c>
      <c r="D86" s="183">
        <f t="shared" ref="D86:E88" si="48">SUM(F86,H86,J86,L86,N86,P86,R86,T86,V86,X86,Z86,AB86,AD86)</f>
        <v>0</v>
      </c>
      <c r="E86" s="183">
        <f t="shared" si="48"/>
        <v>-101212</v>
      </c>
      <c r="F86" s="183">
        <f>'TIE-OUT'!V86+RECLASS!V86</f>
        <v>0</v>
      </c>
      <c r="G86" s="183">
        <f>'TIE-OUT'!W86+RECLASS!W86</f>
        <v>-381588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0</v>
      </c>
      <c r="N86" s="183">
        <v>0</v>
      </c>
      <c r="O86" s="183">
        <v>0</v>
      </c>
      <c r="P86" s="183">
        <v>0</v>
      </c>
      <c r="Q86" s="183">
        <v>0</v>
      </c>
      <c r="R86" s="183">
        <v>0</v>
      </c>
      <c r="S86" s="183">
        <v>0</v>
      </c>
      <c r="T86" s="183">
        <v>0</v>
      </c>
      <c r="U86" s="183">
        <v>280376</v>
      </c>
      <c r="V86" s="183">
        <v>0</v>
      </c>
      <c r="W86" s="183">
        <v>0</v>
      </c>
      <c r="X86" s="183">
        <v>0</v>
      </c>
      <c r="Y86" s="183">
        <v>0</v>
      </c>
      <c r="Z86" s="183">
        <v>0</v>
      </c>
      <c r="AA86" s="183">
        <v>0</v>
      </c>
      <c r="AB86" s="183">
        <v>0</v>
      </c>
      <c r="AC86" s="183">
        <v>0</v>
      </c>
      <c r="AD86" s="183">
        <v>0</v>
      </c>
      <c r="AE86" s="183">
        <v>0</v>
      </c>
      <c r="AF86" s="183">
        <v>0</v>
      </c>
      <c r="AG86" s="183">
        <v>0</v>
      </c>
      <c r="AH86" s="183">
        <v>0</v>
      </c>
      <c r="AI86" s="183">
        <v>0</v>
      </c>
      <c r="AJ86" s="183">
        <v>0</v>
      </c>
      <c r="AK86" s="183">
        <v>0</v>
      </c>
      <c r="AL86" s="183">
        <v>0</v>
      </c>
      <c r="AM86" s="183">
        <v>0</v>
      </c>
      <c r="AN86" s="183">
        <v>0</v>
      </c>
      <c r="AO86" s="183">
        <v>0</v>
      </c>
      <c r="AP86" s="183">
        <v>0</v>
      </c>
      <c r="AQ86" s="183">
        <v>0</v>
      </c>
      <c r="AR86" s="183">
        <v>0</v>
      </c>
      <c r="AS86" s="183">
        <v>0</v>
      </c>
    </row>
    <row r="87" spans="1:77" s="3" customFormat="1" x14ac:dyDescent="0.2">
      <c r="A87" s="182"/>
      <c r="C87" s="10" t="s">
        <v>75</v>
      </c>
      <c r="D87" s="184">
        <f t="shared" si="48"/>
        <v>0</v>
      </c>
      <c r="E87" s="184">
        <f t="shared" si="48"/>
        <v>0</v>
      </c>
      <c r="F87" s="184">
        <f>'TIE-OUT'!V87+RECLASS!V87</f>
        <v>0</v>
      </c>
      <c r="G87" s="184">
        <f>'TIE-OUT'!W87+RECLASS!W87</f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v>0</v>
      </c>
      <c r="T87" s="184">
        <v>0</v>
      </c>
      <c r="U87" s="184">
        <v>0</v>
      </c>
      <c r="V87" s="184">
        <v>0</v>
      </c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184">
        <v>0</v>
      </c>
      <c r="AD87" s="184">
        <v>0</v>
      </c>
      <c r="AE87" s="184">
        <v>0</v>
      </c>
      <c r="AF87" s="184">
        <v>0</v>
      </c>
      <c r="AG87" s="184">
        <v>0</v>
      </c>
      <c r="AH87" s="184">
        <v>0</v>
      </c>
      <c r="AI87" s="184">
        <v>0</v>
      </c>
      <c r="AJ87" s="184">
        <v>0</v>
      </c>
      <c r="AK87" s="184">
        <v>0</v>
      </c>
      <c r="AL87" s="184">
        <v>0</v>
      </c>
      <c r="AM87" s="184">
        <v>0</v>
      </c>
      <c r="AN87" s="184">
        <v>0</v>
      </c>
      <c r="AO87" s="184">
        <v>0</v>
      </c>
      <c r="AP87" s="184">
        <v>0</v>
      </c>
      <c r="AQ87" s="184">
        <v>0</v>
      </c>
      <c r="AR87" s="184">
        <v>0</v>
      </c>
      <c r="AS87" s="184">
        <v>0</v>
      </c>
    </row>
    <row r="88" spans="1:77" s="3" customFormat="1" x14ac:dyDescent="0.2">
      <c r="A88" s="182"/>
      <c r="C88" s="10" t="s">
        <v>76</v>
      </c>
      <c r="D88" s="185">
        <f t="shared" si="48"/>
        <v>0</v>
      </c>
      <c r="E88" s="185">
        <f t="shared" si="48"/>
        <v>-9430</v>
      </c>
      <c r="F88" s="185">
        <f>'TIE-OUT'!V88+RECLASS!V88</f>
        <v>0</v>
      </c>
      <c r="G88" s="185">
        <f>'TIE-OUT'!W88+RECLASS!W88</f>
        <v>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0</v>
      </c>
      <c r="T88" s="185">
        <v>0</v>
      </c>
      <c r="U88" s="185">
        <v>-9430</v>
      </c>
      <c r="V88" s="185">
        <v>0</v>
      </c>
      <c r="W88" s="185">
        <v>0</v>
      </c>
      <c r="X88" s="185">
        <v>0</v>
      </c>
      <c r="Y88" s="185">
        <v>0</v>
      </c>
      <c r="Z88" s="185">
        <v>0</v>
      </c>
      <c r="AA88" s="185">
        <v>0</v>
      </c>
      <c r="AB88" s="185">
        <v>0</v>
      </c>
      <c r="AC88" s="185">
        <v>0</v>
      </c>
      <c r="AD88" s="185">
        <v>0</v>
      </c>
      <c r="AE88" s="185">
        <v>0</v>
      </c>
      <c r="AF88" s="185">
        <v>0</v>
      </c>
      <c r="AG88" s="185">
        <v>0</v>
      </c>
      <c r="AH88" s="185">
        <v>0</v>
      </c>
      <c r="AI88" s="185">
        <v>0</v>
      </c>
      <c r="AJ88" s="185">
        <v>0</v>
      </c>
      <c r="AK88" s="185">
        <v>0</v>
      </c>
      <c r="AL88" s="185">
        <v>0</v>
      </c>
      <c r="AM88" s="185">
        <v>0</v>
      </c>
      <c r="AN88" s="185">
        <v>0</v>
      </c>
      <c r="AO88" s="185">
        <v>0</v>
      </c>
      <c r="AP88" s="185">
        <v>0</v>
      </c>
      <c r="AQ88" s="185">
        <v>0</v>
      </c>
      <c r="AR88" s="185">
        <v>0</v>
      </c>
      <c r="AS88" s="185">
        <v>0</v>
      </c>
    </row>
    <row r="89" spans="1:77" s="44" customFormat="1" ht="20.25" customHeight="1" x14ac:dyDescent="0.2">
      <c r="A89" s="191"/>
      <c r="B89" s="192"/>
      <c r="C89" s="188" t="s">
        <v>192</v>
      </c>
      <c r="D89" s="195">
        <f>SUM(D86:D88)</f>
        <v>0</v>
      </c>
      <c r="E89" s="195">
        <f t="shared" ref="E89:AE89" si="49">SUM(E86:E88)</f>
        <v>-110642</v>
      </c>
      <c r="F89" s="195">
        <f t="shared" si="49"/>
        <v>0</v>
      </c>
      <c r="G89" s="195">
        <f t="shared" si="49"/>
        <v>-381588</v>
      </c>
      <c r="H89" s="195">
        <f t="shared" si="49"/>
        <v>0</v>
      </c>
      <c r="I89" s="195">
        <f t="shared" si="49"/>
        <v>0</v>
      </c>
      <c r="J89" s="195">
        <f t="shared" si="49"/>
        <v>0</v>
      </c>
      <c r="K89" s="195">
        <f t="shared" si="49"/>
        <v>0</v>
      </c>
      <c r="L89" s="195">
        <f t="shared" si="49"/>
        <v>0</v>
      </c>
      <c r="M89" s="195">
        <f t="shared" si="49"/>
        <v>0</v>
      </c>
      <c r="N89" s="195">
        <f t="shared" si="49"/>
        <v>0</v>
      </c>
      <c r="O89" s="195">
        <f t="shared" si="49"/>
        <v>0</v>
      </c>
      <c r="P89" s="195">
        <f t="shared" si="49"/>
        <v>0</v>
      </c>
      <c r="Q89" s="195">
        <f t="shared" si="49"/>
        <v>0</v>
      </c>
      <c r="R89" s="195">
        <f t="shared" si="49"/>
        <v>0</v>
      </c>
      <c r="S89" s="195">
        <f t="shared" si="49"/>
        <v>0</v>
      </c>
      <c r="T89" s="195">
        <f t="shared" si="49"/>
        <v>0</v>
      </c>
      <c r="U89" s="195">
        <f t="shared" si="49"/>
        <v>270946</v>
      </c>
      <c r="V89" s="195">
        <f t="shared" si="49"/>
        <v>0</v>
      </c>
      <c r="W89" s="195">
        <f t="shared" si="49"/>
        <v>0</v>
      </c>
      <c r="X89" s="195">
        <f t="shared" si="49"/>
        <v>0</v>
      </c>
      <c r="Y89" s="195">
        <f t="shared" si="49"/>
        <v>0</v>
      </c>
      <c r="Z89" s="195">
        <f t="shared" si="49"/>
        <v>0</v>
      </c>
      <c r="AA89" s="195">
        <f t="shared" si="49"/>
        <v>0</v>
      </c>
      <c r="AB89" s="195">
        <f t="shared" si="49"/>
        <v>0</v>
      </c>
      <c r="AC89" s="195">
        <f t="shared" si="49"/>
        <v>0</v>
      </c>
      <c r="AD89" s="195">
        <f t="shared" si="49"/>
        <v>0</v>
      </c>
      <c r="AE89" s="195">
        <f t="shared" si="49"/>
        <v>0</v>
      </c>
      <c r="AF89" s="195">
        <f t="shared" ref="AF89:AK89" si="50">SUM(AF86:AF88)</f>
        <v>0</v>
      </c>
      <c r="AG89" s="195">
        <f t="shared" si="50"/>
        <v>0</v>
      </c>
      <c r="AH89" s="195">
        <f t="shared" si="50"/>
        <v>0</v>
      </c>
      <c r="AI89" s="195">
        <f t="shared" si="50"/>
        <v>0</v>
      </c>
      <c r="AJ89" s="195">
        <f t="shared" si="50"/>
        <v>0</v>
      </c>
      <c r="AK89" s="195">
        <f t="shared" si="50"/>
        <v>0</v>
      </c>
      <c r="AL89" s="195">
        <f t="shared" ref="AL89:AQ89" si="51">SUM(AL86:AL88)</f>
        <v>0</v>
      </c>
      <c r="AM89" s="195">
        <f t="shared" si="51"/>
        <v>0</v>
      </c>
      <c r="AN89" s="195">
        <f t="shared" si="51"/>
        <v>0</v>
      </c>
      <c r="AO89" s="195">
        <f t="shared" si="51"/>
        <v>0</v>
      </c>
      <c r="AP89" s="195">
        <f t="shared" si="51"/>
        <v>0</v>
      </c>
      <c r="AQ89" s="195">
        <f t="shared" si="51"/>
        <v>0</v>
      </c>
      <c r="AR89" s="195">
        <f>SUM(AR86:AR88)</f>
        <v>0</v>
      </c>
      <c r="AS89" s="195">
        <f>SUM(AS86:AS88)</f>
        <v>0</v>
      </c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</row>
    <row r="90" spans="1:77" x14ac:dyDescent="0.2">
      <c r="A90" s="4"/>
      <c r="B90" s="3"/>
      <c r="F90" s="31"/>
      <c r="G90" s="31"/>
      <c r="H90" s="31"/>
      <c r="I90" s="31"/>
      <c r="K90"/>
    </row>
    <row r="91" spans="1:77" s="44" customFormat="1" ht="20.25" customHeight="1" x14ac:dyDescent="0.2">
      <c r="A91" s="191"/>
      <c r="B91" s="192"/>
      <c r="C91" s="188" t="s">
        <v>193</v>
      </c>
      <c r="D91" s="195">
        <f>+D82+D89</f>
        <v>0</v>
      </c>
      <c r="E91" s="195">
        <f t="shared" ref="E91:AE91" si="52">+E82+E89</f>
        <v>-585120.99000000209</v>
      </c>
      <c r="F91" s="195">
        <f t="shared" si="52"/>
        <v>0</v>
      </c>
      <c r="G91" s="195">
        <f t="shared" si="52"/>
        <v>-284983.04000000004</v>
      </c>
      <c r="H91" s="195">
        <f t="shared" si="52"/>
        <v>0</v>
      </c>
      <c r="I91" s="195">
        <f t="shared" si="52"/>
        <v>-360408</v>
      </c>
      <c r="J91" s="195">
        <f t="shared" si="52"/>
        <v>0</v>
      </c>
      <c r="K91" s="195">
        <f t="shared" si="52"/>
        <v>185412</v>
      </c>
      <c r="L91" s="195">
        <f t="shared" si="52"/>
        <v>0</v>
      </c>
      <c r="M91" s="195">
        <f t="shared" si="52"/>
        <v>-380796</v>
      </c>
      <c r="N91" s="195">
        <f t="shared" si="52"/>
        <v>0</v>
      </c>
      <c r="O91" s="195">
        <f t="shared" si="52"/>
        <v>473006.05000000005</v>
      </c>
      <c r="P91" s="195">
        <f t="shared" si="52"/>
        <v>0</v>
      </c>
      <c r="Q91" s="195">
        <f t="shared" si="52"/>
        <v>1868230</v>
      </c>
      <c r="R91" s="195">
        <f t="shared" si="52"/>
        <v>0</v>
      </c>
      <c r="S91" s="195">
        <f t="shared" si="52"/>
        <v>-2347416</v>
      </c>
      <c r="T91" s="195">
        <f t="shared" si="52"/>
        <v>0</v>
      </c>
      <c r="U91" s="195">
        <f t="shared" si="52"/>
        <v>261834</v>
      </c>
      <c r="V91" s="195">
        <f t="shared" si="52"/>
        <v>0</v>
      </c>
      <c r="W91" s="195">
        <f t="shared" si="52"/>
        <v>0</v>
      </c>
      <c r="X91" s="195">
        <f t="shared" si="52"/>
        <v>0</v>
      </c>
      <c r="Y91" s="195">
        <f t="shared" si="52"/>
        <v>0</v>
      </c>
      <c r="Z91" s="195">
        <f t="shared" si="52"/>
        <v>0</v>
      </c>
      <c r="AA91" s="195">
        <f t="shared" si="52"/>
        <v>0</v>
      </c>
      <c r="AB91" s="195">
        <f t="shared" si="52"/>
        <v>0</v>
      </c>
      <c r="AC91" s="195">
        <f t="shared" si="52"/>
        <v>0</v>
      </c>
      <c r="AD91" s="195">
        <f t="shared" si="52"/>
        <v>0</v>
      </c>
      <c r="AE91" s="195">
        <f t="shared" si="52"/>
        <v>0</v>
      </c>
      <c r="AF91" s="195">
        <f t="shared" ref="AF91:AK91" si="53">+AF82+AF89</f>
        <v>0</v>
      </c>
      <c r="AG91" s="195">
        <f t="shared" si="53"/>
        <v>0</v>
      </c>
      <c r="AH91" s="195">
        <f t="shared" si="53"/>
        <v>0</v>
      </c>
      <c r="AI91" s="195">
        <f t="shared" si="53"/>
        <v>0</v>
      </c>
      <c r="AJ91" s="195">
        <f t="shared" si="53"/>
        <v>0</v>
      </c>
      <c r="AK91" s="195">
        <f t="shared" si="53"/>
        <v>0</v>
      </c>
      <c r="AL91" s="195">
        <f t="shared" ref="AL91:AQ91" si="54">+AL82+AL89</f>
        <v>0</v>
      </c>
      <c r="AM91" s="195">
        <f t="shared" si="54"/>
        <v>0</v>
      </c>
      <c r="AN91" s="195">
        <f t="shared" si="54"/>
        <v>0</v>
      </c>
      <c r="AO91" s="195">
        <f t="shared" si="54"/>
        <v>0</v>
      </c>
      <c r="AP91" s="195">
        <f t="shared" si="54"/>
        <v>0</v>
      </c>
      <c r="AQ91" s="195">
        <f t="shared" si="54"/>
        <v>0</v>
      </c>
      <c r="AR91" s="195">
        <f>+AR82+AR89</f>
        <v>0</v>
      </c>
      <c r="AS91" s="195">
        <f>+AS82+AS89</f>
        <v>0</v>
      </c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</row>
    <row r="92" spans="1:77" x14ac:dyDescent="0.2">
      <c r="A92" s="4"/>
      <c r="B92" s="3"/>
    </row>
    <row r="93" spans="1:77" x14ac:dyDescent="0.2">
      <c r="A93" s="4"/>
      <c r="B93" s="3"/>
    </row>
    <row r="94" spans="1:77" x14ac:dyDescent="0.2">
      <c r="A94" s="4"/>
      <c r="B94" s="3"/>
    </row>
    <row r="95" spans="1:77" x14ac:dyDescent="0.2">
      <c r="A95" s="4"/>
      <c r="B95" s="3"/>
    </row>
    <row r="96" spans="1:7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10" activePane="bottomRight" state="frozen"/>
      <selection activeCell="AE75" sqref="AE75"/>
      <selection pane="topRight" activeCell="AE75" sqref="AE75"/>
      <selection pane="bottomLeft" activeCell="AE75" sqref="AE75"/>
      <selection pane="bottomRight" activeCell="AE75" sqref="AE7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'CE-FLSH'!L11</f>
        <v>48251606</v>
      </c>
      <c r="E11" s="66">
        <f>'CE-FLSH'!M11</f>
        <v>79685777</v>
      </c>
      <c r="F11" s="60">
        <f>CE_GL!D11</f>
        <v>48417783</v>
      </c>
      <c r="G11" s="38">
        <f>CE_GL!E11</f>
        <v>95036387.339999989</v>
      </c>
      <c r="H11" s="60">
        <f>F11-D11</f>
        <v>166177</v>
      </c>
      <c r="I11" s="38">
        <f>G11-E11</f>
        <v>15350610.339999989</v>
      </c>
    </row>
    <row r="12" spans="1:22" x14ac:dyDescent="0.2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-11782090.26</v>
      </c>
      <c r="H12" s="60">
        <f>F12-D12</f>
        <v>0</v>
      </c>
      <c r="I12" s="38">
        <f>G12-E12</f>
        <v>-11782090.26</v>
      </c>
    </row>
    <row r="13" spans="1:22" x14ac:dyDescent="0.2">
      <c r="A13" s="9">
        <v>3</v>
      </c>
      <c r="B13" s="7"/>
      <c r="C13" s="18" t="s">
        <v>31</v>
      </c>
      <c r="D13" s="65">
        <f>'CE-FLSH'!L13</f>
        <v>15397109</v>
      </c>
      <c r="E13" s="66">
        <f>'CE-FLSH'!M13</f>
        <v>26714108</v>
      </c>
      <c r="F13" s="60">
        <f>CE_GL!D13</f>
        <v>14613967</v>
      </c>
      <c r="G13" s="38">
        <f>CE_GL!E13</f>
        <v>25364445</v>
      </c>
      <c r="H13" s="60">
        <f t="shared" ref="H13:I15" si="0">F13-D13</f>
        <v>-783142</v>
      </c>
      <c r="I13" s="38">
        <f t="shared" si="0"/>
        <v>-1349663</v>
      </c>
    </row>
    <row r="14" spans="1:22" x14ac:dyDescent="0.2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-2709911</v>
      </c>
      <c r="H15" s="60">
        <f t="shared" si="0"/>
        <v>0</v>
      </c>
      <c r="I15" s="38">
        <f t="shared" si="0"/>
        <v>-2709911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63648715</v>
      </c>
      <c r="E16" s="39">
        <f t="shared" si="1"/>
        <v>106399885</v>
      </c>
      <c r="F16" s="61">
        <f t="shared" si="1"/>
        <v>63031750</v>
      </c>
      <c r="G16" s="39">
        <f t="shared" si="1"/>
        <v>105908831.07999998</v>
      </c>
      <c r="H16" s="61">
        <f t="shared" si="1"/>
        <v>-616965</v>
      </c>
      <c r="I16" s="39">
        <f t="shared" si="1"/>
        <v>-491053.9200000111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'CE-FLSH'!L19</f>
        <v>-40688416</v>
      </c>
      <c r="E19" s="66">
        <f>'CE-FLSH'!M19</f>
        <v>-66254041</v>
      </c>
      <c r="F19" s="60">
        <f>CE_GL!D19</f>
        <v>-45495785</v>
      </c>
      <c r="G19" s="38">
        <f>CE_GL!E19</f>
        <v>-73847744.649999976</v>
      </c>
      <c r="H19" s="60">
        <f>F19-D19</f>
        <v>-4807369</v>
      </c>
      <c r="I19" s="38">
        <f>G19-E19</f>
        <v>-7593703.6499999762</v>
      </c>
    </row>
    <row r="20" spans="1:9" x14ac:dyDescent="0.2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545790.12</v>
      </c>
      <c r="H20" s="60">
        <f>F20-D20</f>
        <v>0</v>
      </c>
      <c r="I20" s="38">
        <f>G20-E20</f>
        <v>545790.12</v>
      </c>
    </row>
    <row r="21" spans="1:9" x14ac:dyDescent="0.2">
      <c r="A21" s="9">
        <v>8</v>
      </c>
      <c r="B21" s="7"/>
      <c r="C21" s="18" t="s">
        <v>31</v>
      </c>
      <c r="D21" s="65">
        <f>'CE-FLSH'!L21</f>
        <v>-22756832</v>
      </c>
      <c r="E21" s="66">
        <f>'CE-FLSH'!M21</f>
        <v>-38801752</v>
      </c>
      <c r="F21" s="60">
        <f>CE_GL!D21</f>
        <v>-15641448</v>
      </c>
      <c r="G21" s="38">
        <f>CE_GL!E21</f>
        <v>-27197858</v>
      </c>
      <c r="H21" s="60">
        <f t="shared" ref="H21:I23" si="2">F21-D21</f>
        <v>7115384</v>
      </c>
      <c r="I21" s="38">
        <f t="shared" si="2"/>
        <v>11603894</v>
      </c>
    </row>
    <row r="22" spans="1:9" x14ac:dyDescent="0.2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'CE-FLSH'!L23</f>
        <v>288222</v>
      </c>
      <c r="E23" s="66">
        <f>'CE-FLSH'!M23</f>
        <v>472017</v>
      </c>
      <c r="F23" s="60">
        <f>CE_GL!D23</f>
        <v>288327</v>
      </c>
      <c r="G23" s="38">
        <f>CE_GL!E23</f>
        <v>461899.85399999993</v>
      </c>
      <c r="H23" s="60">
        <f t="shared" si="2"/>
        <v>105</v>
      </c>
      <c r="I23" s="38">
        <f t="shared" si="2"/>
        <v>-10117.146000000066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-63157026</v>
      </c>
      <c r="E24" s="39">
        <f t="shared" si="3"/>
        <v>-104583776</v>
      </c>
      <c r="F24" s="61">
        <f t="shared" si="3"/>
        <v>-60848906</v>
      </c>
      <c r="G24" s="39">
        <f t="shared" si="3"/>
        <v>-100037912.67599997</v>
      </c>
      <c r="H24" s="61">
        <f t="shared" si="3"/>
        <v>2308120</v>
      </c>
      <c r="I24" s="39">
        <f t="shared" si="3"/>
        <v>4545863.3240000242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5000</v>
      </c>
      <c r="G27" s="38">
        <f>CE_GL!E27</f>
        <v>8500</v>
      </c>
      <c r="H27" s="60">
        <f>F27-D27</f>
        <v>5000</v>
      </c>
      <c r="I27" s="38">
        <f>G27-E27</f>
        <v>8500</v>
      </c>
    </row>
    <row r="28" spans="1:9" x14ac:dyDescent="0.2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-34159</v>
      </c>
      <c r="G28" s="38">
        <f>CE_GL!E28</f>
        <v>-54022.18</v>
      </c>
      <c r="H28" s="60">
        <f>F28-D28</f>
        <v>-34159</v>
      </c>
      <c r="I28" s="38">
        <f>G28-E28</f>
        <v>-54022.18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-29159</v>
      </c>
      <c r="G29" s="70">
        <f t="shared" si="4"/>
        <v>-45522.18</v>
      </c>
      <c r="H29" s="69">
        <f t="shared" si="4"/>
        <v>-29159</v>
      </c>
      <c r="I29" s="70">
        <f t="shared" si="4"/>
        <v>-45522.18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'CE-FLSH'!L32</f>
        <v>2478409</v>
      </c>
      <c r="E32" s="66">
        <f>'CE-FLSH'!M32</f>
        <v>4536179</v>
      </c>
      <c r="F32" s="60">
        <f>CE_GL!D32</f>
        <v>-14867</v>
      </c>
      <c r="G32" s="38">
        <f>CE_GL!E32</f>
        <v>-23817.257999999856</v>
      </c>
      <c r="H32" s="60">
        <f>F32-D32</f>
        <v>-2493276</v>
      </c>
      <c r="I32" s="38">
        <f>G32-E32</f>
        <v>-4559996.2579999994</v>
      </c>
    </row>
    <row r="33" spans="1:9" x14ac:dyDescent="0.2">
      <c r="A33" s="9">
        <v>14</v>
      </c>
      <c r="B33" s="7"/>
      <c r="C33" s="18" t="s">
        <v>44</v>
      </c>
      <c r="D33" s="65">
        <f>'CE-FLSH'!L33</f>
        <v>-2343582</v>
      </c>
      <c r="E33" s="66">
        <f>'CE-FLSH'!M33</f>
        <v>-4825471.8233232312</v>
      </c>
      <c r="F33" s="60">
        <f>CE_GL!D33</f>
        <v>-28873</v>
      </c>
      <c r="G33" s="38">
        <f>CE_GL!E33</f>
        <v>-48712.020000000004</v>
      </c>
      <c r="H33" s="60">
        <f t="shared" ref="H33:I35" si="5">F33-D33</f>
        <v>2314709</v>
      </c>
      <c r="I33" s="38">
        <f t="shared" si="5"/>
        <v>4776759.8033232316</v>
      </c>
    </row>
    <row r="34" spans="1:9" x14ac:dyDescent="0.2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22307</v>
      </c>
      <c r="G34" s="38">
        <f>CE_GL!E34</f>
        <v>13485.52</v>
      </c>
      <c r="H34" s="60">
        <f t="shared" si="5"/>
        <v>22307</v>
      </c>
      <c r="I34" s="38">
        <f t="shared" si="5"/>
        <v>13485.52</v>
      </c>
    </row>
    <row r="35" spans="1:9" x14ac:dyDescent="0.2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-12344</v>
      </c>
      <c r="G35" s="38">
        <f>CE_GL!E35</f>
        <v>-97820.109999999986</v>
      </c>
      <c r="H35" s="60">
        <f t="shared" si="5"/>
        <v>-12344</v>
      </c>
      <c r="I35" s="38">
        <f t="shared" si="5"/>
        <v>-97820.109999999986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134827</v>
      </c>
      <c r="E36" s="39">
        <f t="shared" si="6"/>
        <v>-289292.82332323119</v>
      </c>
      <c r="F36" s="61">
        <f t="shared" si="6"/>
        <v>-33777</v>
      </c>
      <c r="G36" s="39">
        <f t="shared" si="6"/>
        <v>-156863.86799999984</v>
      </c>
      <c r="H36" s="61">
        <f t="shared" si="6"/>
        <v>-168604</v>
      </c>
      <c r="I36" s="39">
        <f t="shared" si="6"/>
        <v>132428.95532323219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'CE-FLSH'!L39</f>
        <v>4148</v>
      </c>
      <c r="E39" s="66">
        <f>'CE-FLSH'!M39</f>
        <v>6616</v>
      </c>
      <c r="F39" s="60">
        <f>CE_GL!D39</f>
        <v>10</v>
      </c>
      <c r="G39" s="38">
        <f>CE_GL!E39</f>
        <v>16.02</v>
      </c>
      <c r="H39" s="60">
        <f t="shared" ref="H39:I41" si="7">F39-D39</f>
        <v>-4138</v>
      </c>
      <c r="I39" s="38">
        <f t="shared" si="7"/>
        <v>-6599.98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'CE-FLSH'!L40</f>
        <v>-249256</v>
      </c>
      <c r="E40" s="66">
        <f>'CE-FLSH'!M40</f>
        <v>-391334</v>
      </c>
      <c r="F40" s="60">
        <f>CE_GL!D40</f>
        <v>-248381</v>
      </c>
      <c r="G40" s="38">
        <f>CE_GL!E40</f>
        <v>-521624.95999999996</v>
      </c>
      <c r="H40" s="60">
        <f t="shared" si="7"/>
        <v>875</v>
      </c>
      <c r="I40" s="38">
        <f t="shared" si="7"/>
        <v>-130290.95999999996</v>
      </c>
    </row>
    <row r="41" spans="1:9" x14ac:dyDescent="0.2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-249256</v>
      </c>
      <c r="E42" s="70">
        <f t="shared" si="8"/>
        <v>-391334</v>
      </c>
      <c r="F42" s="69">
        <f t="shared" si="8"/>
        <v>-248381</v>
      </c>
      <c r="G42" s="70">
        <f t="shared" si="8"/>
        <v>-521624.95999999996</v>
      </c>
      <c r="H42" s="69">
        <f t="shared" si="8"/>
        <v>875</v>
      </c>
      <c r="I42" s="70">
        <f t="shared" si="8"/>
        <v>-130290.95999999996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-245108</v>
      </c>
      <c r="E43" s="39">
        <f t="shared" si="9"/>
        <v>-384718</v>
      </c>
      <c r="F43" s="61">
        <f t="shared" si="9"/>
        <v>-248371</v>
      </c>
      <c r="G43" s="39">
        <f t="shared" si="9"/>
        <v>-521608.93999999994</v>
      </c>
      <c r="H43" s="61">
        <f t="shared" si="9"/>
        <v>-3263</v>
      </c>
      <c r="I43" s="39">
        <f t="shared" si="9"/>
        <v>-136890.93999999997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-1871537</v>
      </c>
      <c r="G49" s="38">
        <f>CE_GL!E49</f>
        <v>-2998202.2740000002</v>
      </c>
      <c r="H49" s="60">
        <f>F49-D49</f>
        <v>-1871537</v>
      </c>
      <c r="I49" s="38">
        <f>G49-E49</f>
        <v>-2998202.2740000002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'CE-FLSH'!L51</f>
        <v>-288222</v>
      </c>
      <c r="E51" s="66">
        <f>'CE-FLSH'!M51</f>
        <v>-472017</v>
      </c>
      <c r="F51" s="60">
        <f>CE_GL!D51</f>
        <v>-288327</v>
      </c>
      <c r="G51" s="38">
        <f>CE_GL!E51</f>
        <v>-461899.85399999993</v>
      </c>
      <c r="H51" s="60">
        <f>F51-D51</f>
        <v>-105</v>
      </c>
      <c r="I51" s="38">
        <f>G51-E51</f>
        <v>10117.146000000066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-110726</v>
      </c>
      <c r="F54" s="60">
        <f>CE_GL!D54</f>
        <v>-16648211</v>
      </c>
      <c r="G54" s="38">
        <f>CE_GL!E54</f>
        <v>-180916.94999999998</v>
      </c>
      <c r="H54" s="60">
        <f>F54-D54</f>
        <v>-16648211</v>
      </c>
      <c r="I54" s="38">
        <f>G54-E54</f>
        <v>-70190.949999999983</v>
      </c>
    </row>
    <row r="55" spans="1:9" x14ac:dyDescent="0.2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0</v>
      </c>
      <c r="F55" s="60">
        <f>CE_GL!D55</f>
        <v>0</v>
      </c>
      <c r="G55" s="38">
        <f>CE_GL!E55</f>
        <v>-242948.53999999969</v>
      </c>
      <c r="H55" s="60">
        <f>F55-D55</f>
        <v>0</v>
      </c>
      <c r="I55" s="38">
        <f>G55-E55</f>
        <v>-242948.53999999969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-110726</v>
      </c>
      <c r="F56" s="61">
        <f t="shared" si="10"/>
        <v>-16648211</v>
      </c>
      <c r="G56" s="39">
        <f t="shared" si="10"/>
        <v>-423865.48999999964</v>
      </c>
      <c r="H56" s="61">
        <f t="shared" si="10"/>
        <v>-16648211</v>
      </c>
      <c r="I56" s="39">
        <f t="shared" si="10"/>
        <v>-313139.48999999964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-91871.28</v>
      </c>
      <c r="F70" s="60">
        <f>CE_GL!D70</f>
        <v>0</v>
      </c>
      <c r="G70" s="38">
        <f>CE_GL!E70</f>
        <v>-2613977</v>
      </c>
      <c r="H70" s="60">
        <f>F70-D70</f>
        <v>0</v>
      </c>
      <c r="I70" s="38">
        <f>G70-E70</f>
        <v>-2522105.7200000002</v>
      </c>
    </row>
    <row r="71" spans="1:9" x14ac:dyDescent="0.2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-2563659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2563659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-2655530.2799999998</v>
      </c>
      <c r="F72" s="69">
        <f t="shared" si="13"/>
        <v>0</v>
      </c>
      <c r="G72" s="70">
        <f t="shared" si="13"/>
        <v>-2613977</v>
      </c>
      <c r="H72" s="69">
        <f t="shared" si="13"/>
        <v>0</v>
      </c>
      <c r="I72" s="70">
        <f t="shared" si="13"/>
        <v>41553.279999999795</v>
      </c>
    </row>
    <row r="73" spans="1:9" x14ac:dyDescent="0.2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80635.941176470587</v>
      </c>
      <c r="F74" s="60">
        <f>CE_GL!D74</f>
        <v>0</v>
      </c>
      <c r="G74" s="38">
        <f>CE_GL!E74</f>
        <v>-70606</v>
      </c>
      <c r="H74" s="60">
        <f t="shared" ref="H74:I79" si="14">F74-D74</f>
        <v>0</v>
      </c>
      <c r="I74" s="38">
        <f t="shared" si="14"/>
        <v>-151241.9411764706</v>
      </c>
    </row>
    <row r="75" spans="1:9" x14ac:dyDescent="0.2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76850</v>
      </c>
      <c r="F75" s="60">
        <f>CE_GL!D75</f>
        <v>0</v>
      </c>
      <c r="G75" s="38">
        <f>CE_GL!E75</f>
        <v>76900</v>
      </c>
      <c r="H75" s="60">
        <f t="shared" si="14"/>
        <v>0</v>
      </c>
      <c r="I75" s="38">
        <f t="shared" si="14"/>
        <v>50</v>
      </c>
    </row>
    <row r="76" spans="1:9" x14ac:dyDescent="0.2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-8190</v>
      </c>
      <c r="F76" s="60">
        <f>CE_GL!D76</f>
        <v>0</v>
      </c>
      <c r="G76" s="38">
        <f>CE_GL!E76</f>
        <v>-14605.97</v>
      </c>
      <c r="H76" s="60">
        <f t="shared" si="14"/>
        <v>0</v>
      </c>
      <c r="I76" s="38">
        <f t="shared" si="14"/>
        <v>-6415.9699999999993</v>
      </c>
    </row>
    <row r="77" spans="1:9" x14ac:dyDescent="0.2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39003</v>
      </c>
      <c r="F81" s="60">
        <f>CE_GL!D81</f>
        <v>0</v>
      </c>
      <c r="G81" s="38">
        <f>CE_GL!E81</f>
        <v>97579.219999999972</v>
      </c>
      <c r="H81" s="60">
        <f>F81-D81</f>
        <v>0</v>
      </c>
      <c r="I81" s="38">
        <f>G81-E81</f>
        <v>58576.219999999972</v>
      </c>
    </row>
    <row r="82" spans="1:63" s="44" customFormat="1" ht="20.25" customHeight="1" thickBot="1" x14ac:dyDescent="0.3">
      <c r="A82" s="40"/>
      <c r="B82" s="41"/>
      <c r="C82" s="42" t="s">
        <v>83</v>
      </c>
      <c r="D82" s="71">
        <f>D16+D24+D29+D36+D43+D45+D47+D49</f>
        <v>381408</v>
      </c>
      <c r="E82" s="72">
        <f>SUM(E72:E81)+E16+E24+E29+E36+E43+E45+E47+E49+E51+E56+E61+E66</f>
        <v>-1907876.1621467583</v>
      </c>
      <c r="F82" s="71">
        <f>F16+F24+F29+F36+F43+F45+F47+F49</f>
        <v>0</v>
      </c>
      <c r="G82" s="72">
        <f>SUM(G72:G81)+G16+G24+G29+G36+G43+G45+G47+G49+G51+G56+G61+G66</f>
        <v>-1261753.9519999856</v>
      </c>
      <c r="H82" s="71">
        <f>H16+H24+H29+H36+H43+H45+H47+H49</f>
        <v>-381408</v>
      </c>
      <c r="I82" s="72">
        <f>SUM(I72:I81)+I16+I24+I29+I36+I43+I45+I47+I49+I51+I56+I61+I66</f>
        <v>646122.21014677454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I92" sqref="A1:I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'NE-FLSH'!L11</f>
        <v>106577848</v>
      </c>
      <c r="E11" s="66">
        <f>'NE-FLSH'!M11</f>
        <v>177063971</v>
      </c>
      <c r="F11" s="60">
        <f>NE_GL!D11</f>
        <v>113781230</v>
      </c>
      <c r="G11" s="38">
        <f>NE_GL!E11</f>
        <v>217885477.40000001</v>
      </c>
      <c r="H11" s="60">
        <f>F11-D11</f>
        <v>7203382</v>
      </c>
      <c r="I11" s="38">
        <f>G11-E11</f>
        <v>40821506.400000006</v>
      </c>
    </row>
    <row r="12" spans="1:22" x14ac:dyDescent="0.2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-16145830.59</v>
      </c>
      <c r="H12" s="60">
        <f>F12-D12</f>
        <v>0</v>
      </c>
      <c r="I12" s="38">
        <f>G12-E12</f>
        <v>-16145830.59</v>
      </c>
    </row>
    <row r="13" spans="1:22" x14ac:dyDescent="0.2">
      <c r="A13" s="9">
        <v>3</v>
      </c>
      <c r="B13" s="7"/>
      <c r="C13" s="18" t="s">
        <v>31</v>
      </c>
      <c r="D13" s="65">
        <f>'NE-FLSH'!L13</f>
        <v>74294238</v>
      </c>
      <c r="E13" s="66">
        <f>'NE-FLSH'!M13</f>
        <v>136608351.47999999</v>
      </c>
      <c r="F13" s="60">
        <f>NE_GL!D13</f>
        <v>57587981</v>
      </c>
      <c r="G13" s="38">
        <f>NE_GL!E13</f>
        <v>108285717</v>
      </c>
      <c r="H13" s="60">
        <f t="shared" ref="H13:I15" si="0">F13-D13</f>
        <v>-16706257</v>
      </c>
      <c r="I13" s="38">
        <f t="shared" si="0"/>
        <v>-28322634.479999989</v>
      </c>
    </row>
    <row r="14" spans="1:22" x14ac:dyDescent="0.2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-73636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73636</v>
      </c>
    </row>
    <row r="15" spans="1:22" x14ac:dyDescent="0.2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-7926</v>
      </c>
      <c r="H15" s="60">
        <f t="shared" si="0"/>
        <v>0</v>
      </c>
      <c r="I15" s="38">
        <f t="shared" si="0"/>
        <v>-7926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180872086</v>
      </c>
      <c r="E16" s="39">
        <f t="shared" si="1"/>
        <v>313598686.48000002</v>
      </c>
      <c r="F16" s="61">
        <f t="shared" si="1"/>
        <v>171369211</v>
      </c>
      <c r="G16" s="39">
        <f t="shared" si="1"/>
        <v>310017437.81</v>
      </c>
      <c r="H16" s="61">
        <f t="shared" si="1"/>
        <v>-9502875</v>
      </c>
      <c r="I16" s="39">
        <f t="shared" si="1"/>
        <v>-3581248.6699999832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'NE-FLSH'!L19</f>
        <v>-113002199</v>
      </c>
      <c r="E19" s="66">
        <f>'NE-FLSH'!M19</f>
        <v>-186790149</v>
      </c>
      <c r="F19" s="60">
        <f>NE_GL!D19</f>
        <v>-118400513</v>
      </c>
      <c r="G19" s="38">
        <f>NE_GL!E19</f>
        <v>-207967257.50999999</v>
      </c>
      <c r="H19" s="60">
        <f>F19-D19</f>
        <v>-5398314</v>
      </c>
      <c r="I19" s="38">
        <f>G19-E19</f>
        <v>-21177108.50999999</v>
      </c>
    </row>
    <row r="20" spans="1:9" x14ac:dyDescent="0.2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9229717.0500000007</v>
      </c>
      <c r="H20" s="60">
        <f>F20-D20</f>
        <v>0</v>
      </c>
      <c r="I20" s="38">
        <f>G20-E20</f>
        <v>9229717.0500000007</v>
      </c>
    </row>
    <row r="21" spans="1:9" x14ac:dyDescent="0.2">
      <c r="A21" s="9">
        <v>8</v>
      </c>
      <c r="B21" s="7"/>
      <c r="C21" s="18" t="s">
        <v>31</v>
      </c>
      <c r="D21" s="65">
        <f>'NE-FLSH'!L21</f>
        <v>-65581659</v>
      </c>
      <c r="E21" s="66">
        <f>'NE-FLSH'!M21</f>
        <v>-122555762</v>
      </c>
      <c r="F21" s="60">
        <f>NE_GL!D21</f>
        <v>-57535637</v>
      </c>
      <c r="G21" s="38">
        <f>NE_GL!E21</f>
        <v>-108653057</v>
      </c>
      <c r="H21" s="60">
        <f t="shared" ref="H21:I23" si="2">F21-D21</f>
        <v>8046022</v>
      </c>
      <c r="I21" s="38">
        <f t="shared" si="2"/>
        <v>13902705</v>
      </c>
    </row>
    <row r="22" spans="1:9" x14ac:dyDescent="0.2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'NE-FLSH'!L23</f>
        <v>851856</v>
      </c>
      <c r="E23" s="66">
        <f>'NE-FLSH'!M23</f>
        <v>1525456</v>
      </c>
      <c r="F23" s="60">
        <f>NE_GL!D23</f>
        <v>1111223</v>
      </c>
      <c r="G23" s="38">
        <f>NE_GL!E23</f>
        <v>1795736.3679999998</v>
      </c>
      <c r="H23" s="60">
        <f t="shared" si="2"/>
        <v>259367</v>
      </c>
      <c r="I23" s="38">
        <f t="shared" si="2"/>
        <v>270280.36799999978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-177732002</v>
      </c>
      <c r="E24" s="39">
        <f t="shared" si="3"/>
        <v>-307820455</v>
      </c>
      <c r="F24" s="61">
        <f t="shared" si="3"/>
        <v>-174824927</v>
      </c>
      <c r="G24" s="39">
        <f t="shared" si="3"/>
        <v>-305594861.09200001</v>
      </c>
      <c r="H24" s="61">
        <f t="shared" si="3"/>
        <v>2907075</v>
      </c>
      <c r="I24" s="39">
        <f t="shared" si="3"/>
        <v>2225593.9080000101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'NE-FLSH'!L27</f>
        <v>-914166</v>
      </c>
      <c r="E27" s="66">
        <f>'NE-FLSH'!M27</f>
        <v>-1586850</v>
      </c>
      <c r="F27" s="60">
        <f>NE_GL!D27</f>
        <v>8998725</v>
      </c>
      <c r="G27" s="38">
        <f>NE_GL!E27</f>
        <v>15947372.279999999</v>
      </c>
      <c r="H27" s="60">
        <f>F27-D27</f>
        <v>9912891</v>
      </c>
      <c r="I27" s="38">
        <f>G27-E27</f>
        <v>17534222.280000001</v>
      </c>
    </row>
    <row r="28" spans="1:9" x14ac:dyDescent="0.2">
      <c r="A28" s="9">
        <v>12</v>
      </c>
      <c r="B28" s="7"/>
      <c r="C28" s="18" t="s">
        <v>40</v>
      </c>
      <c r="D28" s="65">
        <f>'NE-FLSH'!L28</f>
        <v>624569</v>
      </c>
      <c r="E28" s="66">
        <f>'NE-FLSH'!M28</f>
        <v>1133654</v>
      </c>
      <c r="F28" s="60">
        <f>NE_GL!D28</f>
        <v>-2535338</v>
      </c>
      <c r="G28" s="38">
        <f>NE_GL!E28</f>
        <v>-4444900.129999999</v>
      </c>
      <c r="H28" s="60">
        <f>F28-D28</f>
        <v>-3159907</v>
      </c>
      <c r="I28" s="38">
        <f>G28-E28</f>
        <v>-5578554.129999999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-289597</v>
      </c>
      <c r="E29" s="70">
        <f t="shared" si="4"/>
        <v>-453196</v>
      </c>
      <c r="F29" s="69">
        <f t="shared" si="4"/>
        <v>6463387</v>
      </c>
      <c r="G29" s="70">
        <f t="shared" si="4"/>
        <v>11502472.15</v>
      </c>
      <c r="H29" s="69">
        <f t="shared" si="4"/>
        <v>6752984</v>
      </c>
      <c r="I29" s="70">
        <f t="shared" si="4"/>
        <v>11955668.150000002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'NE-FLSH'!L32</f>
        <v>527947</v>
      </c>
      <c r="E32" s="66">
        <f>'NE-FLSH'!M32</f>
        <v>917553</v>
      </c>
      <c r="F32" s="60">
        <f>NE_GL!D32</f>
        <v>132529</v>
      </c>
      <c r="G32" s="38">
        <f>NE_GL!E32</f>
        <v>214166.59299999996</v>
      </c>
      <c r="H32" s="60">
        <f>F32-D32</f>
        <v>-395418</v>
      </c>
      <c r="I32" s="38">
        <f>G32-E32</f>
        <v>-703386.40700000001</v>
      </c>
    </row>
    <row r="33" spans="1:9" x14ac:dyDescent="0.2">
      <c r="A33" s="9">
        <v>14</v>
      </c>
      <c r="B33" s="7"/>
      <c r="C33" s="18" t="s">
        <v>44</v>
      </c>
      <c r="D33" s="65">
        <f>'NE-FLSH'!L33</f>
        <v>-454994</v>
      </c>
      <c r="E33" s="66">
        <f>'NE-FLSH'!M33</f>
        <v>-805403.31682523829</v>
      </c>
      <c r="F33" s="60">
        <f>NE_GL!D33</f>
        <v>-306163</v>
      </c>
      <c r="G33" s="38">
        <f>NE_GL!E33</f>
        <v>-598389.75</v>
      </c>
      <c r="H33" s="60">
        <f t="shared" ref="H33:I35" si="5">F33-D33</f>
        <v>148831</v>
      </c>
      <c r="I33" s="38">
        <f t="shared" si="5"/>
        <v>207013.56682523829</v>
      </c>
    </row>
    <row r="34" spans="1:9" x14ac:dyDescent="0.2">
      <c r="A34" s="9">
        <v>15</v>
      </c>
      <c r="B34" s="7"/>
      <c r="C34" s="18" t="s">
        <v>45</v>
      </c>
      <c r="D34" s="65">
        <f>'NE-FLSH'!L34</f>
        <v>460262</v>
      </c>
      <c r="E34" s="66">
        <f>'NE-FLSH'!M34</f>
        <v>797572</v>
      </c>
      <c r="F34" s="60">
        <f>NE_GL!D34</f>
        <v>58990</v>
      </c>
      <c r="G34" s="38">
        <f>NE_GL!E34</f>
        <v>98177.35</v>
      </c>
      <c r="H34" s="60">
        <f t="shared" si="5"/>
        <v>-401272</v>
      </c>
      <c r="I34" s="38">
        <f t="shared" si="5"/>
        <v>-699394.65</v>
      </c>
    </row>
    <row r="35" spans="1:9" x14ac:dyDescent="0.2">
      <c r="A35" s="9">
        <v>16</v>
      </c>
      <c r="B35" s="7"/>
      <c r="C35" s="18" t="s">
        <v>46</v>
      </c>
      <c r="D35" s="65">
        <f>'NE-FLSH'!L35</f>
        <v>-690663</v>
      </c>
      <c r="E35" s="66">
        <f>'NE-FLSH'!M35</f>
        <v>-1200819</v>
      </c>
      <c r="F35" s="60">
        <f>NE_GL!D35</f>
        <v>-197362</v>
      </c>
      <c r="G35" s="38">
        <f>NE_GL!E35</f>
        <v>-374713.01</v>
      </c>
      <c r="H35" s="60">
        <f t="shared" si="5"/>
        <v>493301</v>
      </c>
      <c r="I35" s="38">
        <f t="shared" si="5"/>
        <v>826105.99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-157448</v>
      </c>
      <c r="E36" s="39">
        <f t="shared" si="6"/>
        <v>-291097.31682523829</v>
      </c>
      <c r="F36" s="61">
        <f t="shared" si="6"/>
        <v>-312006</v>
      </c>
      <c r="G36" s="39">
        <f t="shared" si="6"/>
        <v>-660758.81700000004</v>
      </c>
      <c r="H36" s="61">
        <f t="shared" si="6"/>
        <v>-154558</v>
      </c>
      <c r="I36" s="39">
        <f t="shared" si="6"/>
        <v>-369661.50017476175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'NE-FLSH'!L39</f>
        <v>2013343</v>
      </c>
      <c r="E39" s="66">
        <f>'NE-FLSH'!M39</f>
        <v>3421215</v>
      </c>
      <c r="F39" s="60">
        <f>NE_GL!D39</f>
        <v>177355</v>
      </c>
      <c r="G39" s="38">
        <f>NE_GL!E39</f>
        <v>309810.31</v>
      </c>
      <c r="H39" s="60">
        <f t="shared" ref="H39:I41" si="7">F39-D39</f>
        <v>-1835988</v>
      </c>
      <c r="I39" s="38">
        <f t="shared" si="7"/>
        <v>-3111404.69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'NE-FLSH'!L40</f>
        <v>-5044080</v>
      </c>
      <c r="E40" s="66">
        <f>'NE-FLSH'!M40</f>
        <v>-3210283</v>
      </c>
      <c r="F40" s="60">
        <f>NE_GL!D40</f>
        <v>-2646458</v>
      </c>
      <c r="G40" s="38">
        <f>NE_GL!E40</f>
        <v>-7381314.580000001</v>
      </c>
      <c r="H40" s="60">
        <f t="shared" si="7"/>
        <v>2397622</v>
      </c>
      <c r="I40" s="38">
        <f t="shared" si="7"/>
        <v>-4171031.580000001</v>
      </c>
    </row>
    <row r="41" spans="1:9" x14ac:dyDescent="0.2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89462</v>
      </c>
      <c r="H41" s="60">
        <f t="shared" si="7"/>
        <v>0</v>
      </c>
      <c r="I41" s="38">
        <f t="shared" si="7"/>
        <v>89462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-5044080</v>
      </c>
      <c r="E42" s="70">
        <f t="shared" si="8"/>
        <v>-3210283</v>
      </c>
      <c r="F42" s="69">
        <f t="shared" si="8"/>
        <v>-2646458</v>
      </c>
      <c r="G42" s="70">
        <f t="shared" si="8"/>
        <v>-7291852.580000001</v>
      </c>
      <c r="H42" s="69">
        <f t="shared" si="8"/>
        <v>2397622</v>
      </c>
      <c r="I42" s="70">
        <f t="shared" si="8"/>
        <v>-4081569.580000001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-3030737</v>
      </c>
      <c r="E43" s="39">
        <f t="shared" si="9"/>
        <v>210932</v>
      </c>
      <c r="F43" s="61">
        <f t="shared" si="9"/>
        <v>-2469103</v>
      </c>
      <c r="G43" s="39">
        <f t="shared" si="9"/>
        <v>-6982042.2700000014</v>
      </c>
      <c r="H43" s="61">
        <f t="shared" si="9"/>
        <v>561634</v>
      </c>
      <c r="I43" s="39">
        <f t="shared" si="9"/>
        <v>-7192974.2700000014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'NE-FLSH'!L49</f>
        <v>397698</v>
      </c>
      <c r="E49" s="66">
        <f>'NE-FLSH'!M49</f>
        <v>697548.72748507408</v>
      </c>
      <c r="F49" s="60">
        <f>NE_GL!D49</f>
        <v>-226562</v>
      </c>
      <c r="G49" s="38">
        <f>NE_GL!E49</f>
        <v>-366154.24800000008</v>
      </c>
      <c r="H49" s="60">
        <f>F49-D49</f>
        <v>-624260</v>
      </c>
      <c r="I49" s="38">
        <f>G49-E49</f>
        <v>-1063702.9754850741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'NE-FLSH'!L51</f>
        <v>-851856</v>
      </c>
      <c r="E51" s="66">
        <f>'NE-FLSH'!M51</f>
        <v>-1525456</v>
      </c>
      <c r="F51" s="60">
        <f>NE_GL!D51</f>
        <v>-1427308</v>
      </c>
      <c r="G51" s="38">
        <f>NE_GL!E51</f>
        <v>-1795736.3679999998</v>
      </c>
      <c r="H51" s="60">
        <f>F51-D51</f>
        <v>-575452</v>
      </c>
      <c r="I51" s="38">
        <f>G51-E51</f>
        <v>-270280.36799999978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-1214622</v>
      </c>
      <c r="F54" s="60">
        <f>NE_GL!D54</f>
        <v>-53861099</v>
      </c>
      <c r="G54" s="38">
        <f>NE_GL!E54</f>
        <v>-1457484.6099999999</v>
      </c>
      <c r="H54" s="60">
        <f>F54-D54</f>
        <v>-53861099</v>
      </c>
      <c r="I54" s="38">
        <f>G54-E54</f>
        <v>-242862.60999999987</v>
      </c>
    </row>
    <row r="55" spans="1:9" x14ac:dyDescent="0.2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-12300269</v>
      </c>
      <c r="F55" s="60">
        <f>NE_GL!D55</f>
        <v>0</v>
      </c>
      <c r="G55" s="38">
        <f>NE_GL!E55</f>
        <v>-15270645.639999999</v>
      </c>
      <c r="H55" s="60">
        <f>F55-D55</f>
        <v>0</v>
      </c>
      <c r="I55" s="38">
        <f>G55-E55</f>
        <v>-2970376.6399999987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-13514891</v>
      </c>
      <c r="F56" s="61">
        <f t="shared" si="10"/>
        <v>-53861099</v>
      </c>
      <c r="G56" s="39">
        <f t="shared" si="10"/>
        <v>-16728130.249999998</v>
      </c>
      <c r="H56" s="61">
        <f t="shared" si="10"/>
        <v>-53861099</v>
      </c>
      <c r="I56" s="39">
        <f t="shared" si="10"/>
        <v>-3213239.2499999986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-123381.24799999999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123381.24799999999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-123381.24799999999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123381.24799999999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163760.72419047618</v>
      </c>
      <c r="F64" s="60">
        <f>NE_GL!D64</f>
        <v>0</v>
      </c>
      <c r="G64" s="38">
        <f>NE_GL!E64</f>
        <v>27083</v>
      </c>
      <c r="H64" s="60">
        <f>F64-D64</f>
        <v>0</v>
      </c>
      <c r="I64" s="38">
        <f>G64-E64</f>
        <v>-136677.72419047618</v>
      </c>
    </row>
    <row r="65" spans="1:9" x14ac:dyDescent="0.2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-410000</v>
      </c>
      <c r="H65" s="60">
        <f>F65-D65</f>
        <v>0</v>
      </c>
      <c r="I65" s="38">
        <f>G65-E65</f>
        <v>-410000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163760.72419047618</v>
      </c>
      <c r="F66" s="61">
        <f t="shared" si="12"/>
        <v>0</v>
      </c>
      <c r="G66" s="39">
        <f t="shared" si="12"/>
        <v>-382917</v>
      </c>
      <c r="H66" s="61">
        <f t="shared" si="12"/>
        <v>0</v>
      </c>
      <c r="I66" s="39">
        <f t="shared" si="12"/>
        <v>-546677.72419047612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6061805.5833007991</v>
      </c>
      <c r="F70" s="60">
        <f>NE_GL!D70</f>
        <v>0</v>
      </c>
      <c r="G70" s="38">
        <f>NE_GL!E70</f>
        <v>13025009.83</v>
      </c>
      <c r="H70" s="60">
        <f>F70-D70</f>
        <v>0</v>
      </c>
      <c r="I70" s="38">
        <f>G70-E70</f>
        <v>6963204.2466992009</v>
      </c>
    </row>
    <row r="71" spans="1:9" x14ac:dyDescent="0.2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6895881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-6895881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12957686.583300799</v>
      </c>
      <c r="F72" s="69">
        <f t="shared" si="13"/>
        <v>0</v>
      </c>
      <c r="G72" s="70">
        <f t="shared" si="13"/>
        <v>13025009.83</v>
      </c>
      <c r="H72" s="69">
        <f t="shared" si="13"/>
        <v>0</v>
      </c>
      <c r="I72" s="70">
        <f t="shared" si="13"/>
        <v>67323.246699200943</v>
      </c>
    </row>
    <row r="73" spans="1:9" x14ac:dyDescent="0.2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-15710834</v>
      </c>
      <c r="F74" s="60">
        <f>NE_GL!D74</f>
        <v>0</v>
      </c>
      <c r="G74" s="38">
        <f>NE_GL!E74</f>
        <v>-5019663</v>
      </c>
      <c r="H74" s="60">
        <f t="shared" ref="H74:I79" si="14">F74-D74</f>
        <v>0</v>
      </c>
      <c r="I74" s="38">
        <f t="shared" si="14"/>
        <v>10691171</v>
      </c>
    </row>
    <row r="75" spans="1:9" x14ac:dyDescent="0.2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165980</v>
      </c>
      <c r="F75" s="60">
        <f>NE_GL!D75</f>
        <v>0</v>
      </c>
      <c r="G75" s="38">
        <f>NE_GL!E75</f>
        <v>166000</v>
      </c>
      <c r="H75" s="60">
        <f t="shared" si="14"/>
        <v>0</v>
      </c>
      <c r="I75" s="38">
        <f t="shared" si="14"/>
        <v>20</v>
      </c>
    </row>
    <row r="76" spans="1:9" x14ac:dyDescent="0.2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-27985</v>
      </c>
      <c r="F76" s="60">
        <f>NE_GL!D76</f>
        <v>0</v>
      </c>
      <c r="G76" s="38">
        <f>NE_GL!E76</f>
        <v>-206717.31</v>
      </c>
      <c r="H76" s="60">
        <f t="shared" si="14"/>
        <v>0</v>
      </c>
      <c r="I76" s="38">
        <f t="shared" si="14"/>
        <v>-178732.31</v>
      </c>
    </row>
    <row r="77" spans="1:9" x14ac:dyDescent="0.2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1728274</v>
      </c>
      <c r="F77" s="60">
        <f>NE_GL!D77</f>
        <v>0</v>
      </c>
      <c r="G77" s="38">
        <f>NE_GL!E77</f>
        <v>-3046809</v>
      </c>
      <c r="H77" s="60">
        <f t="shared" si="14"/>
        <v>0</v>
      </c>
      <c r="I77" s="38">
        <f t="shared" si="14"/>
        <v>-4775083</v>
      </c>
    </row>
    <row r="78" spans="1:9" x14ac:dyDescent="0.2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25066.445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-25066.445</v>
      </c>
    </row>
    <row r="79" spans="1:9" x14ac:dyDescent="0.2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11792717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-11792717</v>
      </c>
    </row>
    <row r="80" spans="1:9" x14ac:dyDescent="0.2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109984.08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-109984.08</v>
      </c>
    </row>
    <row r="81" spans="1:9" x14ac:dyDescent="0.2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-1375918</v>
      </c>
      <c r="F81" s="60">
        <f>NE_GL!D81</f>
        <v>0</v>
      </c>
      <c r="G81" s="38">
        <f>NE_GL!E81</f>
        <v>1209598.94</v>
      </c>
      <c r="H81" s="60">
        <f>F81-D81</f>
        <v>0</v>
      </c>
      <c r="I81" s="38">
        <f>G81-E81</f>
        <v>2585516.94</v>
      </c>
    </row>
    <row r="82" spans="1:9" s="149" customFormat="1" ht="20.25" customHeight="1" thickBot="1" x14ac:dyDescent="0.25">
      <c r="A82" s="198"/>
      <c r="B82" s="199"/>
      <c r="C82" s="200" t="s">
        <v>83</v>
      </c>
      <c r="D82" s="117">
        <f>D16+D24+D29+D36+D43+D45+D47+D49</f>
        <v>60000</v>
      </c>
      <c r="E82" s="118">
        <f>SUM(E72:E81)+E16+E24+E29+E36+E43+E45+E47+E49+E51+E56+E61+E66</f>
        <v>607422.47515113512</v>
      </c>
      <c r="F82" s="117">
        <f>F16+F24+F29+F36+F43+F45+F47+F49</f>
        <v>0</v>
      </c>
      <c r="G82" s="118">
        <f>SUM(G72:G81)+G16+G24+G29+G36+G43+G45+G47+G49+G51+G56+G61+G66</f>
        <v>-4863270.6250000279</v>
      </c>
      <c r="H82" s="117">
        <f>H16+H24+H29+H36+H43+H45+H47+H49</f>
        <v>-60000</v>
      </c>
      <c r="I82" s="118">
        <f>SUM(I72:I81)+I16+I24+I29+I36+I43+I45+I47+I49+I51+I56+I61+I66</f>
        <v>-5470693.1001510834</v>
      </c>
    </row>
    <row r="83" spans="1:9" ht="13.5" thickTop="1" x14ac:dyDescent="0.2">
      <c r="A83" s="4"/>
      <c r="B83" s="3"/>
    </row>
    <row r="84" spans="1:9" x14ac:dyDescent="0.2">
      <c r="A84" s="4"/>
      <c r="B84" s="3"/>
    </row>
    <row r="85" spans="1:9" x14ac:dyDescent="0.2">
      <c r="A85" s="4" t="s">
        <v>190</v>
      </c>
      <c r="B85" s="3"/>
      <c r="F85" s="31"/>
      <c r="G85" s="31"/>
      <c r="H85" s="31"/>
      <c r="I85" s="31"/>
    </row>
    <row r="86" spans="1:9" x14ac:dyDescent="0.2">
      <c r="A86" s="182"/>
      <c r="B86" s="3"/>
      <c r="C86" s="10" t="s">
        <v>191</v>
      </c>
      <c r="D86" s="183">
        <f>'NE-FLSH'!L86</f>
        <v>0</v>
      </c>
      <c r="E86" s="183">
        <f>'NE-FLSH'!M86</f>
        <v>4377</v>
      </c>
      <c r="F86" s="183">
        <f>NE_GL!D86</f>
        <v>0</v>
      </c>
      <c r="G86" s="183">
        <f>NE_GL!E86</f>
        <v>4376.1699999999983</v>
      </c>
      <c r="H86" s="183">
        <f t="shared" ref="H86:I88" si="15">F86-D86</f>
        <v>0</v>
      </c>
      <c r="I86" s="183">
        <f t="shared" si="15"/>
        <v>-0.83000000000174623</v>
      </c>
    </row>
    <row r="87" spans="1:9" x14ac:dyDescent="0.2">
      <c r="A87" s="182"/>
      <c r="B87" s="3"/>
      <c r="C87" s="10" t="s">
        <v>75</v>
      </c>
      <c r="D87" s="184">
        <f>'NE-FLSH'!L87</f>
        <v>0</v>
      </c>
      <c r="E87" s="184">
        <f>'NE-FLSH'!M87</f>
        <v>0</v>
      </c>
      <c r="F87" s="184">
        <f>NE_GL!D87</f>
        <v>0</v>
      </c>
      <c r="G87" s="184">
        <f>NE_GL!E87</f>
        <v>0</v>
      </c>
      <c r="H87" s="184">
        <f t="shared" si="15"/>
        <v>0</v>
      </c>
      <c r="I87" s="184">
        <f t="shared" si="15"/>
        <v>0</v>
      </c>
    </row>
    <row r="88" spans="1:9" x14ac:dyDescent="0.2">
      <c r="A88" s="182"/>
      <c r="B88" s="3"/>
      <c r="C88" s="10" t="s">
        <v>76</v>
      </c>
      <c r="D88" s="185">
        <f>'NE-FLSH'!L88</f>
        <v>0</v>
      </c>
      <c r="E88" s="185">
        <f>'NE-FLSH'!M88</f>
        <v>0</v>
      </c>
      <c r="F88" s="185">
        <f>NE_GL!D88</f>
        <v>0</v>
      </c>
      <c r="G88" s="185">
        <f>NE_GL!E88</f>
        <v>0</v>
      </c>
      <c r="H88" s="185">
        <f t="shared" si="15"/>
        <v>0</v>
      </c>
      <c r="I88" s="185">
        <f t="shared" si="15"/>
        <v>0</v>
      </c>
    </row>
    <row r="89" spans="1:9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4377</v>
      </c>
      <c r="F89" s="189">
        <f t="shared" si="16"/>
        <v>0</v>
      </c>
      <c r="G89" s="189">
        <f t="shared" si="16"/>
        <v>4376.1699999999983</v>
      </c>
      <c r="H89" s="189">
        <f t="shared" si="16"/>
        <v>0</v>
      </c>
      <c r="I89" s="189">
        <f t="shared" si="16"/>
        <v>-0.83000000000174623</v>
      </c>
    </row>
    <row r="90" spans="1:9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9" s="149" customFormat="1" x14ac:dyDescent="0.2">
      <c r="A91" s="186"/>
      <c r="B91" s="187"/>
      <c r="C91" s="188" t="s">
        <v>193</v>
      </c>
      <c r="D91" s="189">
        <f t="shared" ref="D91:I91" si="17">+D82+D89</f>
        <v>60000</v>
      </c>
      <c r="E91" s="189">
        <f t="shared" si="17"/>
        <v>611799.47515113512</v>
      </c>
      <c r="F91" s="189">
        <f t="shared" si="17"/>
        <v>0</v>
      </c>
      <c r="G91" s="189">
        <f t="shared" si="17"/>
        <v>-4858894.455000028</v>
      </c>
      <c r="H91" s="189">
        <f t="shared" si="17"/>
        <v>-60000</v>
      </c>
      <c r="I91" s="189">
        <f t="shared" si="17"/>
        <v>-5470693.9301510835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27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'SE-LRC-FLSH'!L11</f>
        <v>10167711</v>
      </c>
      <c r="E11" s="66">
        <f>'SE-LRC-FLSH'!M11</f>
        <v>17389462</v>
      </c>
      <c r="F11" s="60">
        <f>'SE-LRC-GL'!D11</f>
        <v>9692831</v>
      </c>
      <c r="G11" s="38">
        <f>'SE-LRC-GL'!E11</f>
        <v>17544591.620000001</v>
      </c>
      <c r="H11" s="60">
        <f>F11-D11</f>
        <v>-474880</v>
      </c>
      <c r="I11" s="38">
        <f>G11-E11</f>
        <v>155129.62000000104</v>
      </c>
    </row>
    <row r="12" spans="1:22" x14ac:dyDescent="0.2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'SE-LRC-FLSH'!L13</f>
        <v>2625789</v>
      </c>
      <c r="E13" s="66">
        <f>'SE-LRC-FLSH'!M13</f>
        <v>4594435.5199999996</v>
      </c>
      <c r="F13" s="60">
        <f>'SE-LRC-GL'!D13</f>
        <v>0</v>
      </c>
      <c r="G13" s="38">
        <f>'SE-LRC-GL'!E13</f>
        <v>0</v>
      </c>
      <c r="H13" s="60">
        <f t="shared" ref="H13:I15" si="0">F13-D13</f>
        <v>-2625789</v>
      </c>
      <c r="I13" s="38">
        <f t="shared" si="0"/>
        <v>-4594435.5199999996</v>
      </c>
    </row>
    <row r="14" spans="1:22" x14ac:dyDescent="0.2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12793500</v>
      </c>
      <c r="E16" s="39">
        <f t="shared" si="1"/>
        <v>21983897.52</v>
      </c>
      <c r="F16" s="61">
        <f t="shared" si="1"/>
        <v>9692831</v>
      </c>
      <c r="G16" s="39">
        <f t="shared" si="1"/>
        <v>17544591.620000001</v>
      </c>
      <c r="H16" s="61">
        <f t="shared" si="1"/>
        <v>-3100669</v>
      </c>
      <c r="I16" s="39">
        <f t="shared" si="1"/>
        <v>-4439305.8999999985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'SE-LRC-FLSH'!L19</f>
        <v>-3999526</v>
      </c>
      <c r="E19" s="66">
        <f>'SE-LRC-FLSH'!M19</f>
        <v>-6884435</v>
      </c>
      <c r="F19" s="60">
        <f>'SE-LRC-GL'!D19</f>
        <v>-3450752</v>
      </c>
      <c r="G19" s="38">
        <f>'SE-LRC-GL'!E19</f>
        <v>-5929079.1799999997</v>
      </c>
      <c r="H19" s="60">
        <f>F19-D19</f>
        <v>548774</v>
      </c>
      <c r="I19" s="38">
        <f>G19-E19</f>
        <v>955355.8200000003</v>
      </c>
    </row>
    <row r="20" spans="1:9" x14ac:dyDescent="0.2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'SE-LRC-FLSH'!L21</f>
        <v>-9003725</v>
      </c>
      <c r="E21" s="66">
        <f>'SE-LRC-FLSH'!M21</f>
        <v>-15955875</v>
      </c>
      <c r="F21" s="60">
        <f>'SE-LRC-GL'!D21</f>
        <v>0</v>
      </c>
      <c r="G21" s="38">
        <f>'SE-LRC-GL'!E21</f>
        <v>0</v>
      </c>
      <c r="H21" s="60">
        <f t="shared" ref="H21:I23" si="2">F21-D21</f>
        <v>9003725</v>
      </c>
      <c r="I21" s="38">
        <f t="shared" si="2"/>
        <v>15955875</v>
      </c>
    </row>
    <row r="22" spans="1:9" x14ac:dyDescent="0.2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-14044</v>
      </c>
      <c r="G23" s="38">
        <f>'SE-LRC-GL'!E23</f>
        <v>-22213.910000000011</v>
      </c>
      <c r="H23" s="60">
        <f t="shared" si="2"/>
        <v>-14044</v>
      </c>
      <c r="I23" s="38">
        <f t="shared" si="2"/>
        <v>-22213.910000000011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-13003251</v>
      </c>
      <c r="E24" s="39">
        <f t="shared" si="3"/>
        <v>-22840310</v>
      </c>
      <c r="F24" s="61">
        <f t="shared" si="3"/>
        <v>-3464796</v>
      </c>
      <c r="G24" s="39">
        <f t="shared" si="3"/>
        <v>-5951293.0899999999</v>
      </c>
      <c r="H24" s="61">
        <f t="shared" si="3"/>
        <v>9538455</v>
      </c>
      <c r="I24" s="39">
        <f t="shared" si="3"/>
        <v>16889016.91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'SE-LRC-FLSH'!L27</f>
        <v>914166</v>
      </c>
      <c r="E27" s="66">
        <f>'SE-LRC-FLSH'!M27</f>
        <v>1586850</v>
      </c>
      <c r="F27" s="60">
        <f>'SE-LRC-GL'!D27</f>
        <v>2734538</v>
      </c>
      <c r="G27" s="38">
        <f>'SE-LRC-GL'!E27</f>
        <v>4795089.3</v>
      </c>
      <c r="H27" s="60">
        <f>F27-D27</f>
        <v>1820372</v>
      </c>
      <c r="I27" s="38">
        <f>G27-E27</f>
        <v>3208239.3</v>
      </c>
    </row>
    <row r="28" spans="1:9" x14ac:dyDescent="0.2">
      <c r="A28" s="9">
        <v>12</v>
      </c>
      <c r="B28" s="7"/>
      <c r="C28" s="18" t="s">
        <v>40</v>
      </c>
      <c r="D28" s="65">
        <f>'SE-LRC-FLSH'!L28</f>
        <v>-624569</v>
      </c>
      <c r="E28" s="66">
        <f>'SE-LRC-FLSH'!M28</f>
        <v>-1133654</v>
      </c>
      <c r="F28" s="60">
        <f>'SE-LRC-GL'!D28</f>
        <v>-9186051</v>
      </c>
      <c r="G28" s="38">
        <f>'SE-LRC-GL'!E28</f>
        <v>-16277112.170000004</v>
      </c>
      <c r="H28" s="60">
        <f>F28-D28</f>
        <v>-8561482</v>
      </c>
      <c r="I28" s="38">
        <f>G28-E28</f>
        <v>-15143458.170000004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289597</v>
      </c>
      <c r="E29" s="70">
        <f t="shared" si="4"/>
        <v>453196</v>
      </c>
      <c r="F29" s="69">
        <f t="shared" si="4"/>
        <v>-6451513</v>
      </c>
      <c r="G29" s="70">
        <f t="shared" si="4"/>
        <v>-11482022.870000005</v>
      </c>
      <c r="H29" s="69">
        <f t="shared" si="4"/>
        <v>-6741110</v>
      </c>
      <c r="I29" s="70">
        <f t="shared" si="4"/>
        <v>-11935218.870000005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'SE-LRC-FLSH'!L32</f>
        <v>0</v>
      </c>
      <c r="E32" s="66">
        <f>'SE-LRC-FLSH'!M32</f>
        <v>0</v>
      </c>
      <c r="F32" s="60">
        <f>'SE-LRC-GL'!D32</f>
        <v>-75733</v>
      </c>
      <c r="G32" s="38">
        <f>'SE-LRC-GL'!E32</f>
        <v>-122384.52899999998</v>
      </c>
      <c r="H32" s="60">
        <f>F32-D32</f>
        <v>-75733</v>
      </c>
      <c r="I32" s="38">
        <f>G32-E32</f>
        <v>-122384.52899999998</v>
      </c>
    </row>
    <row r="33" spans="1:9" x14ac:dyDescent="0.2">
      <c r="A33" s="9">
        <v>14</v>
      </c>
      <c r="B33" s="7"/>
      <c r="C33" s="18" t="s">
        <v>44</v>
      </c>
      <c r="D33" s="65">
        <f>'SE-LRC-FLSH'!L33</f>
        <v>0</v>
      </c>
      <c r="E33" s="66">
        <f>'SE-LRC-FLSH'!M33</f>
        <v>0</v>
      </c>
      <c r="F33" s="60">
        <f>'SE-LRC-GL'!D33</f>
        <v>0</v>
      </c>
      <c r="G33" s="38">
        <f>'SE-LRC-GL'!E33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-75733</v>
      </c>
      <c r="G36" s="39">
        <f t="shared" si="6"/>
        <v>-122384.52899999998</v>
      </c>
      <c r="H36" s="61">
        <f t="shared" si="6"/>
        <v>-75733</v>
      </c>
      <c r="I36" s="39">
        <f t="shared" si="6"/>
        <v>-122384.52899999998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'SE-LRC-FLSH'!L39</f>
        <v>882877</v>
      </c>
      <c r="E39" s="66">
        <f>'SE-LRC-FLSH'!M39</f>
        <v>1447917</v>
      </c>
      <c r="F39" s="60">
        <f>'SE-LRC-GL'!D39</f>
        <v>977438</v>
      </c>
      <c r="G39" s="38">
        <f>'SE-LRC-GL'!E39</f>
        <v>1607885.51</v>
      </c>
      <c r="H39" s="60">
        <f t="shared" ref="H39:I41" si="7">F39-D39</f>
        <v>94561</v>
      </c>
      <c r="I39" s="38">
        <f t="shared" si="7"/>
        <v>159968.51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'SE-LRC-FLSH'!L40</f>
        <v>-625025</v>
      </c>
      <c r="E40" s="66">
        <f>'SE-LRC-FLSH'!M40</f>
        <v>-1025040</v>
      </c>
      <c r="F40" s="60">
        <f>'SE-LRC-GL'!D40</f>
        <v>-720794</v>
      </c>
      <c r="G40" s="38">
        <f>'SE-LRC-GL'!E40</f>
        <v>-1185706.1300000001</v>
      </c>
      <c r="H40" s="60">
        <f t="shared" si="7"/>
        <v>-95769</v>
      </c>
      <c r="I40" s="38">
        <f t="shared" si="7"/>
        <v>-160666.13000000012</v>
      </c>
    </row>
    <row r="41" spans="1:9" x14ac:dyDescent="0.2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-625025</v>
      </c>
      <c r="E42" s="70">
        <f t="shared" si="8"/>
        <v>-1025040</v>
      </c>
      <c r="F42" s="69">
        <f t="shared" si="8"/>
        <v>-720794</v>
      </c>
      <c r="G42" s="70">
        <f t="shared" si="8"/>
        <v>-1185706.1300000001</v>
      </c>
      <c r="H42" s="69">
        <f t="shared" si="8"/>
        <v>-95769</v>
      </c>
      <c r="I42" s="70">
        <f t="shared" si="8"/>
        <v>-160666.13000000012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257852</v>
      </c>
      <c r="E43" s="39">
        <f t="shared" si="9"/>
        <v>422877</v>
      </c>
      <c r="F43" s="61">
        <f t="shared" si="9"/>
        <v>256644</v>
      </c>
      <c r="G43" s="39">
        <f t="shared" si="9"/>
        <v>422179.37999999989</v>
      </c>
      <c r="H43" s="61">
        <f t="shared" si="9"/>
        <v>-1208</v>
      </c>
      <c r="I43" s="39">
        <f t="shared" si="9"/>
        <v>-697.62000000011176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-27044</v>
      </c>
      <c r="G45" s="38">
        <f>'SE-LRC-GL'!E45</f>
        <v>-46231.18</v>
      </c>
      <c r="H45" s="60">
        <f>F45-D45</f>
        <v>-27044</v>
      </c>
      <c r="I45" s="38">
        <f>G45-E45</f>
        <v>-46231.18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0</v>
      </c>
      <c r="G47" s="38">
        <f>'SE-LRC-GL'!E47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'SE-LRC-FLSH'!L49</f>
        <v>-397698</v>
      </c>
      <c r="E49" s="66">
        <f>'SE-LRC-FLSH'!M49</f>
        <v>-697548.72748507408</v>
      </c>
      <c r="F49" s="60">
        <f>'SE-LRC-GL'!D49</f>
        <v>69611</v>
      </c>
      <c r="G49" s="38">
        <f>'SE-LRC-GL'!E49</f>
        <v>112491.37199999992</v>
      </c>
      <c r="H49" s="60">
        <f>F49-D49</f>
        <v>467309</v>
      </c>
      <c r="I49" s="38">
        <f>G49-E49</f>
        <v>810040.09948507394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-29238</v>
      </c>
      <c r="G51" s="38">
        <f>'SE-LRC-GL'!E51</f>
        <v>-51797.440000000002</v>
      </c>
      <c r="H51" s="60">
        <f>F51-D51</f>
        <v>-29238</v>
      </c>
      <c r="I51" s="38">
        <f>G51-E51</f>
        <v>-51797.440000000002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0</v>
      </c>
      <c r="G54" s="38">
        <f>'SE-LRC-GL'!E54</f>
        <v>52201.599999999999</v>
      </c>
      <c r="H54" s="60">
        <f>F54-D54</f>
        <v>0</v>
      </c>
      <c r="I54" s="38">
        <f>G54-E54</f>
        <v>52201.599999999999</v>
      </c>
    </row>
    <row r="55" spans="1:9" x14ac:dyDescent="0.2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170000</v>
      </c>
      <c r="H55" s="60">
        <f>F55-D55</f>
        <v>0</v>
      </c>
      <c r="I55" s="38">
        <f>G55-E55</f>
        <v>170000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222201.60000000001</v>
      </c>
      <c r="H56" s="61">
        <f t="shared" si="10"/>
        <v>0</v>
      </c>
      <c r="I56" s="39">
        <f t="shared" si="10"/>
        <v>222201.60000000001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3063827</v>
      </c>
      <c r="G59" s="38">
        <f>'SE-LRC-GL'!E59</f>
        <v>61405.760000000002</v>
      </c>
      <c r="H59" s="60">
        <f>F59-D59</f>
        <v>3063827</v>
      </c>
      <c r="I59" s="38">
        <f>G59-E59</f>
        <v>61405.760000000002</v>
      </c>
    </row>
    <row r="60" spans="1:9" x14ac:dyDescent="0.2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123381.24799999999</v>
      </c>
      <c r="F60" s="60">
        <f>'SE-LRC-GL'!D60</f>
        <v>0</v>
      </c>
      <c r="G60" s="38">
        <f>'SE-LRC-GL'!E60</f>
        <v>0</v>
      </c>
      <c r="H60" s="60">
        <f>F60-D60</f>
        <v>0</v>
      </c>
      <c r="I60" s="38">
        <f>G60-E60</f>
        <v>-123381.24799999999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123381.24799999999</v>
      </c>
      <c r="F61" s="69">
        <f t="shared" si="11"/>
        <v>3063827</v>
      </c>
      <c r="G61" s="70">
        <f t="shared" si="11"/>
        <v>61405.760000000002</v>
      </c>
      <c r="H61" s="69">
        <f t="shared" si="11"/>
        <v>3063827</v>
      </c>
      <c r="I61" s="70">
        <f t="shared" si="11"/>
        <v>-61975.48799999999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-20232882</v>
      </c>
      <c r="G64" s="38">
        <f>'SE-LRC-GL'!E64</f>
        <v>-2478760.2799999993</v>
      </c>
      <c r="H64" s="60">
        <f>F64-D64</f>
        <v>-20232882</v>
      </c>
      <c r="I64" s="38">
        <f>G64-E64</f>
        <v>-2478760.2799999993</v>
      </c>
    </row>
    <row r="65" spans="1:9" x14ac:dyDescent="0.2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20411330</v>
      </c>
      <c r="G65" s="38">
        <f>'SE-LRC-GL'!E65</f>
        <v>2465548.2799999998</v>
      </c>
      <c r="H65" s="60">
        <f>F65-D65</f>
        <v>20411330</v>
      </c>
      <c r="I65" s="38">
        <f>G65-E65</f>
        <v>2465548.2799999998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178448</v>
      </c>
      <c r="G66" s="39">
        <f t="shared" si="12"/>
        <v>-13211.999999999534</v>
      </c>
      <c r="H66" s="61">
        <f t="shared" si="12"/>
        <v>178448</v>
      </c>
      <c r="I66" s="39">
        <f t="shared" si="12"/>
        <v>-13211.999999999534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83</v>
      </c>
      <c r="D82" s="71">
        <f>D16+D24+D29+D36+D43+D45+D47+D49</f>
        <v>-60000</v>
      </c>
      <c r="E82" s="72">
        <f>SUM(E72:E81)+E16+E24+E29+E36+E43+E45+E47+E49+E51+E56+E61+E66</f>
        <v>-3554506.9594850745</v>
      </c>
      <c r="F82" s="71">
        <f>F16+F24+F29+F36+F43+F45+F47+F49</f>
        <v>0</v>
      </c>
      <c r="G82" s="72">
        <f>SUM(G72:G81)+G16+G24+G29+G36+G43+G45+G47+G49+G51+G56+G61+G66</f>
        <v>695928.62299999676</v>
      </c>
      <c r="H82" s="71">
        <f>H16+H24+H29+H36+H43+H45+H47+H49</f>
        <v>60000</v>
      </c>
      <c r="I82" s="72">
        <f>SUM(I72:I81)+I16+I24+I29+I36+I43+I45+I47+I49+I51+I56+I61+I66</f>
        <v>4250435.5824850705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76" activePane="bottomRight" state="frozen"/>
      <selection activeCell="D10" sqref="D10"/>
      <selection pane="topRight" activeCell="D10" sqref="D10"/>
      <selection pane="bottomLeft" activeCell="D10" sqref="D10"/>
      <selection pane="bottomRight" activeCell="A81" sqref="A8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'SE-CON-FLSH'!L11</f>
        <v>10167711</v>
      </c>
      <c r="E11" s="66">
        <f>'SE-CON-FLSH'!M11</f>
        <v>17389462</v>
      </c>
      <c r="F11" s="60">
        <f>'SE-CON-GL '!D11</f>
        <v>9692831</v>
      </c>
      <c r="G11" s="38">
        <f>'SE-CON-GL '!E11</f>
        <v>17544591.620000001</v>
      </c>
      <c r="H11" s="60">
        <f>F11-D11</f>
        <v>-474880</v>
      </c>
      <c r="I11" s="38">
        <f>G11-E11</f>
        <v>155129.62000000104</v>
      </c>
    </row>
    <row r="12" spans="1:22" x14ac:dyDescent="0.2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'SE-CON-FLSH'!L13</f>
        <v>2625789</v>
      </c>
      <c r="E13" s="66">
        <f>'SE-CON-FLSH'!M13</f>
        <v>4594435.5199999996</v>
      </c>
      <c r="F13" s="60">
        <f>'SE-CON-GL '!D13</f>
        <v>0</v>
      </c>
      <c r="G13" s="38">
        <f>'SE-CON-GL '!E13</f>
        <v>0</v>
      </c>
      <c r="H13" s="60">
        <f t="shared" ref="H13:I15" si="0">F13-D13</f>
        <v>-2625789</v>
      </c>
      <c r="I13" s="38">
        <f t="shared" si="0"/>
        <v>-4594435.5199999996</v>
      </c>
    </row>
    <row r="14" spans="1:22" x14ac:dyDescent="0.2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12793500</v>
      </c>
      <c r="E16" s="39">
        <f t="shared" si="1"/>
        <v>21983897.52</v>
      </c>
      <c r="F16" s="61">
        <f t="shared" si="1"/>
        <v>9692831</v>
      </c>
      <c r="G16" s="39">
        <f t="shared" si="1"/>
        <v>17544591.620000001</v>
      </c>
      <c r="H16" s="61">
        <f t="shared" si="1"/>
        <v>-3100669</v>
      </c>
      <c r="I16" s="39">
        <f t="shared" si="1"/>
        <v>-4439305.8999999985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'SE-CON-FLSH'!L19</f>
        <v>-3999526</v>
      </c>
      <c r="E19" s="66">
        <f>'SE-CON-FLSH'!M19</f>
        <v>-6884435</v>
      </c>
      <c r="F19" s="60">
        <f>'SE-CON-GL '!D19</f>
        <v>-3450752</v>
      </c>
      <c r="G19" s="38">
        <f>'SE-CON-GL '!E19</f>
        <v>-5929079.1799999997</v>
      </c>
      <c r="H19" s="60">
        <f>F19-D19</f>
        <v>548774</v>
      </c>
      <c r="I19" s="38">
        <f>G19-E19</f>
        <v>955355.8200000003</v>
      </c>
    </row>
    <row r="20" spans="1:9" x14ac:dyDescent="0.2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'SE-CON-FLSH'!L21</f>
        <v>-9003725</v>
      </c>
      <c r="E21" s="66">
        <f>'SE-CON-FLSH'!M21</f>
        <v>-15955875</v>
      </c>
      <c r="F21" s="60">
        <f>'SE-CON-GL '!D21</f>
        <v>0</v>
      </c>
      <c r="G21" s="38">
        <f>'SE-CON-GL '!E21</f>
        <v>0</v>
      </c>
      <c r="H21" s="60">
        <f t="shared" ref="H21:I23" si="2">F21-D21</f>
        <v>9003725</v>
      </c>
      <c r="I21" s="38">
        <f t="shared" si="2"/>
        <v>15955875</v>
      </c>
    </row>
    <row r="22" spans="1:9" x14ac:dyDescent="0.2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29241</v>
      </c>
      <c r="G23" s="38">
        <f>'SE-CON-GL '!E23</f>
        <v>51803.439999999995</v>
      </c>
      <c r="H23" s="60">
        <f t="shared" si="2"/>
        <v>29241</v>
      </c>
      <c r="I23" s="38">
        <f t="shared" si="2"/>
        <v>51803.439999999995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-13003251</v>
      </c>
      <c r="E24" s="39">
        <f t="shared" si="3"/>
        <v>-22840310</v>
      </c>
      <c r="F24" s="61">
        <f t="shared" si="3"/>
        <v>-3421511</v>
      </c>
      <c r="G24" s="39">
        <f t="shared" si="3"/>
        <v>-5877275.7399999993</v>
      </c>
      <c r="H24" s="61">
        <f t="shared" si="3"/>
        <v>9581740</v>
      </c>
      <c r="I24" s="39">
        <f t="shared" si="3"/>
        <v>16963034.260000002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'SE-CON-FLSH'!L27</f>
        <v>914166</v>
      </c>
      <c r="E27" s="66">
        <f>'SE-CON-FLSH'!M27</f>
        <v>1586850</v>
      </c>
      <c r="F27" s="60">
        <f>'SE-CON-GL '!D27</f>
        <v>2734538</v>
      </c>
      <c r="G27" s="38">
        <f>'SE-CON-GL '!E27</f>
        <v>4795089.3</v>
      </c>
      <c r="H27" s="60">
        <f>F27-D27</f>
        <v>1820372</v>
      </c>
      <c r="I27" s="38">
        <f>G27-E27</f>
        <v>3208239.3</v>
      </c>
    </row>
    <row r="28" spans="1:9" x14ac:dyDescent="0.2">
      <c r="A28" s="9">
        <v>12</v>
      </c>
      <c r="B28" s="7"/>
      <c r="C28" s="18" t="s">
        <v>40</v>
      </c>
      <c r="D28" s="65">
        <f>'SE-CON-FLSH'!L28</f>
        <v>-624569</v>
      </c>
      <c r="E28" s="66">
        <f>'SE-CON-FLSH'!M28</f>
        <v>-1133654</v>
      </c>
      <c r="F28" s="60">
        <f>'SE-CON-GL '!D28</f>
        <v>-9186051</v>
      </c>
      <c r="G28" s="38">
        <f>'SE-CON-GL '!E28</f>
        <v>-16277112.310000002</v>
      </c>
      <c r="H28" s="60">
        <f>F28-D28</f>
        <v>-8561482</v>
      </c>
      <c r="I28" s="38">
        <f>G28-E28</f>
        <v>-15143458.310000002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289597</v>
      </c>
      <c r="E29" s="70">
        <f t="shared" si="4"/>
        <v>453196</v>
      </c>
      <c r="F29" s="69">
        <f t="shared" si="4"/>
        <v>-6451513</v>
      </c>
      <c r="G29" s="70">
        <f t="shared" si="4"/>
        <v>-11482023.010000002</v>
      </c>
      <c r="H29" s="69">
        <f t="shared" si="4"/>
        <v>-6741110</v>
      </c>
      <c r="I29" s="70">
        <f t="shared" si="4"/>
        <v>-11935219.010000002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'SE-CON-FLSH'!L32</f>
        <v>0</v>
      </c>
      <c r="E32" s="66">
        <f>'SE-CON-FLSH'!M32</f>
        <v>0</v>
      </c>
      <c r="F32" s="60">
        <f>'SE-CON-GL '!D32</f>
        <v>-119018</v>
      </c>
      <c r="G32" s="38">
        <f>'SE-CON-GL '!E32</f>
        <v>-192333.08899999998</v>
      </c>
      <c r="H32" s="60">
        <f>F32-D32</f>
        <v>-119018</v>
      </c>
      <c r="I32" s="38">
        <f>G32-E32</f>
        <v>-192333.08899999998</v>
      </c>
    </row>
    <row r="33" spans="1:9" x14ac:dyDescent="0.2">
      <c r="A33" s="9">
        <v>14</v>
      </c>
      <c r="B33" s="7"/>
      <c r="C33" s="18" t="s">
        <v>44</v>
      </c>
      <c r="D33" s="65">
        <f>'SE-CON-FLSH'!L33</f>
        <v>0</v>
      </c>
      <c r="E33" s="66">
        <f>'SE-CON-FLSH'!M33</f>
        <v>0</v>
      </c>
      <c r="F33" s="60">
        <f>'SE-CON-GL '!D33</f>
        <v>0</v>
      </c>
      <c r="G33" s="38">
        <f>'SE-CON-GL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-119018</v>
      </c>
      <c r="G36" s="39">
        <f t="shared" si="6"/>
        <v>-192333.08899999998</v>
      </c>
      <c r="H36" s="61">
        <f t="shared" si="6"/>
        <v>-119018</v>
      </c>
      <c r="I36" s="39">
        <f t="shared" si="6"/>
        <v>-192333.08899999998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'SE-CON-FLSH'!L39</f>
        <v>882877</v>
      </c>
      <c r="E39" s="66">
        <f>'SE-CON-FLSH'!M39</f>
        <v>1447917</v>
      </c>
      <c r="F39" s="60">
        <f>'SE-CON-GL '!D39</f>
        <v>977438</v>
      </c>
      <c r="G39" s="38">
        <f>'SE-CON-GL '!E39</f>
        <v>1607885.51</v>
      </c>
      <c r="H39" s="60">
        <f t="shared" ref="H39:I41" si="7">F39-D39</f>
        <v>94561</v>
      </c>
      <c r="I39" s="38">
        <f t="shared" si="7"/>
        <v>159968.51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'SE-CON-FLSH'!L40</f>
        <v>-625025</v>
      </c>
      <c r="E40" s="66">
        <f>'SE-CON-FLSH'!M40</f>
        <v>-1025040</v>
      </c>
      <c r="F40" s="60">
        <f>'SE-CON-GL '!D40</f>
        <v>-720794</v>
      </c>
      <c r="G40" s="38">
        <f>'SE-CON-GL '!E40</f>
        <v>-1185706.1300000001</v>
      </c>
      <c r="H40" s="60">
        <f t="shared" si="7"/>
        <v>-95769</v>
      </c>
      <c r="I40" s="38">
        <f t="shared" si="7"/>
        <v>-160666.13000000012</v>
      </c>
    </row>
    <row r="41" spans="1:9" x14ac:dyDescent="0.2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-625025</v>
      </c>
      <c r="E42" s="70">
        <f t="shared" si="8"/>
        <v>-1025040</v>
      </c>
      <c r="F42" s="69">
        <f t="shared" si="8"/>
        <v>-720794</v>
      </c>
      <c r="G42" s="70">
        <f t="shared" si="8"/>
        <v>-1185706.1300000001</v>
      </c>
      <c r="H42" s="69">
        <f t="shared" si="8"/>
        <v>-95769</v>
      </c>
      <c r="I42" s="70">
        <f t="shared" si="8"/>
        <v>-160666.13000000012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257852</v>
      </c>
      <c r="E43" s="39">
        <f t="shared" si="9"/>
        <v>422877</v>
      </c>
      <c r="F43" s="61">
        <f t="shared" si="9"/>
        <v>256644</v>
      </c>
      <c r="G43" s="39">
        <f t="shared" si="9"/>
        <v>422179.37999999989</v>
      </c>
      <c r="H43" s="61">
        <f t="shared" si="9"/>
        <v>-1208</v>
      </c>
      <c r="I43" s="39">
        <f t="shared" si="9"/>
        <v>-697.62000000011176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-27044</v>
      </c>
      <c r="G45" s="38">
        <f>'SE-CON-GL '!E45</f>
        <v>-46230.1</v>
      </c>
      <c r="H45" s="60">
        <f>F45-D45</f>
        <v>-27044</v>
      </c>
      <c r="I45" s="38">
        <f>G45-E45</f>
        <v>-46230.1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0</v>
      </c>
      <c r="G47" s="38">
        <f>'SE-CON-GL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'SE-CON-FLSH'!L49</f>
        <v>-397698</v>
      </c>
      <c r="E49" s="66">
        <f>'SE-CON-FLSH'!M49</f>
        <v>-697548.72748507408</v>
      </c>
      <c r="F49" s="60">
        <f>'SE-CON-GL '!D49</f>
        <v>69611</v>
      </c>
      <c r="G49" s="38">
        <f>'SE-CON-GL '!E49</f>
        <v>112491.37199999993</v>
      </c>
      <c r="H49" s="60">
        <f>F49-D49</f>
        <v>467309</v>
      </c>
      <c r="I49" s="38">
        <f>G49-E49</f>
        <v>810040.09948507405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-29238</v>
      </c>
      <c r="G51" s="38">
        <f>'SE-CON-GL '!E51</f>
        <v>-51797.440000000002</v>
      </c>
      <c r="H51" s="60">
        <f>F51-D51</f>
        <v>-29238</v>
      </c>
      <c r="I51" s="38">
        <f>G51-E51</f>
        <v>-51797.440000000002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0</v>
      </c>
      <c r="G54" s="38">
        <f>'SE-CON-GL '!E54</f>
        <v>52201.599999999999</v>
      </c>
      <c r="H54" s="60">
        <f>F54-D54</f>
        <v>0</v>
      </c>
      <c r="I54" s="38">
        <f>G54-E54</f>
        <v>52201.599999999999</v>
      </c>
    </row>
    <row r="55" spans="1:9" x14ac:dyDescent="0.2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170000</v>
      </c>
      <c r="H55" s="60">
        <f>F55-D55</f>
        <v>0</v>
      </c>
      <c r="I55" s="38">
        <f>G55-E55</f>
        <v>170000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222201.60000000001</v>
      </c>
      <c r="H56" s="61">
        <f t="shared" si="10"/>
        <v>0</v>
      </c>
      <c r="I56" s="39">
        <f t="shared" si="10"/>
        <v>222201.60000000001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3063827</v>
      </c>
      <c r="G59" s="38">
        <f>'SE-CON-GL '!E59</f>
        <v>61405.760000000002</v>
      </c>
      <c r="H59" s="60">
        <f>F59-D59</f>
        <v>3063827</v>
      </c>
      <c r="I59" s="38">
        <f>G59-E59</f>
        <v>61405.760000000002</v>
      </c>
    </row>
    <row r="60" spans="1:9" x14ac:dyDescent="0.2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123381.24799999999</v>
      </c>
      <c r="F60" s="60">
        <f>'SE-CON-GL '!D60</f>
        <v>0</v>
      </c>
      <c r="G60" s="38">
        <f>'SE-CON-GL '!E60</f>
        <v>0</v>
      </c>
      <c r="H60" s="60">
        <f>F60-D60</f>
        <v>0</v>
      </c>
      <c r="I60" s="38">
        <f>G60-E60</f>
        <v>-123381.24799999999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123381.24799999999</v>
      </c>
      <c r="F61" s="69">
        <f t="shared" si="11"/>
        <v>3063827</v>
      </c>
      <c r="G61" s="70">
        <f t="shared" si="11"/>
        <v>61405.760000000002</v>
      </c>
      <c r="H61" s="69">
        <f t="shared" si="11"/>
        <v>3063827</v>
      </c>
      <c r="I61" s="70">
        <f t="shared" si="11"/>
        <v>-61975.48799999999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-20486833</v>
      </c>
      <c r="G64" s="38">
        <f>'SE-CON-GL '!E64</f>
        <v>-2722878.85</v>
      </c>
      <c r="H64" s="60">
        <f>F64-D64</f>
        <v>-20486833</v>
      </c>
      <c r="I64" s="38">
        <f>G64-E64</f>
        <v>-2722878.85</v>
      </c>
    </row>
    <row r="65" spans="1:9" x14ac:dyDescent="0.2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20750992</v>
      </c>
      <c r="G65" s="38">
        <f>'SE-CON-GL '!E65</f>
        <v>2500065.17</v>
      </c>
      <c r="H65" s="60">
        <f>F65-D65</f>
        <v>20750992</v>
      </c>
      <c r="I65" s="38">
        <f>G65-E65</f>
        <v>2500065.17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264159</v>
      </c>
      <c r="G66" s="39">
        <f t="shared" si="12"/>
        <v>-222813.68000000017</v>
      </c>
      <c r="H66" s="61">
        <f t="shared" si="12"/>
        <v>264159</v>
      </c>
      <c r="I66" s="39">
        <f t="shared" si="12"/>
        <v>-222813.68000000017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-60000</v>
      </c>
      <c r="E82" s="118">
        <f>SUM(E72:E81)+E16+E24+E29+E36+E43+E45+E47+E49+E51+E56+E61+E66</f>
        <v>-3554506.9594850745</v>
      </c>
      <c r="F82" s="117">
        <f>F16+F24+F29+F36+F43+F45+F47+F49</f>
        <v>0</v>
      </c>
      <c r="G82" s="118">
        <f>SUM(G72:G81)+G16+G24+G29+G36+G43+G45+G47+G49+G51+G56+G61+G66</f>
        <v>490396.67300000077</v>
      </c>
      <c r="H82" s="117">
        <f>H16+H24+H29+H36+H43+H45+H47+H49</f>
        <v>60000</v>
      </c>
      <c r="I82" s="118">
        <f>SUM(I72:I81)+I16+I24+I29+I36+I43+I45+I47+I49+I51+I56+I61+I66</f>
        <v>4044903.6324850754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78" zoomScale="75" workbookViewId="0">
      <selection activeCell="E91" sqref="E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+'EAST-CON-FLSH'!D11</f>
        <v>122285288</v>
      </c>
      <c r="E11" s="66">
        <f>+'EAST-CON-FLSH'!E11</f>
        <v>200555997</v>
      </c>
      <c r="F11" s="60">
        <f>+'EAST-CON-GL'!D11</f>
        <v>129024730</v>
      </c>
      <c r="G11" s="38">
        <f>+'EAST-CON-GL'!E11</f>
        <v>239913893.78999999</v>
      </c>
      <c r="H11" s="60">
        <f>F11-D11</f>
        <v>6739442</v>
      </c>
      <c r="I11" s="38">
        <f>G11-E11</f>
        <v>39357896.789999992</v>
      </c>
    </row>
    <row r="12" spans="1:22" x14ac:dyDescent="0.2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-16145830.59</v>
      </c>
      <c r="H12" s="60">
        <f>F12-D12</f>
        <v>0</v>
      </c>
      <c r="I12" s="38">
        <f>G12-E12</f>
        <v>-16145830.59</v>
      </c>
    </row>
    <row r="13" spans="1:22" x14ac:dyDescent="0.2">
      <c r="A13" s="9">
        <v>3</v>
      </c>
      <c r="B13" s="7"/>
      <c r="C13" s="18" t="s">
        <v>31</v>
      </c>
      <c r="D13" s="65">
        <f>+'EAST-CON-FLSH'!D13</f>
        <v>88090702</v>
      </c>
      <c r="E13" s="66">
        <f>+'EAST-CON-FLSH'!E13</f>
        <v>163720104</v>
      </c>
      <c r="F13" s="60">
        <f>+'EAST-CON-GL'!D13</f>
        <v>68822049</v>
      </c>
      <c r="G13" s="38">
        <f>+'EAST-CON-GL'!E13</f>
        <v>130897872</v>
      </c>
      <c r="H13" s="60">
        <f t="shared" ref="H13:I15" si="0">F13-D13</f>
        <v>-19268653</v>
      </c>
      <c r="I13" s="38">
        <f t="shared" si="0"/>
        <v>-32822232</v>
      </c>
    </row>
    <row r="14" spans="1:22" x14ac:dyDescent="0.2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-73636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73636</v>
      </c>
    </row>
    <row r="15" spans="1:22" x14ac:dyDescent="0.2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-7926</v>
      </c>
      <c r="H15" s="60">
        <f t="shared" si="0"/>
        <v>0</v>
      </c>
      <c r="I15" s="38">
        <f t="shared" si="0"/>
        <v>-7926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210375990</v>
      </c>
      <c r="E16" s="39">
        <f t="shared" si="1"/>
        <v>364202465</v>
      </c>
      <c r="F16" s="61">
        <f t="shared" si="1"/>
        <v>197846779</v>
      </c>
      <c r="G16" s="39">
        <f t="shared" si="1"/>
        <v>354658009.19999999</v>
      </c>
      <c r="H16" s="61">
        <f t="shared" si="1"/>
        <v>-12529211</v>
      </c>
      <c r="I16" s="39">
        <f t="shared" si="1"/>
        <v>-9544455.8000000082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+'EAST-CON-FLSH'!D19</f>
        <v>-120148388</v>
      </c>
      <c r="E19" s="66">
        <f>+'EAST-CON-FLSH'!E19</f>
        <v>-196235349</v>
      </c>
      <c r="F19" s="60">
        <f>+'EAST-CON-GL'!D19</f>
        <v>-124740199</v>
      </c>
      <c r="G19" s="38">
        <f>+'EAST-CON-GL'!E19</f>
        <v>-216148316</v>
      </c>
      <c r="H19" s="60">
        <f>F19-D19</f>
        <v>-4591811</v>
      </c>
      <c r="I19" s="38">
        <f>G19-E19</f>
        <v>-19912967</v>
      </c>
    </row>
    <row r="20" spans="1:9" x14ac:dyDescent="0.2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9229717.0500000007</v>
      </c>
      <c r="H20" s="60">
        <f>F20-D20</f>
        <v>0</v>
      </c>
      <c r="I20" s="38">
        <f>G20-E20</f>
        <v>9229717.0500000007</v>
      </c>
    </row>
    <row r="21" spans="1:9" x14ac:dyDescent="0.2">
      <c r="A21" s="9">
        <v>8</v>
      </c>
      <c r="B21" s="7"/>
      <c r="C21" s="18" t="s">
        <v>31</v>
      </c>
      <c r="D21" s="65">
        <f>+'EAST-CON-FLSH'!D21</f>
        <v>-87638738</v>
      </c>
      <c r="E21" s="66">
        <f>+'EAST-CON-FLSH'!E21</f>
        <v>-163816870</v>
      </c>
      <c r="F21" s="60">
        <f>+'EAST-CON-GL'!D21</f>
        <v>-70373393</v>
      </c>
      <c r="G21" s="38">
        <f>+'EAST-CON-GL'!E21</f>
        <v>-133584228</v>
      </c>
      <c r="H21" s="60">
        <f t="shared" ref="H21:I23" si="2">F21-D21</f>
        <v>17265345</v>
      </c>
      <c r="I21" s="38">
        <f t="shared" si="2"/>
        <v>30232642</v>
      </c>
    </row>
    <row r="22" spans="1:9" x14ac:dyDescent="0.2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+'EAST-CON-FLSH'!D23</f>
        <v>1167941</v>
      </c>
      <c r="E23" s="66">
        <f>+'EAST-CON-FLSH'!E23</f>
        <v>2104698</v>
      </c>
      <c r="F23" s="60">
        <f>+'EAST-CON-GL'!D23</f>
        <v>1127950</v>
      </c>
      <c r="G23" s="38">
        <f>+'EAST-CON-GL'!E23</f>
        <v>1827317.1880000001</v>
      </c>
      <c r="H23" s="60">
        <f t="shared" si="2"/>
        <v>-39991</v>
      </c>
      <c r="I23" s="38">
        <f t="shared" si="2"/>
        <v>-277380.81199999992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-206619185</v>
      </c>
      <c r="E24" s="39">
        <f t="shared" si="3"/>
        <v>-357947521</v>
      </c>
      <c r="F24" s="61">
        <f t="shared" si="3"/>
        <v>-193985642</v>
      </c>
      <c r="G24" s="39">
        <f t="shared" si="3"/>
        <v>-338675509.76199996</v>
      </c>
      <c r="H24" s="61">
        <f t="shared" si="3"/>
        <v>12633543</v>
      </c>
      <c r="I24" s="39">
        <f t="shared" si="3"/>
        <v>19272011.238000002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11733263</v>
      </c>
      <c r="G27" s="38">
        <f>+'EAST-CON-GL'!E27</f>
        <v>20742461.580000002</v>
      </c>
      <c r="H27" s="60">
        <f>F27-D27</f>
        <v>11733263</v>
      </c>
      <c r="I27" s="38">
        <f>G27-E27</f>
        <v>20742461.580000002</v>
      </c>
    </row>
    <row r="28" spans="1:9" x14ac:dyDescent="0.2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-11721389</v>
      </c>
      <c r="G28" s="38">
        <f>+'EAST-CON-GL'!E28</f>
        <v>-20723033.300000001</v>
      </c>
      <c r="H28" s="60">
        <f>F28-D28</f>
        <v>-11721389</v>
      </c>
      <c r="I28" s="38">
        <f>G28-E28</f>
        <v>-20723033.300000001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11874</v>
      </c>
      <c r="G29" s="70">
        <f t="shared" si="4"/>
        <v>19428.280000001192</v>
      </c>
      <c r="H29" s="69">
        <f t="shared" si="4"/>
        <v>11874</v>
      </c>
      <c r="I29" s="70">
        <f t="shared" si="4"/>
        <v>19428.280000001192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+'EAST-CON-FLSH'!D32</f>
        <v>527947</v>
      </c>
      <c r="E32" s="66">
        <f>+'EAST-CON-FLSH'!E32</f>
        <v>917553</v>
      </c>
      <c r="F32" s="60">
        <f>+'EAST-CON-GL'!D32</f>
        <v>-1168115</v>
      </c>
      <c r="G32" s="38">
        <f>+'EAST-CON-GL'!E32</f>
        <v>-2183519.1949999994</v>
      </c>
      <c r="H32" s="60">
        <f>F32-D32</f>
        <v>-1696062</v>
      </c>
      <c r="I32" s="38">
        <f>G32-E32</f>
        <v>-3101072.1949999994</v>
      </c>
    </row>
    <row r="33" spans="1:9" x14ac:dyDescent="0.2">
      <c r="A33" s="9">
        <v>14</v>
      </c>
      <c r="B33" s="7"/>
      <c r="C33" s="18" t="s">
        <v>44</v>
      </c>
      <c r="D33" s="65">
        <f>+'EAST-CON-FLSH'!D33</f>
        <v>-417247</v>
      </c>
      <c r="E33" s="66">
        <f>+'EAST-CON-FLSH'!E33</f>
        <v>-805403.31682523829</v>
      </c>
      <c r="F33" s="60">
        <f>+'EAST-CON-GL'!D33</f>
        <v>-179921</v>
      </c>
      <c r="G33" s="38">
        <f>+'EAST-CON-GL'!E33</f>
        <v>-330664.86</v>
      </c>
      <c r="H33" s="60">
        <f t="shared" ref="H33:I35" si="5">F33-D33</f>
        <v>237326</v>
      </c>
      <c r="I33" s="38">
        <f t="shared" si="5"/>
        <v>474738.4568252383</v>
      </c>
    </row>
    <row r="34" spans="1:9" x14ac:dyDescent="0.2">
      <c r="A34" s="9">
        <v>15</v>
      </c>
      <c r="B34" s="7"/>
      <c r="C34" s="18" t="s">
        <v>45</v>
      </c>
      <c r="D34" s="65">
        <f>+'EAST-CON-FLSH'!D34</f>
        <v>511944</v>
      </c>
      <c r="E34" s="66">
        <f>+'EAST-CON-FLSH'!E34</f>
        <v>899915</v>
      </c>
      <c r="F34" s="60">
        <f>+'EAST-CON-GL'!D34</f>
        <v>4616</v>
      </c>
      <c r="G34" s="38">
        <f>+'EAST-CON-GL'!E34</f>
        <v>8074.78</v>
      </c>
      <c r="H34" s="60">
        <f t="shared" si="5"/>
        <v>-507328</v>
      </c>
      <c r="I34" s="38">
        <f t="shared" si="5"/>
        <v>-891840.22</v>
      </c>
    </row>
    <row r="35" spans="1:9" x14ac:dyDescent="0.2">
      <c r="A35" s="9">
        <v>16</v>
      </c>
      <c r="B35" s="7"/>
      <c r="C35" s="18" t="s">
        <v>46</v>
      </c>
      <c r="D35" s="65">
        <f>+'EAST-CON-FLSH'!D35</f>
        <v>-751562</v>
      </c>
      <c r="E35" s="66">
        <f>+'EAST-CON-FLSH'!E35</f>
        <v>-1330601</v>
      </c>
      <c r="F35" s="60">
        <f>+'EAST-CON-GL'!D35</f>
        <v>75663</v>
      </c>
      <c r="G35" s="38">
        <f>+'EAST-CON-GL'!E35</f>
        <v>-0.01</v>
      </c>
      <c r="H35" s="60">
        <f t="shared" si="5"/>
        <v>827225</v>
      </c>
      <c r="I35" s="38">
        <f t="shared" si="5"/>
        <v>1330600.99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-128918</v>
      </c>
      <c r="E36" s="39">
        <f t="shared" si="6"/>
        <v>-318536.31682523829</v>
      </c>
      <c r="F36" s="61">
        <f t="shared" si="6"/>
        <v>-1267757</v>
      </c>
      <c r="G36" s="39">
        <f t="shared" si="6"/>
        <v>-2506109.2849999992</v>
      </c>
      <c r="H36" s="61">
        <f t="shared" si="6"/>
        <v>-1138839</v>
      </c>
      <c r="I36" s="39">
        <f t="shared" si="6"/>
        <v>-2187572.9681747612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+'EAST-CON-FLSH'!D39</f>
        <v>2909268</v>
      </c>
      <c r="E39" s="66">
        <f>+'EAST-CON-FLSH'!E39</f>
        <v>4892357</v>
      </c>
      <c r="F39" s="60">
        <f>+'EAST-CON-GL'!D39</f>
        <v>1155574</v>
      </c>
      <c r="G39" s="38">
        <f>+'EAST-CON-GL'!E39</f>
        <v>1919552.2599999998</v>
      </c>
      <c r="H39" s="60">
        <f t="shared" ref="H39:I41" si="7">F39-D39</f>
        <v>-1753694</v>
      </c>
      <c r="I39" s="38">
        <f t="shared" si="7"/>
        <v>-2972804.74</v>
      </c>
    </row>
    <row r="40" spans="1:9" ht="22.5" customHeight="1" x14ac:dyDescent="0.2">
      <c r="A40" s="9">
        <v>18</v>
      </c>
      <c r="B40" s="7"/>
      <c r="C40" s="18" t="s">
        <v>50</v>
      </c>
      <c r="D40" s="65">
        <f>+'EAST-CON-FLSH'!D40</f>
        <v>-6537155</v>
      </c>
      <c r="E40" s="66">
        <f>+'EAST-CON-FLSH'!E40</f>
        <v>-4322847</v>
      </c>
      <c r="F40" s="60">
        <f>+'EAST-CON-GL'!D40</f>
        <v>-3688134</v>
      </c>
      <c r="G40" s="38">
        <f>+'EAST-CON-GL'!E40</f>
        <v>-7988503.2199999997</v>
      </c>
      <c r="H40" s="60">
        <f t="shared" si="7"/>
        <v>2849021</v>
      </c>
      <c r="I40" s="38">
        <f t="shared" si="7"/>
        <v>-3665656.2199999997</v>
      </c>
    </row>
    <row r="41" spans="1:9" x14ac:dyDescent="0.2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89462</v>
      </c>
      <c r="H41" s="60">
        <f t="shared" si="7"/>
        <v>0</v>
      </c>
      <c r="I41" s="38">
        <f t="shared" si="7"/>
        <v>89462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-6537155</v>
      </c>
      <c r="E42" s="70">
        <f t="shared" si="8"/>
        <v>-4322847</v>
      </c>
      <c r="F42" s="69">
        <f t="shared" si="8"/>
        <v>-3688134</v>
      </c>
      <c r="G42" s="70">
        <f t="shared" si="8"/>
        <v>-7899041.2199999997</v>
      </c>
      <c r="H42" s="69">
        <f t="shared" si="8"/>
        <v>2849021</v>
      </c>
      <c r="I42" s="70">
        <f t="shared" si="8"/>
        <v>-3576194.2199999997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-3627887</v>
      </c>
      <c r="E43" s="39">
        <f t="shared" si="9"/>
        <v>569510</v>
      </c>
      <c r="F43" s="61">
        <f t="shared" si="9"/>
        <v>-2532560</v>
      </c>
      <c r="G43" s="39">
        <f t="shared" si="9"/>
        <v>-5979488.96</v>
      </c>
      <c r="H43" s="61">
        <f t="shared" si="9"/>
        <v>1095327</v>
      </c>
      <c r="I43" s="39">
        <f t="shared" si="9"/>
        <v>-6548998.96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-27044</v>
      </c>
      <c r="G45" s="38">
        <f>+'EAST-CON-GL'!E45</f>
        <v>-46230.1</v>
      </c>
      <c r="H45" s="60">
        <f>F45-D45</f>
        <v>-27044</v>
      </c>
      <c r="I45" s="38">
        <f>G45-E45</f>
        <v>-46230.1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0</v>
      </c>
      <c r="G47" s="38">
        <f>+'EAST-CON-GL'!E47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-45650</v>
      </c>
      <c r="G49" s="38">
        <f>+'EAST-CON-GL'!E49</f>
        <v>-73770.403999999893</v>
      </c>
      <c r="H49" s="60">
        <f>F49-D49</f>
        <v>-45650</v>
      </c>
      <c r="I49" s="38">
        <f>G49-E49</f>
        <v>-73770.403999999893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+'EAST-CON-FLSH'!D51</f>
        <v>-1167941</v>
      </c>
      <c r="E51" s="66">
        <f>+'EAST-CON-FLSH'!E51</f>
        <v>-2104698</v>
      </c>
      <c r="F51" s="60">
        <f>+'EAST-CON-GL'!D51</f>
        <v>-1127947</v>
      </c>
      <c r="G51" s="38">
        <f>+'EAST-CON-GL'!E51</f>
        <v>-1827311.1880000001</v>
      </c>
      <c r="H51" s="60">
        <f>F51-D51</f>
        <v>39994</v>
      </c>
      <c r="I51" s="38">
        <f>G51-E51</f>
        <v>277386.81199999992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-1688878</v>
      </c>
      <c r="F54" s="60">
        <f>+'EAST-CON-GL'!D54</f>
        <v>-53829254</v>
      </c>
      <c r="G54" s="38">
        <f>+'EAST-CON-GL'!E54</f>
        <v>-1760237.2199999997</v>
      </c>
      <c r="H54" s="60">
        <f>F54-D54</f>
        <v>-53829254</v>
      </c>
      <c r="I54" s="38">
        <f>G54-E54</f>
        <v>-71359.219999999739</v>
      </c>
    </row>
    <row r="55" spans="1:9" x14ac:dyDescent="0.2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-13274658</v>
      </c>
      <c r="F55" s="60">
        <f>+'EAST-CON-GL'!D55</f>
        <v>0</v>
      </c>
      <c r="G55" s="38">
        <f>+'EAST-CON-GL'!E55</f>
        <v>-15115171.93</v>
      </c>
      <c r="H55" s="60">
        <f>F55-D55</f>
        <v>0</v>
      </c>
      <c r="I55" s="38">
        <f>G55-E55</f>
        <v>-1840513.9299999997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-14963536</v>
      </c>
      <c r="F56" s="61">
        <f t="shared" si="10"/>
        <v>-53829254</v>
      </c>
      <c r="G56" s="39">
        <f t="shared" si="10"/>
        <v>-16875409.149999999</v>
      </c>
      <c r="H56" s="61">
        <f t="shared" si="10"/>
        <v>-53829254</v>
      </c>
      <c r="I56" s="39">
        <f t="shared" si="10"/>
        <v>-1911873.1499999994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3063827</v>
      </c>
      <c r="G59" s="38">
        <f>+'EAST-CON-GL'!E59</f>
        <v>61405.760000000002</v>
      </c>
      <c r="H59" s="60">
        <f>F59-D59</f>
        <v>3063827</v>
      </c>
      <c r="I59" s="38">
        <f>G59-E59</f>
        <v>61405.760000000002</v>
      </c>
    </row>
    <row r="60" spans="1:9" x14ac:dyDescent="0.2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3063827</v>
      </c>
      <c r="G61" s="70">
        <f t="shared" si="11"/>
        <v>61405.760000000002</v>
      </c>
      <c r="H61" s="69">
        <f t="shared" si="11"/>
        <v>3063827</v>
      </c>
      <c r="I61" s="70">
        <f t="shared" si="11"/>
        <v>61405.760000000002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163760.72419047618</v>
      </c>
      <c r="F64" s="60">
        <f>+'EAST-CON-GL'!D64</f>
        <v>-20486833</v>
      </c>
      <c r="G64" s="38">
        <f>+'EAST-CON-GL'!E64</f>
        <v>-2695795.85</v>
      </c>
      <c r="H64" s="60">
        <f>F64-D64</f>
        <v>-20486833</v>
      </c>
      <c r="I64" s="38">
        <f>G64-E64</f>
        <v>-2859556.5741904764</v>
      </c>
    </row>
    <row r="65" spans="1:9" x14ac:dyDescent="0.2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20750992</v>
      </c>
      <c r="G65" s="38">
        <f>+'EAST-CON-GL'!E65</f>
        <v>2090065.17</v>
      </c>
      <c r="H65" s="60">
        <f>F65-D65</f>
        <v>20750992</v>
      </c>
      <c r="I65" s="38">
        <f>G65-E65</f>
        <v>2090065.17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163760.72419047618</v>
      </c>
      <c r="F66" s="61">
        <f t="shared" si="12"/>
        <v>264159</v>
      </c>
      <c r="G66" s="39">
        <f t="shared" si="12"/>
        <v>-605730.68000000017</v>
      </c>
      <c r="H66" s="61">
        <f t="shared" si="12"/>
        <v>264159</v>
      </c>
      <c r="I66" s="39">
        <f t="shared" si="12"/>
        <v>-769491.40419047652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6061805.5833007991</v>
      </c>
      <c r="F70" s="60">
        <f>+'EAST-CON-GL'!D70</f>
        <v>0</v>
      </c>
      <c r="G70" s="38">
        <f>+'EAST-CON-GL'!E70</f>
        <v>8611112.8300000001</v>
      </c>
      <c r="H70" s="60">
        <f>F70-D70</f>
        <v>0</v>
      </c>
      <c r="I70" s="38">
        <f>G70-E70</f>
        <v>2549307.2466992009</v>
      </c>
    </row>
    <row r="71" spans="1:9" x14ac:dyDescent="0.2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6895881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-6895881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12957686.583300799</v>
      </c>
      <c r="F72" s="69">
        <f t="shared" si="13"/>
        <v>0</v>
      </c>
      <c r="G72" s="70">
        <f t="shared" si="13"/>
        <v>8611112.8300000001</v>
      </c>
      <c r="H72" s="69">
        <f t="shared" si="13"/>
        <v>0</v>
      </c>
      <c r="I72" s="70">
        <f t="shared" si="13"/>
        <v>-4346573.7533007991</v>
      </c>
    </row>
    <row r="73" spans="1:9" x14ac:dyDescent="0.2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-15561495</v>
      </c>
      <c r="F74" s="60">
        <f>+'EAST-CON-GL'!D74</f>
        <v>0</v>
      </c>
      <c r="G74" s="38">
        <f>+'EAST-CON-GL'!E74</f>
        <v>-15269716</v>
      </c>
      <c r="H74" s="60">
        <f t="shared" ref="H74:I79" si="14">F74-D74</f>
        <v>0</v>
      </c>
      <c r="I74" s="38">
        <f t="shared" si="14"/>
        <v>291779</v>
      </c>
    </row>
    <row r="75" spans="1:9" x14ac:dyDescent="0.2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165980</v>
      </c>
      <c r="F75" s="60">
        <f>+'EAST-CON-GL'!D75</f>
        <v>0</v>
      </c>
      <c r="G75" s="38">
        <f>+'EAST-CON-GL'!E75</f>
        <v>166000</v>
      </c>
      <c r="H75" s="60">
        <f t="shared" si="14"/>
        <v>0</v>
      </c>
      <c r="I75" s="38">
        <f t="shared" si="14"/>
        <v>20</v>
      </c>
    </row>
    <row r="76" spans="1:9" x14ac:dyDescent="0.2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-27985</v>
      </c>
      <c r="F76" s="60">
        <f>+'EAST-CON-GL'!D76</f>
        <v>0</v>
      </c>
      <c r="G76" s="38">
        <f>+'EAST-CON-GL'!E76</f>
        <v>-206717.31</v>
      </c>
      <c r="H76" s="60">
        <f t="shared" si="14"/>
        <v>0</v>
      </c>
      <c r="I76" s="38">
        <f t="shared" si="14"/>
        <v>-178732.31</v>
      </c>
    </row>
    <row r="77" spans="1:9" x14ac:dyDescent="0.2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-1271726</v>
      </c>
      <c r="F77" s="60">
        <f>+'EAST-CON-GL'!D77</f>
        <v>0</v>
      </c>
      <c r="G77" s="38">
        <f>+'EAST-CON-GL'!E77</f>
        <v>-3046809</v>
      </c>
      <c r="H77" s="60">
        <f t="shared" si="14"/>
        <v>0</v>
      </c>
      <c r="I77" s="38">
        <f t="shared" si="14"/>
        <v>-1775083</v>
      </c>
    </row>
    <row r="78" spans="1:9" x14ac:dyDescent="0.2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25066.445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-25066.445</v>
      </c>
    </row>
    <row r="79" spans="1:9" x14ac:dyDescent="0.2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12767106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-12767106</v>
      </c>
    </row>
    <row r="80" spans="1:9" x14ac:dyDescent="0.2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109984.08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-109984.08</v>
      </c>
    </row>
    <row r="81" spans="1:63" x14ac:dyDescent="0.2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-1713690</v>
      </c>
      <c r="F81" s="60">
        <f>+'EAST-CON-GL'!D81</f>
        <v>0</v>
      </c>
      <c r="G81" s="38">
        <f>+'EAST-CON-GL'!E81</f>
        <v>1098678.8899999999</v>
      </c>
      <c r="H81" s="60">
        <f>F81-D81</f>
        <v>0</v>
      </c>
      <c r="I81" s="38">
        <f>G81-E81</f>
        <v>2812368.8899999997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-2947628.4843339575</v>
      </c>
      <c r="F82" s="117">
        <f>F16+F24+F29+F36+F43+F45+F47+F49</f>
        <v>0</v>
      </c>
      <c r="G82" s="118">
        <f>SUM(G72:G81)+G16+G24+G29+G36+G43+G45+G47+G49+G51+G56+G61+G66</f>
        <v>-20498166.878999945</v>
      </c>
      <c r="H82" s="117">
        <f>H16+H24+H29+H36+H43+H45+H47+H49</f>
        <v>0</v>
      </c>
      <c r="I82" s="118">
        <f>SUM(I72:I81)+I16+I24+I29+I36+I43+I45+I47+I49+I51+I56+I61+I66</f>
        <v>-17550538.394666035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-2947628.4843339394</v>
      </c>
      <c r="F84" s="31">
        <f>+'SE-EGM-VAR'!F82+'NE-VAR'!F82+'SE-LRC-VAR'!F82+BGC_VAR!F82</f>
        <v>0</v>
      </c>
      <c r="G84" s="31">
        <f>+'SE-EGM-VAR'!G82+'NE-VAR'!G82+'SE-LRC-VAR'!G82+BGC_VAR!G82</f>
        <v>-3659227.8520000312</v>
      </c>
      <c r="H84" s="31">
        <f>+'SE-EGM-VAR'!H82+'NE-VAR'!H82+'SE-LRC-VAR'!H82+BGC_VAR!H82</f>
        <v>0</v>
      </c>
      <c r="I84" s="31">
        <f>+'SE-EGM-VAR'!I82+'NE-VAR'!I82+'SE-LRC-VAR'!I82+BGC_VAR!I82</f>
        <v>-711599.36766601261</v>
      </c>
    </row>
    <row r="85" spans="1:63" x14ac:dyDescent="0.2">
      <c r="A85" s="4" t="s">
        <v>190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+'EAST-CON-FLSH'!D86</f>
        <v>0</v>
      </c>
      <c r="E86" s="183">
        <f>+'EAST-CON-FLSH'!E86</f>
        <v>4377</v>
      </c>
      <c r="F86" s="183">
        <f>+'EAST-CON-GL'!D86</f>
        <v>0</v>
      </c>
      <c r="G86" s="183">
        <f>+'EAST-CON-GL'!E86</f>
        <v>47204.17</v>
      </c>
      <c r="H86" s="183">
        <f t="shared" ref="H86:I88" si="15">F86-D86</f>
        <v>0</v>
      </c>
      <c r="I86" s="183">
        <f t="shared" si="15"/>
        <v>42827.17</v>
      </c>
    </row>
    <row r="87" spans="1:63" x14ac:dyDescent="0.2">
      <c r="A87" s="182"/>
      <c r="B87" s="3"/>
      <c r="C87" s="10" t="s">
        <v>75</v>
      </c>
      <c r="D87" s="184">
        <f>+'EAST-CON-FLSH'!D87</f>
        <v>0</v>
      </c>
      <c r="E87" s="184">
        <f>+'EAST-CON-FLSH'!E87</f>
        <v>0</v>
      </c>
      <c r="F87" s="184">
        <f>+'EAST-CON-GL'!D87</f>
        <v>0</v>
      </c>
      <c r="G87" s="184">
        <f>+'EAST-CON-GL'!E87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+'EAST-CON-FLSH'!D88</f>
        <v>0</v>
      </c>
      <c r="E88" s="185">
        <f>+'EAST-CON-FLSH'!E88</f>
        <v>0</v>
      </c>
      <c r="F88" s="185">
        <f>+'EAST-CON-GL'!D88</f>
        <v>0</v>
      </c>
      <c r="G88" s="185">
        <f>+'EAST-CON-GL'!E88</f>
        <v>0</v>
      </c>
      <c r="H88" s="185">
        <f t="shared" si="15"/>
        <v>0</v>
      </c>
      <c r="I88" s="185">
        <f t="shared" si="15"/>
        <v>0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4377</v>
      </c>
      <c r="F89" s="189">
        <f t="shared" si="16"/>
        <v>0</v>
      </c>
      <c r="G89" s="189">
        <f t="shared" si="16"/>
        <v>47204.17</v>
      </c>
      <c r="H89" s="189">
        <f t="shared" si="16"/>
        <v>0</v>
      </c>
      <c r="I89" s="189">
        <f t="shared" si="16"/>
        <v>42827.17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-2943251.4843339575</v>
      </c>
      <c r="F91" s="189">
        <f t="shared" si="17"/>
        <v>0</v>
      </c>
      <c r="G91" s="189">
        <f t="shared" si="17"/>
        <v>-20450962.708999943</v>
      </c>
      <c r="H91" s="189">
        <f t="shared" si="17"/>
        <v>0</v>
      </c>
      <c r="I91" s="189">
        <f t="shared" si="17"/>
        <v>-17507711.224666033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75" header="0.5" footer="0.5"/>
  <pageSetup paperSize="5" scale="74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G19" sqref="G1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'TX-EGM-FLSH'!L11</f>
        <v>31380295</v>
      </c>
      <c r="E11" s="66">
        <f>'TX-EGM-FLSH'!M11</f>
        <v>51074660.93</v>
      </c>
      <c r="F11" s="60">
        <f>'TX-EGM-GL'!D11</f>
        <v>35828426</v>
      </c>
      <c r="G11" s="38">
        <f>'TX-EGM-GL'!E11</f>
        <v>67476275.920000002</v>
      </c>
      <c r="H11" s="60">
        <f>F11-D11</f>
        <v>4448131</v>
      </c>
      <c r="I11" s="38">
        <f>G11-E11</f>
        <v>16401614.990000002</v>
      </c>
    </row>
    <row r="12" spans="1:22" x14ac:dyDescent="0.2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-9350521.7200000007</v>
      </c>
      <c r="H12" s="60">
        <f>F12-D12</f>
        <v>0</v>
      </c>
      <c r="I12" s="38">
        <f>G12-E12</f>
        <v>-9350521.7200000007</v>
      </c>
    </row>
    <row r="13" spans="1:22" x14ac:dyDescent="0.2">
      <c r="A13" s="9">
        <v>3</v>
      </c>
      <c r="B13" s="7"/>
      <c r="C13" s="18" t="s">
        <v>31</v>
      </c>
      <c r="D13" s="65">
        <f>'TX-EGM-FLSH'!L13</f>
        <v>4233712</v>
      </c>
      <c r="E13" s="66">
        <f>'TX-EGM-FLSH'!M13</f>
        <v>7481059.0800000001</v>
      </c>
      <c r="F13" s="60">
        <f>'TX-EGM-GL'!D13</f>
        <v>1249214</v>
      </c>
      <c r="G13" s="38">
        <f>'TX-EGM-GL'!E13</f>
        <v>2160702</v>
      </c>
      <c r="H13" s="60">
        <f t="shared" ref="H13:I15" si="0">F13-D13</f>
        <v>-2984498</v>
      </c>
      <c r="I13" s="38">
        <f t="shared" si="0"/>
        <v>-5320357.08</v>
      </c>
    </row>
    <row r="14" spans="1:22" x14ac:dyDescent="0.2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35614007</v>
      </c>
      <c r="E16" s="39">
        <f t="shared" si="1"/>
        <v>58555720.009999998</v>
      </c>
      <c r="F16" s="61">
        <f t="shared" si="1"/>
        <v>37077640</v>
      </c>
      <c r="G16" s="39">
        <f t="shared" si="1"/>
        <v>60286456.200000003</v>
      </c>
      <c r="H16" s="61">
        <f t="shared" si="1"/>
        <v>1463633</v>
      </c>
      <c r="I16" s="39">
        <f t="shared" si="1"/>
        <v>1730736.1900000013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'TX-EGM-FLSH'!L19</f>
        <v>-32360163</v>
      </c>
      <c r="E19" s="66">
        <f>'TX-EGM-FLSH'!M19</f>
        <v>-50963686.001299992</v>
      </c>
      <c r="F19" s="60">
        <f>'TX-EGM-GL'!D19</f>
        <v>-25206144</v>
      </c>
      <c r="G19" s="38">
        <f>'TX-EGM-GL'!E19</f>
        <v>-41291125.760000005</v>
      </c>
      <c r="H19" s="60">
        <f>F19-D19</f>
        <v>7154019</v>
      </c>
      <c r="I19" s="38">
        <f>G19-E19</f>
        <v>9672560.2412999868</v>
      </c>
    </row>
    <row r="20" spans="1:9" x14ac:dyDescent="0.2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926939.21</v>
      </c>
      <c r="H20" s="60">
        <f>F20-D20</f>
        <v>0</v>
      </c>
      <c r="I20" s="38">
        <f>G20-E20</f>
        <v>926939.21</v>
      </c>
    </row>
    <row r="21" spans="1:9" x14ac:dyDescent="0.2">
      <c r="A21" s="9">
        <v>8</v>
      </c>
      <c r="B21" s="7"/>
      <c r="C21" s="18" t="s">
        <v>31</v>
      </c>
      <c r="D21" s="65">
        <f>'TX-EGM-FLSH'!L21</f>
        <v>-4216311</v>
      </c>
      <c r="E21" s="66">
        <f>'TX-EGM-FLSH'!M21</f>
        <v>-7366436.4400000004</v>
      </c>
      <c r="F21" s="60">
        <f>'TX-EGM-GL'!D21</f>
        <v>-1231813</v>
      </c>
      <c r="G21" s="38">
        <f>'TX-EGM-GL'!E21</f>
        <v>-2046081</v>
      </c>
      <c r="H21" s="60">
        <f t="shared" ref="H21:I23" si="2">F21-D21</f>
        <v>2984498</v>
      </c>
      <c r="I21" s="38">
        <f t="shared" si="2"/>
        <v>5320355.4400000004</v>
      </c>
    </row>
    <row r="22" spans="1:9" x14ac:dyDescent="0.2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'TX-EGM-FLSH'!L23</f>
        <v>668</v>
      </c>
      <c r="E23" s="66">
        <f>'TX-EGM-FLSH'!M23</f>
        <v>1138.46</v>
      </c>
      <c r="F23" s="60">
        <f>'TX-EGM-GL'!D23</f>
        <v>2400</v>
      </c>
      <c r="G23" s="38">
        <f>'TX-EGM-GL'!E23</f>
        <v>3691.55</v>
      </c>
      <c r="H23" s="60">
        <f t="shared" si="2"/>
        <v>1732</v>
      </c>
      <c r="I23" s="38">
        <f t="shared" si="2"/>
        <v>2553.09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-36575806</v>
      </c>
      <c r="E24" s="39">
        <f t="shared" si="3"/>
        <v>-58328983.981299989</v>
      </c>
      <c r="F24" s="61">
        <f t="shared" si="3"/>
        <v>-26435557</v>
      </c>
      <c r="G24" s="39">
        <f t="shared" si="3"/>
        <v>-42406576.000000007</v>
      </c>
      <c r="H24" s="61">
        <f t="shared" si="3"/>
        <v>10140249</v>
      </c>
      <c r="I24" s="39">
        <f t="shared" si="3"/>
        <v>15922407.981299989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'TX-EGM-FLSH'!L27</f>
        <v>32125532</v>
      </c>
      <c r="E27" s="66">
        <f>'TX-EGM-FLSH'!M27</f>
        <v>54612316.879999995</v>
      </c>
      <c r="F27" s="60">
        <f>'TX-EGM-GL'!D27</f>
        <v>8167368</v>
      </c>
      <c r="G27" s="38">
        <f>'TX-EGM-GL'!E27</f>
        <v>13474639.699999997</v>
      </c>
      <c r="H27" s="60">
        <f>F27-D27</f>
        <v>-23958164</v>
      </c>
      <c r="I27" s="38">
        <f>G27-E27</f>
        <v>-41137677.18</v>
      </c>
    </row>
    <row r="28" spans="1:9" x14ac:dyDescent="0.2">
      <c r="A28" s="9">
        <v>12</v>
      </c>
      <c r="B28" s="7"/>
      <c r="C28" s="18" t="s">
        <v>40</v>
      </c>
      <c r="D28" s="65">
        <f>'TX-EGM-FLSH'!L28</f>
        <v>-30941648</v>
      </c>
      <c r="E28" s="66">
        <f>'TX-EGM-FLSH'!M28</f>
        <v>-53562657.949999996</v>
      </c>
      <c r="F28" s="60">
        <f>'TX-EGM-GL'!D28</f>
        <v>-12854730</v>
      </c>
      <c r="G28" s="38">
        <f>'TX-EGM-GL'!E28</f>
        <v>-21032866.559999995</v>
      </c>
      <c r="H28" s="60">
        <f>F28-D28</f>
        <v>18086918</v>
      </c>
      <c r="I28" s="38">
        <f>G28-E28</f>
        <v>32529791.390000001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1183884</v>
      </c>
      <c r="E29" s="70">
        <f t="shared" si="4"/>
        <v>1049658.9299999997</v>
      </c>
      <c r="F29" s="69">
        <f t="shared" si="4"/>
        <v>-4687362</v>
      </c>
      <c r="G29" s="70">
        <f t="shared" si="4"/>
        <v>-7558226.8599999975</v>
      </c>
      <c r="H29" s="69">
        <f t="shared" si="4"/>
        <v>-5871246</v>
      </c>
      <c r="I29" s="70">
        <f t="shared" si="4"/>
        <v>-8607885.7899999991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-533730</v>
      </c>
      <c r="G32" s="38">
        <f>'TX-EGM-GL'!E32</f>
        <v>-820877.30400000012</v>
      </c>
      <c r="H32" s="60">
        <f>F32-D32</f>
        <v>-533730</v>
      </c>
      <c r="I32" s="38">
        <f>G32-E32</f>
        <v>-820877.30400000012</v>
      </c>
    </row>
    <row r="33" spans="1:9" x14ac:dyDescent="0.2">
      <c r="A33" s="9">
        <v>14</v>
      </c>
      <c r="B33" s="7"/>
      <c r="C33" s="18" t="s">
        <v>44</v>
      </c>
      <c r="D33" s="65">
        <f>'TX-EGM-FLSH'!L33</f>
        <v>4706694</v>
      </c>
      <c r="E33" s="66">
        <f>'TX-EGM-FLSH'!M33</f>
        <v>8079290.7541920207</v>
      </c>
      <c r="F33" s="60">
        <f>'TX-EGM-GL'!D33</f>
        <v>12</v>
      </c>
      <c r="G33" s="38">
        <f>'TX-EGM-GL'!E33</f>
        <v>20.88</v>
      </c>
      <c r="H33" s="60">
        <f t="shared" ref="H33:I35" si="5">F33-D33</f>
        <v>-4706682</v>
      </c>
      <c r="I33" s="38">
        <f t="shared" si="5"/>
        <v>-8079269.8741920209</v>
      </c>
    </row>
    <row r="34" spans="1:9" x14ac:dyDescent="0.2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4706694</v>
      </c>
      <c r="E36" s="39">
        <f t="shared" si="6"/>
        <v>8079290.7541920207</v>
      </c>
      <c r="F36" s="61">
        <f t="shared" si="6"/>
        <v>-533718</v>
      </c>
      <c r="G36" s="39">
        <f t="shared" si="6"/>
        <v>-820856.41400000011</v>
      </c>
      <c r="H36" s="61">
        <f t="shared" si="6"/>
        <v>-5240412</v>
      </c>
      <c r="I36" s="39">
        <f t="shared" si="6"/>
        <v>-8900147.1681920215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'TX-EGM-FLSH'!L39</f>
        <v>994162</v>
      </c>
      <c r="E39" s="66">
        <f>'TX-EGM-FLSH'!M39</f>
        <v>1829413.25</v>
      </c>
      <c r="F39" s="60">
        <f>'TX-EGM-GL'!D39</f>
        <v>0</v>
      </c>
      <c r="G39" s="38">
        <f>'TX-EGM-GL'!E39</f>
        <v>0</v>
      </c>
      <c r="H39" s="60">
        <f t="shared" ref="H39:I41" si="7">F39-D39</f>
        <v>-994162</v>
      </c>
      <c r="I39" s="38">
        <f t="shared" si="7"/>
        <v>-1829413.25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'TX-EGM-FLSH'!L40</f>
        <v>-5922941</v>
      </c>
      <c r="E40" s="66">
        <f>'TX-EGM-FLSH'!M40</f>
        <v>-10961586.9087</v>
      </c>
      <c r="F40" s="60">
        <f>'TX-EGM-GL'!D40</f>
        <v>-5624607</v>
      </c>
      <c r="G40" s="38">
        <f>'TX-EGM-GL'!E40</f>
        <v>-10226237.859999998</v>
      </c>
      <c r="H40" s="60">
        <f t="shared" si="7"/>
        <v>298334</v>
      </c>
      <c r="I40" s="38">
        <f t="shared" si="7"/>
        <v>735349.04870000295</v>
      </c>
    </row>
    <row r="41" spans="1:9" x14ac:dyDescent="0.2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-443620</v>
      </c>
      <c r="H41" s="60">
        <f t="shared" si="7"/>
        <v>0</v>
      </c>
      <c r="I41" s="38">
        <f t="shared" si="7"/>
        <v>-443620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-5922941</v>
      </c>
      <c r="E42" s="70">
        <f t="shared" si="8"/>
        <v>-10961586.9087</v>
      </c>
      <c r="F42" s="69">
        <f t="shared" si="8"/>
        <v>-5624607</v>
      </c>
      <c r="G42" s="70">
        <f t="shared" si="8"/>
        <v>-10669857.859999998</v>
      </c>
      <c r="H42" s="69">
        <f t="shared" si="8"/>
        <v>298334</v>
      </c>
      <c r="I42" s="70">
        <f t="shared" si="8"/>
        <v>291729.04870000295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-4928779</v>
      </c>
      <c r="E43" s="39">
        <f t="shared" si="9"/>
        <v>-9132173.6587000005</v>
      </c>
      <c r="F43" s="61">
        <f t="shared" si="9"/>
        <v>-5624607</v>
      </c>
      <c r="G43" s="39">
        <f t="shared" si="9"/>
        <v>-10669857.859999998</v>
      </c>
      <c r="H43" s="61">
        <f t="shared" si="9"/>
        <v>-695828</v>
      </c>
      <c r="I43" s="39">
        <f t="shared" si="9"/>
        <v>-1537684.201299997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203604</v>
      </c>
      <c r="G49" s="38">
        <f>'TX-EGM-GL'!E49</f>
        <v>313125.39600000007</v>
      </c>
      <c r="H49" s="60">
        <f>F49-D49</f>
        <v>203604</v>
      </c>
      <c r="I49" s="38">
        <f>G49-E49</f>
        <v>313125.39600000007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'TX-EGM-FLSH'!L51</f>
        <v>-668</v>
      </c>
      <c r="E51" s="66">
        <f>'TX-EGM-FLSH'!M51</f>
        <v>-25000</v>
      </c>
      <c r="F51" s="60">
        <f>'TX-EGM-GL'!D51</f>
        <v>-2400</v>
      </c>
      <c r="G51" s="38">
        <f>'TX-EGM-GL'!E51</f>
        <v>-3691.55</v>
      </c>
      <c r="H51" s="60">
        <f>F51-D51</f>
        <v>-1732</v>
      </c>
      <c r="I51" s="38">
        <f>G51-E51</f>
        <v>21308.45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-803059.21</v>
      </c>
      <c r="F54" s="60">
        <f>'TX-EGM-GL'!D54</f>
        <v>19378882</v>
      </c>
      <c r="G54" s="38">
        <f>'TX-EGM-GL'!E54</f>
        <v>145263.55999999997</v>
      </c>
      <c r="H54" s="60">
        <f>F54-D54</f>
        <v>19378882</v>
      </c>
      <c r="I54" s="38">
        <f>G54-E54</f>
        <v>948322.7699999999</v>
      </c>
    </row>
    <row r="55" spans="1:9" x14ac:dyDescent="0.2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0</v>
      </c>
      <c r="F55" s="60">
        <f>'TX-EGM-GL'!D55</f>
        <v>-3994966</v>
      </c>
      <c r="G55" s="38">
        <f>'TX-EGM-GL'!E55</f>
        <v>-106961.81</v>
      </c>
      <c r="H55" s="60">
        <f>F55-D55</f>
        <v>-3994966</v>
      </c>
      <c r="I55" s="38">
        <f>G55-E55</f>
        <v>-106961.81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-803059.21</v>
      </c>
      <c r="F56" s="61">
        <f t="shared" si="10"/>
        <v>15383916</v>
      </c>
      <c r="G56" s="39">
        <f t="shared" si="10"/>
        <v>38301.749999999971</v>
      </c>
      <c r="H56" s="61">
        <f t="shared" si="10"/>
        <v>15383916</v>
      </c>
      <c r="I56" s="39">
        <f t="shared" si="10"/>
        <v>841360.96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35269</v>
      </c>
      <c r="H59" s="60">
        <f>F59-D59</f>
        <v>0</v>
      </c>
      <c r="I59" s="38">
        <f>G59-E59</f>
        <v>35269</v>
      </c>
    </row>
    <row r="60" spans="1:9" x14ac:dyDescent="0.2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35269</v>
      </c>
      <c r="H61" s="69">
        <f t="shared" si="11"/>
        <v>0</v>
      </c>
      <c r="I61" s="70">
        <f t="shared" si="11"/>
        <v>35269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-50877594</v>
      </c>
      <c r="G64" s="38">
        <f>'TX-EGM-GL'!E64</f>
        <v>-700194.27</v>
      </c>
      <c r="H64" s="60">
        <f>F64-D64</f>
        <v>-50877594</v>
      </c>
      <c r="I64" s="38">
        <f>G64-E64</f>
        <v>-700194.27</v>
      </c>
    </row>
    <row r="65" spans="1:9" x14ac:dyDescent="0.2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458951</v>
      </c>
      <c r="H65" s="60">
        <f>F65-D65</f>
        <v>0</v>
      </c>
      <c r="I65" s="38">
        <f>G65-E65</f>
        <v>458951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-50877594</v>
      </c>
      <c r="G66" s="39">
        <f t="shared" si="12"/>
        <v>-241243.27000000002</v>
      </c>
      <c r="H66" s="61">
        <f t="shared" si="12"/>
        <v>-50877594</v>
      </c>
      <c r="I66" s="39">
        <f t="shared" si="12"/>
        <v>-241243.27000000002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300495.52</v>
      </c>
      <c r="F70" s="60">
        <f>'TX-EGM-GL'!D70</f>
        <v>0</v>
      </c>
      <c r="G70" s="38">
        <f>'TX-EGM-GL'!E70</f>
        <v>162385.08000000007</v>
      </c>
      <c r="H70" s="60">
        <f>F70-D70</f>
        <v>0</v>
      </c>
      <c r="I70" s="38">
        <f>G70-E70</f>
        <v>-138110.43999999994</v>
      </c>
    </row>
    <row r="71" spans="1:9" x14ac:dyDescent="0.2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-421545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421545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-121049.47999999998</v>
      </c>
      <c r="F72" s="69">
        <f t="shared" si="13"/>
        <v>0</v>
      </c>
      <c r="G72" s="70">
        <f t="shared" si="13"/>
        <v>162385.08000000007</v>
      </c>
      <c r="H72" s="69">
        <f t="shared" si="13"/>
        <v>0</v>
      </c>
      <c r="I72" s="70">
        <f t="shared" si="13"/>
        <v>283434.56000000006</v>
      </c>
    </row>
    <row r="73" spans="1:9" x14ac:dyDescent="0.2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1032373.95</v>
      </c>
      <c r="F74" s="60">
        <f>'TX-EGM-GL'!D74</f>
        <v>0</v>
      </c>
      <c r="G74" s="38">
        <f>'TX-EGM-GL'!E74</f>
        <v>-595931</v>
      </c>
      <c r="H74" s="60">
        <f t="shared" ref="H74:I79" si="14">F74-D74</f>
        <v>0</v>
      </c>
      <c r="I74" s="38">
        <f t="shared" si="14"/>
        <v>-1628304.95</v>
      </c>
    </row>
    <row r="75" spans="1:9" x14ac:dyDescent="0.2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1776930</v>
      </c>
      <c r="F75" s="60">
        <f>'TX-EGM-GL'!D75</f>
        <v>0</v>
      </c>
      <c r="G75" s="38">
        <f>'TX-EGM-GL'!E75</f>
        <v>1777100</v>
      </c>
      <c r="H75" s="60">
        <f t="shared" si="14"/>
        <v>0</v>
      </c>
      <c r="I75" s="38">
        <f t="shared" si="14"/>
        <v>170</v>
      </c>
    </row>
    <row r="76" spans="1:9" x14ac:dyDescent="0.2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-7855</v>
      </c>
      <c r="F76" s="60">
        <f>'TX-EGM-GL'!D76</f>
        <v>0</v>
      </c>
      <c r="G76" s="38">
        <f>'TX-EGM-GL'!E76</f>
        <v>-7855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-30000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30000</v>
      </c>
    </row>
    <row r="78" spans="1:9" x14ac:dyDescent="0.2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892374</v>
      </c>
      <c r="F81" s="60">
        <f>'TX-EGM-GL'!D81</f>
        <v>0</v>
      </c>
      <c r="G81" s="38">
        <f>'TX-EGM-GL'!E81</f>
        <v>-50000</v>
      </c>
      <c r="H81" s="60">
        <f>F81-D81</f>
        <v>0</v>
      </c>
      <c r="I81" s="38">
        <f>G81-E81</f>
        <v>-942374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2938226.3141920278</v>
      </c>
      <c r="F82" s="117">
        <f>F16+F24+F29+F36+F43+F45+F47+F49</f>
        <v>0</v>
      </c>
      <c r="G82" s="118">
        <f>SUM(G72:G81)+G16+G24+G29+G36+G43+G45+G47+G49+G51+G56+G61+G66</f>
        <v>258399.47199999786</v>
      </c>
      <c r="H82" s="117">
        <f>H16+H24+H29+H36+H43+H45+H47+H49</f>
        <v>0</v>
      </c>
      <c r="I82" s="118">
        <f>SUM(I72:I81)+I16+I24+I29+I36+I43+I45+I47+I49+I51+I56+I61+I66</f>
        <v>-2679826.8421920277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189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'TX-EGM-FLSH'!L86</f>
        <v>0</v>
      </c>
      <c r="E86" s="183">
        <f>'TX-EGM-FLSH'!M86</f>
        <v>11696534</v>
      </c>
      <c r="F86" s="183">
        <f>'TX-EGM-GL'!D86</f>
        <v>0</v>
      </c>
      <c r="G86" s="183">
        <f>'TX-EGM-GL'!E86</f>
        <v>11696533.92</v>
      </c>
      <c r="H86" s="183">
        <f t="shared" ref="H86:I88" si="15">F86-D86</f>
        <v>0</v>
      </c>
      <c r="I86" s="183">
        <f t="shared" si="15"/>
        <v>-8.0000000074505806E-2</v>
      </c>
    </row>
    <row r="87" spans="1:63" x14ac:dyDescent="0.2">
      <c r="A87" s="182"/>
      <c r="B87" s="3"/>
      <c r="C87" s="10" t="s">
        <v>75</v>
      </c>
      <c r="D87" s="184">
        <f>'TX-EGM-FLSH'!L87</f>
        <v>0</v>
      </c>
      <c r="E87" s="184">
        <f>'TX-EGM-FLSH'!M87</f>
        <v>0</v>
      </c>
      <c r="F87" s="184">
        <f>'TX-EGM-GL'!D87</f>
        <v>0</v>
      </c>
      <c r="G87" s="184">
        <f>'TX-EGM-GL'!E87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'TX-EGM-FLSH'!L88</f>
        <v>0</v>
      </c>
      <c r="E88" s="185">
        <f>'TX-EGM-FLSH'!M88</f>
        <v>-11438321</v>
      </c>
      <c r="F88" s="185">
        <f>'TX-EGM-GL'!D88</f>
        <v>0</v>
      </c>
      <c r="G88" s="185">
        <f>'TX-EGM-GL'!E88</f>
        <v>-11438300</v>
      </c>
      <c r="H88" s="185">
        <f t="shared" si="15"/>
        <v>0</v>
      </c>
      <c r="I88" s="185">
        <f t="shared" si="15"/>
        <v>21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258213</v>
      </c>
      <c r="F89" s="189">
        <f t="shared" si="16"/>
        <v>0</v>
      </c>
      <c r="G89" s="189">
        <f t="shared" si="16"/>
        <v>258233.91999999993</v>
      </c>
      <c r="H89" s="189">
        <f t="shared" si="16"/>
        <v>0</v>
      </c>
      <c r="I89" s="189">
        <f t="shared" si="16"/>
        <v>20.919999999925494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3196439.3141920278</v>
      </c>
      <c r="F91" s="189">
        <f t="shared" si="17"/>
        <v>0</v>
      </c>
      <c r="G91" s="189">
        <f t="shared" si="17"/>
        <v>516633.39199999778</v>
      </c>
      <c r="H91" s="189">
        <f t="shared" si="17"/>
        <v>0</v>
      </c>
      <c r="I91" s="189">
        <f t="shared" si="17"/>
        <v>-2679805.9221920278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G77" sqref="G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'TX-HPL-FLSH'!L11</f>
        <v>16975874</v>
      </c>
      <c r="E11" s="66">
        <f>'TX-HPL-FLSH'!M11</f>
        <v>27418103.07</v>
      </c>
      <c r="F11" s="60">
        <f>'TX-HPL-GL '!D11</f>
        <v>13581425</v>
      </c>
      <c r="G11" s="38">
        <f>'TX-HPL-GL '!E11</f>
        <v>23359623.949999999</v>
      </c>
      <c r="H11" s="60">
        <f>F11-D11</f>
        <v>-3394449</v>
      </c>
      <c r="I11" s="38">
        <f>G11-E11</f>
        <v>-4058479.120000001</v>
      </c>
    </row>
    <row r="12" spans="1:22" x14ac:dyDescent="0.2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-1164214.44</v>
      </c>
      <c r="H12" s="60">
        <f>F12-D12</f>
        <v>0</v>
      </c>
      <c r="I12" s="38">
        <f>G12-E12</f>
        <v>-1164214.44</v>
      </c>
    </row>
    <row r="13" spans="1:22" x14ac:dyDescent="0.2">
      <c r="A13" s="9">
        <v>3</v>
      </c>
      <c r="B13" s="7"/>
      <c r="C13" s="18" t="s">
        <v>31</v>
      </c>
      <c r="D13" s="65">
        <f>'TX-HPL-FLSH'!L13</f>
        <v>-2984498</v>
      </c>
      <c r="E13" s="66">
        <f>'TX-HPL-FLSH'!M13</f>
        <v>-5320357.08</v>
      </c>
      <c r="F13" s="60">
        <f>'TX-HPL-GL '!D13</f>
        <v>0</v>
      </c>
      <c r="G13" s="38">
        <f>'TX-HPL-GL '!E13</f>
        <v>0</v>
      </c>
      <c r="H13" s="60">
        <f t="shared" ref="H13:I15" si="0">F13-D13</f>
        <v>2984498</v>
      </c>
      <c r="I13" s="38">
        <f t="shared" si="0"/>
        <v>5320357.08</v>
      </c>
    </row>
    <row r="14" spans="1:22" x14ac:dyDescent="0.2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13991376</v>
      </c>
      <c r="E16" s="39">
        <f t="shared" si="1"/>
        <v>22217745.990000002</v>
      </c>
      <c r="F16" s="61">
        <f t="shared" si="1"/>
        <v>13581425</v>
      </c>
      <c r="G16" s="39">
        <f t="shared" si="1"/>
        <v>22195409.509999998</v>
      </c>
      <c r="H16" s="61">
        <f t="shared" si="1"/>
        <v>-409951</v>
      </c>
      <c r="I16" s="39">
        <f t="shared" si="1"/>
        <v>-22336.480000000447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'TX-HPL-FLSH'!L19</f>
        <v>-12001040</v>
      </c>
      <c r="E19" s="66">
        <f>'TX-HPL-FLSH'!M19</f>
        <v>-20492160.998700008</v>
      </c>
      <c r="F19" s="60">
        <f>'TX-HPL-GL '!D19</f>
        <v>-4293569</v>
      </c>
      <c r="G19" s="38">
        <f>'TX-HPL-GL '!E19</f>
        <v>-6911309.4000000013</v>
      </c>
      <c r="H19" s="60">
        <f>F19-D19</f>
        <v>7707471</v>
      </c>
      <c r="I19" s="38">
        <f>G19-E19</f>
        <v>13580851.598700006</v>
      </c>
    </row>
    <row r="20" spans="1:9" x14ac:dyDescent="0.2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74834.509999999995</v>
      </c>
      <c r="H20" s="60">
        <f>F20-D20</f>
        <v>0</v>
      </c>
      <c r="I20" s="38">
        <f>G20-E20</f>
        <v>74834.509999999995</v>
      </c>
    </row>
    <row r="21" spans="1:9" x14ac:dyDescent="0.2">
      <c r="A21" s="9">
        <v>8</v>
      </c>
      <c r="B21" s="7"/>
      <c r="C21" s="18" t="s">
        <v>31</v>
      </c>
      <c r="D21" s="65">
        <f>'TX-HPL-FLSH'!L21</f>
        <v>2984498</v>
      </c>
      <c r="E21" s="66">
        <f>'TX-HPL-FLSH'!M21</f>
        <v>5320355.4400000004</v>
      </c>
      <c r="F21" s="60">
        <f>'TX-HPL-GL '!D21</f>
        <v>0</v>
      </c>
      <c r="G21" s="38">
        <f>'TX-HPL-GL '!E21</f>
        <v>0</v>
      </c>
      <c r="H21" s="60">
        <f t="shared" ref="H21:I23" si="2">F21-D21</f>
        <v>-2984498</v>
      </c>
      <c r="I21" s="38">
        <f t="shared" si="2"/>
        <v>-5320355.4400000004</v>
      </c>
    </row>
    <row r="22" spans="1:9" x14ac:dyDescent="0.2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'TX-HPL-FLSH'!L23</f>
        <v>0</v>
      </c>
      <c r="E23" s="66">
        <f>'TX-HPL-FLSH'!M23</f>
        <v>0.53999999999996362</v>
      </c>
      <c r="F23" s="60">
        <f>'TX-HPL-GL '!D23</f>
        <v>0</v>
      </c>
      <c r="G23" s="38">
        <f>'TX-HPL-GL '!E23</f>
        <v>0</v>
      </c>
      <c r="H23" s="60">
        <f t="shared" si="2"/>
        <v>0</v>
      </c>
      <c r="I23" s="38">
        <f t="shared" si="2"/>
        <v>-0.53999999999996362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-9016542</v>
      </c>
      <c r="E24" s="39">
        <f t="shared" si="3"/>
        <v>-15171805.018700007</v>
      </c>
      <c r="F24" s="61">
        <f t="shared" si="3"/>
        <v>-4293569</v>
      </c>
      <c r="G24" s="39">
        <f t="shared" si="3"/>
        <v>-6836474.8900000015</v>
      </c>
      <c r="H24" s="61">
        <f t="shared" si="3"/>
        <v>4722973</v>
      </c>
      <c r="I24" s="39">
        <f t="shared" si="3"/>
        <v>8335330.1287000049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'TX-HPL-FLSH'!L27</f>
        <v>2385827</v>
      </c>
      <c r="E27" s="66">
        <f>'TX-HPL-FLSH'!M27</f>
        <v>4842147.12</v>
      </c>
      <c r="F27" s="60">
        <f>'TX-HPL-GL '!D27</f>
        <v>2900555</v>
      </c>
      <c r="G27" s="38">
        <f>'TX-HPL-GL '!E27</f>
        <v>4704398.8115999997</v>
      </c>
      <c r="H27" s="60">
        <f>F27-D27</f>
        <v>514728</v>
      </c>
      <c r="I27" s="38">
        <f>G27-E27</f>
        <v>-137748.30840000045</v>
      </c>
    </row>
    <row r="28" spans="1:9" x14ac:dyDescent="0.2">
      <c r="A28" s="9">
        <v>12</v>
      </c>
      <c r="B28" s="7"/>
      <c r="C28" s="18" t="s">
        <v>40</v>
      </c>
      <c r="D28" s="65">
        <f>'TX-HPL-FLSH'!L28</f>
        <v>-3569711</v>
      </c>
      <c r="E28" s="66">
        <f>'TX-HPL-FLSH'!M28</f>
        <v>-5891806.0500000045</v>
      </c>
      <c r="F28" s="60">
        <f>'TX-HPL-GL '!D28</f>
        <v>-12188411</v>
      </c>
      <c r="G28" s="38">
        <f>'TX-HPL-GL '!E28</f>
        <v>-20104150.75</v>
      </c>
      <c r="H28" s="60">
        <f>F28-D28</f>
        <v>-8618700</v>
      </c>
      <c r="I28" s="38">
        <f>G28-E28</f>
        <v>-14212344.699999996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-1183884</v>
      </c>
      <c r="E29" s="70">
        <f t="shared" si="4"/>
        <v>-1049658.9300000044</v>
      </c>
      <c r="F29" s="69">
        <f t="shared" si="4"/>
        <v>-9287856</v>
      </c>
      <c r="G29" s="70">
        <f t="shared" si="4"/>
        <v>-15399751.9384</v>
      </c>
      <c r="H29" s="69">
        <f t="shared" si="4"/>
        <v>-8103972</v>
      </c>
      <c r="I29" s="70">
        <f t="shared" si="4"/>
        <v>-14350093.008399997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0</v>
      </c>
      <c r="G32" s="38">
        <f>'TX-HPL-GL '!E32</f>
        <v>2.000000002226443E-3</v>
      </c>
      <c r="H32" s="60">
        <f>F32-D32</f>
        <v>0</v>
      </c>
      <c r="I32" s="38">
        <f>G32-E32</f>
        <v>2.000000002226443E-3</v>
      </c>
    </row>
    <row r="33" spans="1:9" x14ac:dyDescent="0.2">
      <c r="A33" s="9">
        <v>14</v>
      </c>
      <c r="B33" s="7"/>
      <c r="C33" s="18" t="s">
        <v>44</v>
      </c>
      <c r="D33" s="65">
        <f>'TX-HPL-FLSH'!L33</f>
        <v>-3790950</v>
      </c>
      <c r="E33" s="66">
        <f>'TX-HPL-FLSH'!M33</f>
        <v>-6671178.306412736</v>
      </c>
      <c r="F33" s="60">
        <f>'TX-HPL-GL '!D33</f>
        <v>0</v>
      </c>
      <c r="G33" s="38">
        <f>'TX-HPL-GL '!E33</f>
        <v>0</v>
      </c>
      <c r="H33" s="60">
        <f t="shared" ref="H33:I35" si="5">F33-D33</f>
        <v>3790950</v>
      </c>
      <c r="I33" s="38">
        <f t="shared" si="5"/>
        <v>6671178.306412736</v>
      </c>
    </row>
    <row r="34" spans="1:9" x14ac:dyDescent="0.2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-3790950</v>
      </c>
      <c r="E36" s="39">
        <f t="shared" si="6"/>
        <v>-6671178.306412736</v>
      </c>
      <c r="F36" s="61">
        <f t="shared" si="6"/>
        <v>0</v>
      </c>
      <c r="G36" s="39">
        <f t="shared" si="6"/>
        <v>2.000000002226443E-3</v>
      </c>
      <c r="H36" s="61">
        <f t="shared" si="6"/>
        <v>3790950</v>
      </c>
      <c r="I36" s="39">
        <f t="shared" si="6"/>
        <v>6671178.3084127363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'TX-HPL-FLSH'!L39</f>
        <v>0</v>
      </c>
      <c r="E39" s="66">
        <f>'TX-HPL-FLSH'!M39</f>
        <v>-0.25</v>
      </c>
      <c r="F39" s="60">
        <f>'TX-HPL-GL '!D39</f>
        <v>0</v>
      </c>
      <c r="G39" s="38">
        <f>'TX-HPL-GL '!E39</f>
        <v>0</v>
      </c>
      <c r="H39" s="60">
        <f t="shared" ref="H39:I41" si="7">F39-D39</f>
        <v>0</v>
      </c>
      <c r="I39" s="38">
        <f t="shared" si="7"/>
        <v>0.25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'TX-HPL-FLSH'!L40</f>
        <v>0</v>
      </c>
      <c r="E40" s="66">
        <f>'TX-HPL-FLSH'!M40</f>
        <v>0</v>
      </c>
      <c r="F40" s="60">
        <f>'TX-HPL-GL '!D40</f>
        <v>0</v>
      </c>
      <c r="G40" s="38">
        <f>'TX-HPL-GL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-0.25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0.25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-14647.13</v>
      </c>
      <c r="H47" s="60">
        <f>F47-D47</f>
        <v>0</v>
      </c>
      <c r="I47" s="38">
        <f>G47-E47</f>
        <v>-14647.13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'TX-HPL-FLSH'!L51</f>
        <v>668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-668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0</v>
      </c>
      <c r="F54" s="60">
        <f>'TX-HPL-GL '!D54</f>
        <v>0</v>
      </c>
      <c r="G54" s="38">
        <f>'TX-HPL-GL '!E54</f>
        <v>16589.419999999998</v>
      </c>
      <c r="H54" s="60">
        <f>F54-D54</f>
        <v>0</v>
      </c>
      <c r="I54" s="38">
        <f>G54-E54</f>
        <v>16589.419999999998</v>
      </c>
    </row>
    <row r="55" spans="1:9" x14ac:dyDescent="0.2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-581952</v>
      </c>
      <c r="H55" s="60">
        <f>F55-D55</f>
        <v>0</v>
      </c>
      <c r="I55" s="38">
        <f>G55-E55</f>
        <v>-581952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-565362.57999999996</v>
      </c>
      <c r="H56" s="61">
        <f t="shared" si="10"/>
        <v>0</v>
      </c>
      <c r="I56" s="39">
        <f t="shared" si="10"/>
        <v>-565362.57999999996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662.5</v>
      </c>
      <c r="H59" s="60">
        <f>F59-D59</f>
        <v>0</v>
      </c>
      <c r="I59" s="38">
        <f>G59-E59</f>
        <v>662.5</v>
      </c>
    </row>
    <row r="60" spans="1:9" x14ac:dyDescent="0.2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662.5</v>
      </c>
      <c r="H61" s="69">
        <f t="shared" si="11"/>
        <v>0</v>
      </c>
      <c r="I61" s="70">
        <f t="shared" si="11"/>
        <v>662.5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-10133904</v>
      </c>
      <c r="G64" s="38">
        <f>'TX-HPL-GL '!E64</f>
        <v>-561524.16000000015</v>
      </c>
      <c r="H64" s="60">
        <f>F64-D64</f>
        <v>-10133904</v>
      </c>
      <c r="I64" s="38">
        <f>G64-E64</f>
        <v>-561524.16000000015</v>
      </c>
    </row>
    <row r="65" spans="1:9" x14ac:dyDescent="0.2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555778</v>
      </c>
      <c r="H65" s="60">
        <f>F65-D65</f>
        <v>0</v>
      </c>
      <c r="I65" s="38">
        <f>G65-E65</f>
        <v>555778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-10133904</v>
      </c>
      <c r="G66" s="39">
        <f t="shared" si="12"/>
        <v>-5746.160000000149</v>
      </c>
      <c r="H66" s="61">
        <f t="shared" si="12"/>
        <v>-10133904</v>
      </c>
      <c r="I66" s="39">
        <f t="shared" si="12"/>
        <v>-5746.160000000149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1506398</v>
      </c>
      <c r="H74" s="60">
        <f t="shared" ref="H74:I79" si="14">F74-D74</f>
        <v>0</v>
      </c>
      <c r="I74" s="38">
        <f t="shared" si="14"/>
        <v>1506398</v>
      </c>
    </row>
    <row r="75" spans="1:9" x14ac:dyDescent="0.2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-649896.51511274558</v>
      </c>
      <c r="F82" s="117">
        <f>F16+F24+F29+F36+F43+F45+F47+F49</f>
        <v>0</v>
      </c>
      <c r="G82" s="118">
        <f>SUM(G72:G81)+G16+G24+G29+G36+G43+G45+G47+G49+G51+G56+G61+G66</f>
        <v>60487.313599996851</v>
      </c>
      <c r="H82" s="117">
        <f>H16+H24+H29+H36+H43+H45+H47+H49</f>
        <v>0</v>
      </c>
      <c r="I82" s="118">
        <f>SUM(I72:I81)+I16+I24+I29+I36+I43+I45+I47+I49+I51+I56+I61+I66</f>
        <v>710383.82871274382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D57" activePane="bottomRight" state="frozen"/>
      <selection activeCell="D10" sqref="D10"/>
      <selection pane="topRight" activeCell="D10" sqref="D10"/>
      <selection pane="bottomLeft" activeCell="D10" sqref="D10"/>
      <selection pane="bottomRight" activeCell="S42" sqref="S4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9903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179</v>
      </c>
      <c r="W8" s="27"/>
      <c r="X8" s="26" t="s">
        <v>123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0</v>
      </c>
      <c r="F11" s="60"/>
      <c r="G11" s="38">
        <v>-1866200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>
        <v>1866200</v>
      </c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-1876875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>
        <v>-1866200</v>
      </c>
      <c r="T12" s="60"/>
      <c r="U12" s="38">
        <f>-288503-10675+288503</f>
        <v>-10675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-3826574</v>
      </c>
      <c r="F15" s="60"/>
      <c r="G15" s="38">
        <f>-1364081-706702-639128</f>
        <v>-2709911</v>
      </c>
      <c r="H15" s="60"/>
      <c r="I15" s="38">
        <v>-7926</v>
      </c>
      <c r="J15" s="60"/>
      <c r="K15" s="38"/>
      <c r="L15" s="60"/>
      <c r="M15" s="38"/>
      <c r="N15" s="60"/>
      <c r="O15" s="38">
        <f>-301990-806747</f>
        <v>-1108737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-5703449</v>
      </c>
      <c r="F16" s="61">
        <f t="shared" si="1"/>
        <v>0</v>
      </c>
      <c r="G16" s="39">
        <f t="shared" si="1"/>
        <v>-4576111</v>
      </c>
      <c r="H16" s="61">
        <f t="shared" si="1"/>
        <v>0</v>
      </c>
      <c r="I16" s="39">
        <f t="shared" si="1"/>
        <v>-7926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-1108737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-10675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v>89462</v>
      </c>
      <c r="J41" s="60"/>
      <c r="K41" s="38"/>
      <c r="L41" s="60"/>
      <c r="M41" s="38"/>
      <c r="N41" s="60"/>
      <c r="O41" s="38"/>
      <c r="P41" s="60"/>
      <c r="Q41" s="38"/>
      <c r="R41" s="60"/>
      <c r="S41" s="38">
        <v>-443620</v>
      </c>
      <c r="T41" s="60"/>
      <c r="U41" s="38">
        <f>-89462+443620</f>
        <v>354158</v>
      </c>
      <c r="V41" s="60"/>
      <c r="W41" s="38"/>
      <c r="X41" s="60"/>
      <c r="Y41" s="38"/>
    </row>
    <row r="42" spans="1:25" x14ac:dyDescent="0.2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89462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-443620</v>
      </c>
      <c r="T42" s="61">
        <f t="shared" si="13"/>
        <v>0</v>
      </c>
      <c r="U42" s="39">
        <f t="shared" si="13"/>
        <v>354158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89462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-443620</v>
      </c>
      <c r="T43" s="61">
        <f t="shared" si="15"/>
        <v>0</v>
      </c>
      <c r="U43" s="39">
        <f t="shared" si="15"/>
        <v>354158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>
        <f>178198-178198</f>
        <v>0</v>
      </c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>
        <f>-178198+178198</f>
        <v>0</v>
      </c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>
        <v>25573</v>
      </c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>
        <v>-25573</v>
      </c>
      <c r="X54" s="60"/>
      <c r="Y54" s="38"/>
    </row>
    <row r="55" spans="1:25" x14ac:dyDescent="0.2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3826574</v>
      </c>
      <c r="F55" s="60"/>
      <c r="G55" s="38">
        <f>1364081+9114</f>
        <v>1373195</v>
      </c>
      <c r="H55" s="60"/>
      <c r="I55" s="38">
        <f>639128+7926</f>
        <v>647054</v>
      </c>
      <c r="J55" s="60"/>
      <c r="K55" s="38"/>
      <c r="L55" s="60"/>
      <c r="M55" s="38"/>
      <c r="N55" s="60"/>
      <c r="O55" s="38">
        <f>706702+301990+806747</f>
        <v>1815439</v>
      </c>
      <c r="P55" s="60"/>
      <c r="Q55" s="38"/>
      <c r="R55" s="60"/>
      <c r="S55" s="38"/>
      <c r="T55" s="60"/>
      <c r="U55" s="38"/>
      <c r="V55" s="60"/>
      <c r="W55" s="38">
        <v>-9114</v>
      </c>
      <c r="X55" s="60"/>
      <c r="Y55" s="38"/>
    </row>
    <row r="56" spans="1:25" x14ac:dyDescent="0.2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3826574</v>
      </c>
      <c r="F56" s="61">
        <f t="shared" si="16"/>
        <v>0</v>
      </c>
      <c r="G56" s="39">
        <f t="shared" si="16"/>
        <v>1398768</v>
      </c>
      <c r="H56" s="61">
        <f t="shared" si="16"/>
        <v>0</v>
      </c>
      <c r="I56" s="39">
        <f t="shared" si="16"/>
        <v>647054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1815439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-34687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>
        <v>27083</v>
      </c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f>-27083-93300</f>
        <v>-120383</v>
      </c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>
        <f>-170000-240000</f>
        <v>-410000</v>
      </c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f>170000+240000</f>
        <v>410000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-382917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289617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1876875</v>
      </c>
      <c r="F74" s="60"/>
      <c r="G74" s="38">
        <f>-35844+71688-145662</f>
        <v>-109818</v>
      </c>
      <c r="H74" s="60"/>
      <c r="I74" s="38">
        <f>467140+115645-175064-56226</f>
        <v>351495</v>
      </c>
      <c r="J74" s="60"/>
      <c r="K74" s="38"/>
      <c r="L74" s="60"/>
      <c r="M74" s="38"/>
      <c r="N74" s="60"/>
      <c r="O74" s="38">
        <f>-467087+310889-621778</f>
        <v>-777976</v>
      </c>
      <c r="P74" s="60"/>
      <c r="Q74" s="38">
        <v>1506398</v>
      </c>
      <c r="R74" s="60"/>
      <c r="S74" s="38">
        <f>1866200-717976-676000-112422-1446011-98300</f>
        <v>-1184509</v>
      </c>
      <c r="T74" s="60"/>
      <c r="U74" s="38">
        <f>717976+676000+112422+1446011-310889+288503-115645+35844+10675+621778-288503+175064-71688+56226-1506398+145662+98300</f>
        <v>2091338</v>
      </c>
      <c r="V74" s="60"/>
      <c r="W74" s="38"/>
      <c r="X74" s="60"/>
      <c r="Y74" s="38">
        <f>467087-467140</f>
        <v>-53</v>
      </c>
    </row>
    <row r="75" spans="1:25" x14ac:dyDescent="0.2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/>
      <c r="J77" s="60"/>
      <c r="K77" s="38"/>
      <c r="L77" s="60"/>
      <c r="M77" s="38"/>
      <c r="N77" s="60"/>
      <c r="O77" s="38"/>
      <c r="P77" s="60"/>
      <c r="Q77" s="38"/>
      <c r="R77" s="60"/>
      <c r="S77" s="38">
        <v>0</v>
      </c>
      <c r="T77" s="60"/>
      <c r="U77" s="38"/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v>111021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-111021</v>
      </c>
    </row>
    <row r="82" spans="1:26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-3287161</v>
      </c>
      <c r="H82" s="92">
        <f>H16+H24+H29+H36+H43+H45+H47+H49</f>
        <v>0</v>
      </c>
      <c r="I82" s="93">
        <f>SUM(I72:I81)+I16+I24+I29+I36+I43+I45+I47+I49+I51+I56+I61+I66</f>
        <v>808189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-71274</v>
      </c>
      <c r="P82" s="92">
        <f>P16+P24+P29+P36+P43+P45+P47+P49</f>
        <v>0</v>
      </c>
      <c r="Q82" s="93">
        <f>SUM(Q72:Q81)+Q16+Q24+Q29+Q36+Q43+Q45+Q47+Q49+Q51+Q56+Q61+Q66</f>
        <v>1506398</v>
      </c>
      <c r="R82" s="92">
        <f>R16+R24+R29+R36+R43+R45+R47+R49</f>
        <v>0</v>
      </c>
      <c r="S82" s="93">
        <f>SUM(S72:S81)+S16+S24+S29+S36+S43+S45+S47+S49+S51+S56+S61+S66</f>
        <v>-1534829</v>
      </c>
      <c r="T82" s="92">
        <f>T16+T24+T29+T36+T43+T45+T47+T49</f>
        <v>0</v>
      </c>
      <c r="U82" s="93">
        <f>SUM(U72:U81)+U16+U24+U29+U36+U43+U45+U47+U49+U51+U56+U61+U66</f>
        <v>2724438</v>
      </c>
      <c r="V82" s="92">
        <f>V16+V24+V29+V36+V43+V45+V47+V49</f>
        <v>0</v>
      </c>
      <c r="W82" s="93">
        <f>SUM(W72:W81)+W16+W24+W29+W36+W43+W45+W47+W49+W51+W56+W61+W66</f>
        <v>-34687</v>
      </c>
      <c r="X82" s="92">
        <f>X16+X24+X29+X36+X43+X45+X47+X49</f>
        <v>0</v>
      </c>
      <c r="Y82" s="93">
        <f>SUM(Y72:Y81)+Y16+Y24+Y29+Y36+Y43+Y45+Y47+Y49+Y51+Y56+Y61+Y66</f>
        <v>-111074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1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'TX-CON-FLSH'!L11</f>
        <v>48356169</v>
      </c>
      <c r="E11" s="66">
        <f>'TX-CON-FLSH'!M11</f>
        <v>78492764</v>
      </c>
      <c r="F11" s="60">
        <f>'TX-CON-GL '!D11</f>
        <v>49164837</v>
      </c>
      <c r="G11" s="38">
        <f>'TX-CON-GL '!E11</f>
        <v>90424581.25</v>
      </c>
      <c r="H11" s="60">
        <f>F11-D11</f>
        <v>808668</v>
      </c>
      <c r="I11" s="38">
        <f>G11-E11</f>
        <v>11931817.25</v>
      </c>
    </row>
    <row r="12" spans="1:22" x14ac:dyDescent="0.2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-10514736.16</v>
      </c>
      <c r="H12" s="60">
        <f>F12-D12</f>
        <v>0</v>
      </c>
      <c r="I12" s="38">
        <f>G12-E12</f>
        <v>-10514736.16</v>
      </c>
    </row>
    <row r="13" spans="1:22" x14ac:dyDescent="0.2">
      <c r="A13" s="9">
        <v>3</v>
      </c>
      <c r="B13" s="7"/>
      <c r="C13" s="18" t="s">
        <v>31</v>
      </c>
      <c r="D13" s="65">
        <f>'TX-CON-FLSH'!L13</f>
        <v>1249214</v>
      </c>
      <c r="E13" s="66">
        <f>'TX-CON-FLSH'!M13</f>
        <v>2160702</v>
      </c>
      <c r="F13" s="60">
        <f>'TX-CON-GL '!D13</f>
        <v>2952044</v>
      </c>
      <c r="G13" s="38">
        <f>'TX-CON-GL '!E13</f>
        <v>5120629</v>
      </c>
      <c r="H13" s="60">
        <f t="shared" ref="H13:I15" si="0">F13-D13</f>
        <v>1702830</v>
      </c>
      <c r="I13" s="38">
        <f t="shared" si="0"/>
        <v>2959927</v>
      </c>
    </row>
    <row r="14" spans="1:22" x14ac:dyDescent="0.2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49605383</v>
      </c>
      <c r="E16" s="39">
        <f t="shared" si="1"/>
        <v>80773466</v>
      </c>
      <c r="F16" s="61">
        <f t="shared" si="1"/>
        <v>52116881</v>
      </c>
      <c r="G16" s="39">
        <f t="shared" si="1"/>
        <v>85030474.090000004</v>
      </c>
      <c r="H16" s="61">
        <f t="shared" si="1"/>
        <v>2511498</v>
      </c>
      <c r="I16" s="39">
        <f t="shared" si="1"/>
        <v>4257008.09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'TX-CON-FLSH'!L19</f>
        <v>-44361203</v>
      </c>
      <c r="E19" s="66">
        <f>'TX-CON-FLSH'!M19</f>
        <v>-71455847</v>
      </c>
      <c r="F19" s="60">
        <f>'TX-CON-GL '!D19</f>
        <v>-29494466</v>
      </c>
      <c r="G19" s="38">
        <f>'TX-CON-GL '!E19</f>
        <v>-48194936.559999995</v>
      </c>
      <c r="H19" s="60">
        <f>F19-D19</f>
        <v>14866737</v>
      </c>
      <c r="I19" s="38">
        <f>G19-E19</f>
        <v>23260910.440000005</v>
      </c>
    </row>
    <row r="20" spans="1:9" x14ac:dyDescent="0.2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1001773.72</v>
      </c>
      <c r="H20" s="60">
        <f>F20-D20</f>
        <v>0</v>
      </c>
      <c r="I20" s="38">
        <f>G20-E20</f>
        <v>1001773.72</v>
      </c>
    </row>
    <row r="21" spans="1:9" x14ac:dyDescent="0.2">
      <c r="A21" s="9">
        <v>8</v>
      </c>
      <c r="B21" s="7"/>
      <c r="C21" s="18" t="s">
        <v>31</v>
      </c>
      <c r="D21" s="65">
        <f>'TX-CON-FLSH'!L21</f>
        <v>-1231813</v>
      </c>
      <c r="E21" s="66">
        <f>'TX-CON-FLSH'!M21</f>
        <v>-2046081</v>
      </c>
      <c r="F21" s="60">
        <f>'TX-CON-GL '!D21</f>
        <v>-3044223</v>
      </c>
      <c r="G21" s="38">
        <f>'TX-CON-GL '!E21</f>
        <v>-5193982</v>
      </c>
      <c r="H21" s="60">
        <f t="shared" ref="H21:I23" si="2">F21-D21</f>
        <v>-1812410</v>
      </c>
      <c r="I21" s="38">
        <f t="shared" si="2"/>
        <v>-3147901</v>
      </c>
    </row>
    <row r="22" spans="1:9" x14ac:dyDescent="0.2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'TX-CON-FLSH'!L23</f>
        <v>668</v>
      </c>
      <c r="E23" s="66">
        <f>'TX-CON-FLSH'!M23</f>
        <v>1139</v>
      </c>
      <c r="F23" s="60">
        <f>'TX-CON-GL '!D23</f>
        <v>2400</v>
      </c>
      <c r="G23" s="38">
        <f>'TX-CON-GL '!E23</f>
        <v>3691.55</v>
      </c>
      <c r="H23" s="60">
        <f t="shared" si="2"/>
        <v>1732</v>
      </c>
      <c r="I23" s="38">
        <f t="shared" si="2"/>
        <v>2552.5500000000002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-45592348</v>
      </c>
      <c r="E24" s="39">
        <f t="shared" si="3"/>
        <v>-73500789</v>
      </c>
      <c r="F24" s="61">
        <f t="shared" si="3"/>
        <v>-32536289</v>
      </c>
      <c r="G24" s="39">
        <f t="shared" si="3"/>
        <v>-52383453.289999999</v>
      </c>
      <c r="H24" s="61">
        <f t="shared" si="3"/>
        <v>13056059</v>
      </c>
      <c r="I24" s="39">
        <f t="shared" si="3"/>
        <v>21117335.710000005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'TX-CON-FLSH'!L27</f>
        <v>34511359</v>
      </c>
      <c r="E27" s="66">
        <f>'TX-CON-FLSH'!M27</f>
        <v>59454463.999999993</v>
      </c>
      <c r="F27" s="60">
        <f>'TX-CON-GL '!D27</f>
        <v>11049097</v>
      </c>
      <c r="G27" s="38">
        <f>'TX-CON-GL '!E27</f>
        <v>18147060.616999999</v>
      </c>
      <c r="H27" s="60">
        <f>F27-D27</f>
        <v>-23462262</v>
      </c>
      <c r="I27" s="38">
        <f>G27-E27</f>
        <v>-41307403.382999994</v>
      </c>
    </row>
    <row r="28" spans="1:9" x14ac:dyDescent="0.2">
      <c r="A28" s="9">
        <v>12</v>
      </c>
      <c r="B28" s="7"/>
      <c r="C28" s="18" t="s">
        <v>40</v>
      </c>
      <c r="D28" s="65">
        <f>'TX-CON-FLSH'!L28</f>
        <v>-34511359</v>
      </c>
      <c r="E28" s="66">
        <f>'TX-CON-FLSH'!M28</f>
        <v>-59454464</v>
      </c>
      <c r="F28" s="60">
        <f>'TX-CON-GL '!D28</f>
        <v>-25039780</v>
      </c>
      <c r="G28" s="38">
        <f>'TX-CON-GL '!E28</f>
        <v>-41131471.659999982</v>
      </c>
      <c r="H28" s="60">
        <f>F28-D28</f>
        <v>9471579</v>
      </c>
      <c r="I28" s="38">
        <f>G28-E28</f>
        <v>18322992.340000018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-13990683</v>
      </c>
      <c r="G29" s="70">
        <f t="shared" si="4"/>
        <v>-22984411.042999983</v>
      </c>
      <c r="H29" s="69">
        <f t="shared" si="4"/>
        <v>-13990683</v>
      </c>
      <c r="I29" s="70">
        <f t="shared" si="4"/>
        <v>-22984411.042999975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-520207</v>
      </c>
      <c r="G32" s="38">
        <f>'TX-CON-GL '!E32</f>
        <v>-800078.92400000012</v>
      </c>
      <c r="H32" s="60">
        <f>F32-D32</f>
        <v>-520207</v>
      </c>
      <c r="I32" s="38">
        <f>G32-E32</f>
        <v>-800078.92400000012</v>
      </c>
    </row>
    <row r="33" spans="1:9" x14ac:dyDescent="0.2">
      <c r="A33" s="9">
        <v>14</v>
      </c>
      <c r="B33" s="7"/>
      <c r="C33" s="18" t="s">
        <v>44</v>
      </c>
      <c r="D33" s="65">
        <f>'TX-CON-FLSH'!L33</f>
        <v>915744</v>
      </c>
      <c r="E33" s="66">
        <f>'TX-CON-FLSH'!M33</f>
        <v>1408112.4477792848</v>
      </c>
      <c r="F33" s="60">
        <f>'TX-CON-GL '!D33</f>
        <v>12</v>
      </c>
      <c r="G33" s="38">
        <f>'TX-CON-GL '!E33</f>
        <v>20.88</v>
      </c>
      <c r="H33" s="60">
        <f t="shared" ref="H33:I35" si="5">F33-D33</f>
        <v>-915732</v>
      </c>
      <c r="I33" s="38">
        <f t="shared" si="5"/>
        <v>-1408091.5677792849</v>
      </c>
    </row>
    <row r="34" spans="1:9" x14ac:dyDescent="0.2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915744</v>
      </c>
      <c r="E36" s="39">
        <f t="shared" si="6"/>
        <v>1408112.4477792848</v>
      </c>
      <c r="F36" s="61">
        <f t="shared" si="6"/>
        <v>-520195</v>
      </c>
      <c r="G36" s="39">
        <f t="shared" si="6"/>
        <v>-800058.0340000001</v>
      </c>
      <c r="H36" s="61">
        <f t="shared" si="6"/>
        <v>-1435939</v>
      </c>
      <c r="I36" s="39">
        <f t="shared" si="6"/>
        <v>-2208170.4817792852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'TX-CON-FLSH'!L39</f>
        <v>994162</v>
      </c>
      <c r="E39" s="66">
        <f>'TX-CON-FLSH'!M39</f>
        <v>1829413</v>
      </c>
      <c r="F39" s="60">
        <f>'TX-CON-GL '!D39</f>
        <v>0</v>
      </c>
      <c r="G39" s="38">
        <f>'TX-CON-GL '!E39</f>
        <v>0</v>
      </c>
      <c r="H39" s="60">
        <f t="shared" ref="H39:I41" si="7">F39-D39</f>
        <v>-994162</v>
      </c>
      <c r="I39" s="38">
        <f t="shared" si="7"/>
        <v>-1829413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'TX-CON-FLSH'!L40</f>
        <v>-5922941</v>
      </c>
      <c r="E40" s="66">
        <f>'TX-CON-FLSH'!M40</f>
        <v>-10961586.9087</v>
      </c>
      <c r="F40" s="60">
        <f>'TX-CON-GL '!D40</f>
        <v>-5361288</v>
      </c>
      <c r="G40" s="38">
        <f>'TX-CON-GL '!E40</f>
        <v>-9627903.6499999985</v>
      </c>
      <c r="H40" s="60">
        <f t="shared" si="7"/>
        <v>561653</v>
      </c>
      <c r="I40" s="38">
        <f t="shared" si="7"/>
        <v>1333683.258700002</v>
      </c>
    </row>
    <row r="41" spans="1:9" x14ac:dyDescent="0.2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558463</v>
      </c>
      <c r="H41" s="60">
        <f t="shared" si="7"/>
        <v>0</v>
      </c>
      <c r="I41" s="38">
        <f t="shared" si="7"/>
        <v>558463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-5922941</v>
      </c>
      <c r="E42" s="70">
        <f t="shared" si="8"/>
        <v>-10961586.9087</v>
      </c>
      <c r="F42" s="69">
        <f t="shared" si="8"/>
        <v>-5361288</v>
      </c>
      <c r="G42" s="70">
        <f t="shared" si="8"/>
        <v>-9069440.6499999985</v>
      </c>
      <c r="H42" s="69">
        <f t="shared" si="8"/>
        <v>561653</v>
      </c>
      <c r="I42" s="70">
        <f t="shared" si="8"/>
        <v>1892146.258700002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-4928779</v>
      </c>
      <c r="E43" s="39">
        <f t="shared" si="9"/>
        <v>-9132173.9087000005</v>
      </c>
      <c r="F43" s="61">
        <f t="shared" si="9"/>
        <v>-5361288</v>
      </c>
      <c r="G43" s="39">
        <f t="shared" si="9"/>
        <v>-9069440.6499999985</v>
      </c>
      <c r="H43" s="61">
        <f t="shared" si="9"/>
        <v>-432509</v>
      </c>
      <c r="I43" s="39">
        <f t="shared" si="9"/>
        <v>62733.258700001985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-14647.13</v>
      </c>
      <c r="H47" s="60">
        <f>F47-D47</f>
        <v>0</v>
      </c>
      <c r="I47" s="38">
        <f>G47-E47</f>
        <v>-14647.13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291574</v>
      </c>
      <c r="G49" s="38">
        <f>'TX-CON-GL '!E49</f>
        <v>448221.28599999996</v>
      </c>
      <c r="H49" s="60">
        <f>F49-D49</f>
        <v>291574</v>
      </c>
      <c r="I49" s="38">
        <f>G49-E49</f>
        <v>448221.28599999996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-2400</v>
      </c>
      <c r="G51" s="38">
        <f>'TX-CON-GL '!E51</f>
        <v>-3691.55</v>
      </c>
      <c r="H51" s="60">
        <f>F51-D51</f>
        <v>-2400</v>
      </c>
      <c r="I51" s="38">
        <f>G51-E51</f>
        <v>-3691.55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-803059.21</v>
      </c>
      <c r="F54" s="60">
        <f>'TX-CON-GL '!D54</f>
        <v>19487739</v>
      </c>
      <c r="G54" s="38">
        <f>'TX-CON-GL '!E54</f>
        <v>166454.32</v>
      </c>
      <c r="H54" s="60">
        <f>F54-D54</f>
        <v>19487739</v>
      </c>
      <c r="I54" s="38">
        <f>G54-E54</f>
        <v>969513.53</v>
      </c>
    </row>
    <row r="55" spans="1:9" x14ac:dyDescent="0.2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0</v>
      </c>
      <c r="F55" s="60">
        <f>'TX-CON-GL '!D55</f>
        <v>-3993812</v>
      </c>
      <c r="G55" s="38">
        <f>'TX-CON-GL '!E55</f>
        <v>-691937.68</v>
      </c>
      <c r="H55" s="60">
        <f>F55-D55</f>
        <v>-3993812</v>
      </c>
      <c r="I55" s="38">
        <f>G55-E55</f>
        <v>-691937.68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-803059.21</v>
      </c>
      <c r="F56" s="61">
        <f t="shared" si="10"/>
        <v>15493927</v>
      </c>
      <c r="G56" s="39">
        <f t="shared" si="10"/>
        <v>-525483.3600000001</v>
      </c>
      <c r="H56" s="61">
        <f t="shared" si="10"/>
        <v>15493927</v>
      </c>
      <c r="I56" s="39">
        <f t="shared" si="10"/>
        <v>277575.84999999998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35931.5</v>
      </c>
      <c r="H59" s="60">
        <f>F59-D59</f>
        <v>0</v>
      </c>
      <c r="I59" s="38">
        <f>G59-E59</f>
        <v>35931.5</v>
      </c>
    </row>
    <row r="60" spans="1:9" x14ac:dyDescent="0.2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35931.5</v>
      </c>
      <c r="H61" s="69">
        <f t="shared" si="11"/>
        <v>0</v>
      </c>
      <c r="I61" s="70">
        <f t="shared" si="11"/>
        <v>35931.5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-61016546</v>
      </c>
      <c r="G64" s="38">
        <f>'TX-CON-GL '!E64</f>
        <v>-1261116.8100000003</v>
      </c>
      <c r="H64" s="60">
        <f>F64-D64</f>
        <v>-61016546</v>
      </c>
      <c r="I64" s="38">
        <f>G64-E64</f>
        <v>-1261116.8100000003</v>
      </c>
    </row>
    <row r="65" spans="1:9" x14ac:dyDescent="0.2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1014729</v>
      </c>
      <c r="H65" s="60">
        <f>F65-D65</f>
        <v>0</v>
      </c>
      <c r="I65" s="38">
        <f>G65-E65</f>
        <v>1014729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-61016546</v>
      </c>
      <c r="G66" s="39">
        <f t="shared" si="12"/>
        <v>-246387.81000000029</v>
      </c>
      <c r="H66" s="61">
        <f t="shared" si="12"/>
        <v>-61016546</v>
      </c>
      <c r="I66" s="39">
        <f t="shared" si="12"/>
        <v>-246387.81000000029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300495.52</v>
      </c>
      <c r="F70" s="60">
        <f>'TX-CON-GL '!D70</f>
        <v>0</v>
      </c>
      <c r="G70" s="38">
        <f>'TX-CON-GL '!E70</f>
        <v>162385.08000000007</v>
      </c>
      <c r="H70" s="60">
        <f>F70-D70</f>
        <v>0</v>
      </c>
      <c r="I70" s="38">
        <f>G70-E70</f>
        <v>-138110.43999999994</v>
      </c>
    </row>
    <row r="71" spans="1:9" x14ac:dyDescent="0.2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-421545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421545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-121049.47999999998</v>
      </c>
      <c r="F72" s="69">
        <f t="shared" si="13"/>
        <v>0</v>
      </c>
      <c r="G72" s="70">
        <f t="shared" si="13"/>
        <v>162385.08000000007</v>
      </c>
      <c r="H72" s="69">
        <f t="shared" si="13"/>
        <v>0</v>
      </c>
      <c r="I72" s="70">
        <f t="shared" si="13"/>
        <v>283434.56000000006</v>
      </c>
    </row>
    <row r="73" spans="1:9" x14ac:dyDescent="0.2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1032373.95</v>
      </c>
      <c r="F74" s="60">
        <f>'TX-CON-GL '!D74</f>
        <v>0</v>
      </c>
      <c r="G74" s="38">
        <f>'TX-CON-GL '!E74</f>
        <v>910467</v>
      </c>
      <c r="H74" s="60">
        <f t="shared" ref="H74:I79" si="14">F74-D74</f>
        <v>0</v>
      </c>
      <c r="I74" s="38">
        <f t="shared" si="14"/>
        <v>-121906.94999999995</v>
      </c>
    </row>
    <row r="75" spans="1:9" x14ac:dyDescent="0.2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1776930</v>
      </c>
      <c r="F75" s="60">
        <f>'TX-CON-GL '!D75</f>
        <v>0</v>
      </c>
      <c r="G75" s="38">
        <f>'TX-CON-GL '!E75</f>
        <v>1777100</v>
      </c>
      <c r="H75" s="60">
        <f t="shared" si="14"/>
        <v>0</v>
      </c>
      <c r="I75" s="38">
        <f t="shared" si="14"/>
        <v>170</v>
      </c>
    </row>
    <row r="76" spans="1:9" x14ac:dyDescent="0.2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-7855</v>
      </c>
      <c r="F76" s="60">
        <f>'TX-CON-GL '!D76</f>
        <v>0</v>
      </c>
      <c r="G76" s="38">
        <f>'TX-CON-GL '!E76</f>
        <v>-7855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-30000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-790000</v>
      </c>
    </row>
    <row r="78" spans="1:9" x14ac:dyDescent="0.2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892374</v>
      </c>
      <c r="F81" s="60">
        <f>'TX-CON-GL '!D81</f>
        <v>0</v>
      </c>
      <c r="G81" s="38">
        <f>'TX-CON-GL '!E81</f>
        <v>-50000</v>
      </c>
      <c r="H81" s="60">
        <f>F81-D81</f>
        <v>0</v>
      </c>
      <c r="I81" s="38">
        <f>G81-E81</f>
        <v>-942374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2288329.7990792831</v>
      </c>
      <c r="F82" s="117">
        <f>F16+F24+F29+F36+F43+F45+F47+F49</f>
        <v>0</v>
      </c>
      <c r="G82" s="118">
        <f>SUM(G72:G81)+G16+G24+G29+G36+G43+G45+G47+G49+G51+G56+G61+G66</f>
        <v>1459151.0890000211</v>
      </c>
      <c r="H82" s="117">
        <f>H16+H24+H29+H36+H43+H45+H47+H49</f>
        <v>0</v>
      </c>
      <c r="I82" s="118">
        <f>SUM(I72:I81)+I16+I24+I29+I36+I43+I45+I47+I49+I51+I56+I61+I66</f>
        <v>-829178.71007925505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189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'TX-CON-FLSH'!L86</f>
        <v>0</v>
      </c>
      <c r="E86" s="183">
        <f>'TX-CON-FLSH'!M86</f>
        <v>11696534</v>
      </c>
      <c r="F86" s="183">
        <f>'TX-CON-GL '!D86</f>
        <v>0</v>
      </c>
      <c r="G86" s="183">
        <f>'TX-CON-GL '!E86</f>
        <v>11696533.92</v>
      </c>
      <c r="H86" s="183">
        <f t="shared" ref="H86:I88" si="15">F86-D86</f>
        <v>0</v>
      </c>
      <c r="I86" s="183">
        <f t="shared" si="15"/>
        <v>-8.0000000074505806E-2</v>
      </c>
    </row>
    <row r="87" spans="1:63" x14ac:dyDescent="0.2">
      <c r="A87" s="182"/>
      <c r="B87" s="3"/>
      <c r="C87" s="10" t="s">
        <v>75</v>
      </c>
      <c r="D87" s="184">
        <f>'TX-CON-FLSH'!L87</f>
        <v>0</v>
      </c>
      <c r="E87" s="184">
        <f>'TX-CON-FLSH'!M87</f>
        <v>0</v>
      </c>
      <c r="F87" s="184">
        <f>'TX-CON-GL '!D87</f>
        <v>0</v>
      </c>
      <c r="G87" s="184">
        <f>'TX-CON-GL 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'TX-CON-FLSH'!L88</f>
        <v>0</v>
      </c>
      <c r="E88" s="185">
        <f>'TX-CON-FLSH'!M88</f>
        <v>-11438321</v>
      </c>
      <c r="F88" s="185">
        <f>'TX-CON-GL '!D88</f>
        <v>0</v>
      </c>
      <c r="G88" s="185">
        <f>'TX-CON-GL '!E88</f>
        <v>-11438300</v>
      </c>
      <c r="H88" s="185">
        <f t="shared" si="15"/>
        <v>0</v>
      </c>
      <c r="I88" s="185">
        <f t="shared" si="15"/>
        <v>21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258213</v>
      </c>
      <c r="F89" s="189">
        <f t="shared" si="16"/>
        <v>0</v>
      </c>
      <c r="G89" s="189">
        <f t="shared" si="16"/>
        <v>258233.91999999993</v>
      </c>
      <c r="H89" s="189">
        <f t="shared" si="16"/>
        <v>0</v>
      </c>
      <c r="I89" s="189">
        <f t="shared" si="16"/>
        <v>20.919999999925494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2546542.7990792831</v>
      </c>
      <c r="F91" s="189">
        <f t="shared" si="17"/>
        <v>0</v>
      </c>
      <c r="G91" s="189">
        <f t="shared" si="17"/>
        <v>1717385.009000021</v>
      </c>
      <c r="H91" s="189">
        <f t="shared" si="17"/>
        <v>0</v>
      </c>
      <c r="I91" s="189">
        <f t="shared" si="17"/>
        <v>-829157.79007925512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62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'WE-FLSH'!L11</f>
        <v>32341331</v>
      </c>
      <c r="E11" s="66">
        <f>'WE-FLSH'!M11</f>
        <v>51294159</v>
      </c>
      <c r="F11" s="60">
        <f>'WE-GL '!D11</f>
        <v>31438814</v>
      </c>
      <c r="G11" s="38">
        <f>'WE-GL '!E11</f>
        <v>51888393.489999995</v>
      </c>
      <c r="H11" s="60">
        <f>F11-D11</f>
        <v>-902517</v>
      </c>
      <c r="I11" s="38">
        <f>G11-E11</f>
        <v>594234.48999999464</v>
      </c>
    </row>
    <row r="12" spans="1:22" x14ac:dyDescent="0.2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-1595835.1199999999</v>
      </c>
      <c r="H12" s="60">
        <f>F12-D12</f>
        <v>0</v>
      </c>
      <c r="I12" s="38">
        <f>G12-E12</f>
        <v>-1595835.1199999999</v>
      </c>
    </row>
    <row r="13" spans="1:22" x14ac:dyDescent="0.2">
      <c r="A13" s="9">
        <v>3</v>
      </c>
      <c r="B13" s="7"/>
      <c r="C13" s="18" t="s">
        <v>31</v>
      </c>
      <c r="D13" s="65">
        <f>'WE-FLSH'!L13</f>
        <v>20542796</v>
      </c>
      <c r="E13" s="66">
        <f>'WE-FLSH'!M13</f>
        <v>33990434</v>
      </c>
      <c r="F13" s="60">
        <f>'WE-GL '!D13</f>
        <v>20321454</v>
      </c>
      <c r="G13" s="38">
        <f>'WE-GL '!E13</f>
        <v>33639475</v>
      </c>
      <c r="H13" s="60">
        <f t="shared" ref="H13:I15" si="0">F13-D13</f>
        <v>-221342</v>
      </c>
      <c r="I13" s="38">
        <f t="shared" si="0"/>
        <v>-350959</v>
      </c>
    </row>
    <row r="14" spans="1:22" x14ac:dyDescent="0.2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-1108737</v>
      </c>
      <c r="H15" s="60">
        <f t="shared" si="0"/>
        <v>0</v>
      </c>
      <c r="I15" s="38">
        <f t="shared" si="0"/>
        <v>-1108737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52884127</v>
      </c>
      <c r="E16" s="39">
        <f t="shared" si="1"/>
        <v>85284593</v>
      </c>
      <c r="F16" s="61">
        <f t="shared" si="1"/>
        <v>51760268</v>
      </c>
      <c r="G16" s="39">
        <f t="shared" si="1"/>
        <v>82823296.370000005</v>
      </c>
      <c r="H16" s="61">
        <f t="shared" si="1"/>
        <v>-1123859</v>
      </c>
      <c r="I16" s="39">
        <f t="shared" si="1"/>
        <v>-2461296.6300000055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'WE-FLSH'!L19</f>
        <v>-31298286</v>
      </c>
      <c r="E19" s="66">
        <f>'WE-FLSH'!M19</f>
        <v>-48084677</v>
      </c>
      <c r="F19" s="60">
        <f>'WE-GL '!D19</f>
        <v>-34277761</v>
      </c>
      <c r="G19" s="38">
        <f>'WE-GL '!E19</f>
        <v>-53140076.890000001</v>
      </c>
      <c r="H19" s="60">
        <f>F19-D19</f>
        <v>-2979475</v>
      </c>
      <c r="I19" s="38">
        <f>G19-E19</f>
        <v>-5055399.8900000006</v>
      </c>
    </row>
    <row r="20" spans="1:9" x14ac:dyDescent="0.2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167205.31</v>
      </c>
      <c r="H20" s="60">
        <f>F20-D20</f>
        <v>0</v>
      </c>
      <c r="I20" s="38">
        <f>G20-E20</f>
        <v>167205.31</v>
      </c>
    </row>
    <row r="21" spans="1:9" x14ac:dyDescent="0.2">
      <c r="A21" s="9">
        <v>8</v>
      </c>
      <c r="B21" s="7"/>
      <c r="C21" s="18" t="s">
        <v>31</v>
      </c>
      <c r="D21" s="65">
        <f>'WE-FLSH'!L21</f>
        <v>-21837526</v>
      </c>
      <c r="E21" s="66">
        <f>'WE-FLSH'!M21</f>
        <v>-35920688</v>
      </c>
      <c r="F21" s="60">
        <f>'WE-GL '!D21</f>
        <v>-18513313</v>
      </c>
      <c r="G21" s="38">
        <f>'WE-GL '!E21</f>
        <v>-30700043</v>
      </c>
      <c r="H21" s="60">
        <f t="shared" ref="H21:I23" si="2">F21-D21</f>
        <v>3324213</v>
      </c>
      <c r="I21" s="38">
        <f t="shared" si="2"/>
        <v>5220645</v>
      </c>
    </row>
    <row r="22" spans="1:9" x14ac:dyDescent="0.2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'WE-FLSH'!L23</f>
        <v>288145</v>
      </c>
      <c r="E23" s="66">
        <f>'WE-FLSH'!M23</f>
        <v>450360</v>
      </c>
      <c r="F23" s="60">
        <f>'WE-GL '!D23</f>
        <v>287275</v>
      </c>
      <c r="G23" s="38">
        <f>'WE-GL '!E23</f>
        <v>434072.527</v>
      </c>
      <c r="H23" s="60">
        <f t="shared" si="2"/>
        <v>-870</v>
      </c>
      <c r="I23" s="38">
        <f t="shared" si="2"/>
        <v>-16287.472999999998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-52847667</v>
      </c>
      <c r="E24" s="39">
        <f t="shared" si="3"/>
        <v>-83555005</v>
      </c>
      <c r="F24" s="61">
        <f t="shared" si="3"/>
        <v>-52503799</v>
      </c>
      <c r="G24" s="39">
        <f t="shared" si="3"/>
        <v>-83238842.053000003</v>
      </c>
      <c r="H24" s="61">
        <f t="shared" si="3"/>
        <v>343868</v>
      </c>
      <c r="I24" s="39">
        <f t="shared" si="3"/>
        <v>316162.946999999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'WE-FLSH'!L32</f>
        <v>60725</v>
      </c>
      <c r="E32" s="66">
        <f>'WE-FLSH'!M32</f>
        <v>91517</v>
      </c>
      <c r="F32" s="60">
        <f>'WE-GL '!D32</f>
        <v>46664</v>
      </c>
      <c r="G32" s="38">
        <f>'WE-GL '!E32</f>
        <v>95195.081999999966</v>
      </c>
      <c r="H32" s="60">
        <f>F32-D32</f>
        <v>-14061</v>
      </c>
      <c r="I32" s="38">
        <f>G32-E32</f>
        <v>3678.0819999999658</v>
      </c>
    </row>
    <row r="33" spans="1:9" x14ac:dyDescent="0.2">
      <c r="A33" s="9">
        <v>14</v>
      </c>
      <c r="B33" s="7"/>
      <c r="C33" s="18" t="s">
        <v>44</v>
      </c>
      <c r="D33" s="65">
        <f>'WE-FLSH'!L33</f>
        <v>-76114</v>
      </c>
      <c r="E33" s="66">
        <f>'WE-FLSH'!M33</f>
        <v>-116426.25069875982</v>
      </c>
      <c r="F33" s="60">
        <f>'WE-GL '!D33</f>
        <v>-7796</v>
      </c>
      <c r="G33" s="38">
        <f>'WE-GL '!E33</f>
        <v>-15837.2</v>
      </c>
      <c r="H33" s="60">
        <f t="shared" ref="H33:I35" si="5">F33-D33</f>
        <v>68318</v>
      </c>
      <c r="I33" s="38">
        <f t="shared" si="5"/>
        <v>100589.05069875982</v>
      </c>
    </row>
    <row r="34" spans="1:9" x14ac:dyDescent="0.2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-6862</v>
      </c>
      <c r="G34" s="38">
        <f>'WE-GL '!E34</f>
        <v>0</v>
      </c>
      <c r="H34" s="60">
        <f t="shared" si="5"/>
        <v>-6862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747922</v>
      </c>
      <c r="G35" s="38">
        <f>'WE-GL '!E35</f>
        <v>-337623.41000000003</v>
      </c>
      <c r="H35" s="60">
        <f t="shared" si="5"/>
        <v>747922</v>
      </c>
      <c r="I35" s="38">
        <f t="shared" si="5"/>
        <v>-337623.41000000003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-15389</v>
      </c>
      <c r="E36" s="39">
        <f t="shared" si="6"/>
        <v>-24909.250698759817</v>
      </c>
      <c r="F36" s="61">
        <f t="shared" si="6"/>
        <v>779928</v>
      </c>
      <c r="G36" s="39">
        <f t="shared" si="6"/>
        <v>-258265.52800000005</v>
      </c>
      <c r="H36" s="61">
        <f t="shared" si="6"/>
        <v>795317</v>
      </c>
      <c r="I36" s="39">
        <f t="shared" si="6"/>
        <v>-233356.27730124025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'WE-FLSH'!L39</f>
        <v>15222</v>
      </c>
      <c r="E39" s="66">
        <f>'WE-FLSH'!M39</f>
        <v>21478</v>
      </c>
      <c r="F39" s="60">
        <f>'WE-GL '!D39</f>
        <v>0</v>
      </c>
      <c r="G39" s="38">
        <f>'WE-GL '!E39</f>
        <v>0</v>
      </c>
      <c r="H39" s="60">
        <f t="shared" ref="H39:I41" si="7">F39-D39</f>
        <v>-15222</v>
      </c>
      <c r="I39" s="38">
        <f t="shared" si="7"/>
        <v>-21478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'WE-FLSH'!L40</f>
        <v>-36293</v>
      </c>
      <c r="E40" s="66">
        <f>'WE-FLSH'!M40</f>
        <v>-54451</v>
      </c>
      <c r="F40" s="60">
        <f>'WE-GL '!D40</f>
        <v>-20992</v>
      </c>
      <c r="G40" s="38">
        <f>'WE-GL '!E40</f>
        <v>-35479.97</v>
      </c>
      <c r="H40" s="60">
        <f t="shared" si="7"/>
        <v>15301</v>
      </c>
      <c r="I40" s="38">
        <f t="shared" si="7"/>
        <v>18971.03</v>
      </c>
    </row>
    <row r="41" spans="1:9" x14ac:dyDescent="0.2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1">
        <f t="shared" ref="D42:I42" si="8">SUM(D40:D41)</f>
        <v>-36293</v>
      </c>
      <c r="E42" s="39">
        <f t="shared" si="8"/>
        <v>-54451</v>
      </c>
      <c r="F42" s="61">
        <f t="shared" si="8"/>
        <v>-20992</v>
      </c>
      <c r="G42" s="39">
        <f t="shared" si="8"/>
        <v>-35479.97</v>
      </c>
      <c r="H42" s="61">
        <f t="shared" si="8"/>
        <v>15301</v>
      </c>
      <c r="I42" s="39">
        <f t="shared" si="8"/>
        <v>18971.03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-21071</v>
      </c>
      <c r="E43" s="39">
        <f t="shared" si="9"/>
        <v>-32973</v>
      </c>
      <c r="F43" s="61">
        <f t="shared" si="9"/>
        <v>-20992</v>
      </c>
      <c r="G43" s="39">
        <f t="shared" si="9"/>
        <v>-35479.97</v>
      </c>
      <c r="H43" s="61">
        <f t="shared" si="9"/>
        <v>79</v>
      </c>
      <c r="I43" s="39">
        <f t="shared" si="9"/>
        <v>-2506.9700000000012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-15405</v>
      </c>
      <c r="G49" s="38">
        <f>'WE-GL '!E49</f>
        <v>-23276.955000000191</v>
      </c>
      <c r="H49" s="60">
        <f>F49-D49</f>
        <v>-15405</v>
      </c>
      <c r="I49" s="38">
        <f>G49-E49</f>
        <v>-23276.955000000191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'WE-FLSH'!L51</f>
        <v>-288145</v>
      </c>
      <c r="E51" s="66">
        <f>'WE-FLSH'!M51</f>
        <v>-450360</v>
      </c>
      <c r="F51" s="60">
        <f>'WE-GL '!D51</f>
        <v>-287275</v>
      </c>
      <c r="G51" s="38">
        <f>'WE-GL '!E51</f>
        <v>-434072.527</v>
      </c>
      <c r="H51" s="60">
        <f>F51-D51</f>
        <v>870</v>
      </c>
      <c r="I51" s="38">
        <f>G51-E51</f>
        <v>16287.472999999998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-286994</v>
      </c>
      <c r="F54" s="60">
        <f>'WE-GL '!D54</f>
        <v>-13056822</v>
      </c>
      <c r="G54" s="38">
        <f>'WE-GL '!E54</f>
        <v>-141279.07</v>
      </c>
      <c r="H54" s="60">
        <f>F54-D54</f>
        <v>-13056822</v>
      </c>
      <c r="I54" s="38">
        <f>G54-E54</f>
        <v>145714.93</v>
      </c>
    </row>
    <row r="55" spans="1:9" x14ac:dyDescent="0.2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-2881984</v>
      </c>
      <c r="F55" s="60">
        <f>'WE-GL '!D55</f>
        <v>0</v>
      </c>
      <c r="G55" s="38">
        <f>'WE-GL '!E55</f>
        <v>-892420.62999999977</v>
      </c>
      <c r="H55" s="60">
        <f>F55-D55</f>
        <v>0</v>
      </c>
      <c r="I55" s="38">
        <f>G55-E55</f>
        <v>1989563.37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-3168978</v>
      </c>
      <c r="F56" s="61">
        <f t="shared" si="10"/>
        <v>-13056822</v>
      </c>
      <c r="G56" s="39">
        <f t="shared" si="10"/>
        <v>-1033699.6999999997</v>
      </c>
      <c r="H56" s="61">
        <f t="shared" si="10"/>
        <v>-13056822</v>
      </c>
      <c r="I56" s="39">
        <f t="shared" si="10"/>
        <v>2135278.3000000003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559245</v>
      </c>
      <c r="F70" s="60">
        <f>'WE-GL '!D70</f>
        <v>0</v>
      </c>
      <c r="G70" s="38">
        <f>'WE-GL '!E70</f>
        <v>692309</v>
      </c>
      <c r="H70" s="60">
        <f>F70-D70</f>
        <v>0</v>
      </c>
      <c r="I70" s="38">
        <f>G70-E70</f>
        <v>133064</v>
      </c>
    </row>
    <row r="71" spans="1:9" x14ac:dyDescent="0.2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133064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-133064</v>
      </c>
    </row>
    <row r="72" spans="1:9" x14ac:dyDescent="0.2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692309</v>
      </c>
      <c r="F72" s="61">
        <f t="shared" si="13"/>
        <v>0</v>
      </c>
      <c r="G72" s="39">
        <f t="shared" si="13"/>
        <v>692309</v>
      </c>
      <c r="H72" s="61">
        <f t="shared" si="13"/>
        <v>0</v>
      </c>
      <c r="I72" s="3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-1361513</v>
      </c>
      <c r="F74" s="60">
        <f>'WE-GL '!D74</f>
        <v>0</v>
      </c>
      <c r="G74" s="38">
        <f>'WE-GL '!E74</f>
        <v>338995</v>
      </c>
      <c r="H74" s="60">
        <f t="shared" ref="H74:I79" si="14">F74-D74</f>
        <v>0</v>
      </c>
      <c r="I74" s="38">
        <f t="shared" si="14"/>
        <v>1700508</v>
      </c>
    </row>
    <row r="75" spans="1:9" x14ac:dyDescent="0.2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203189</v>
      </c>
      <c r="F75" s="60">
        <f>'WE-GL '!D75</f>
        <v>0</v>
      </c>
      <c r="G75" s="38">
        <f>'WE-GL '!E75</f>
        <v>203200</v>
      </c>
      <c r="H75" s="60">
        <f t="shared" si="14"/>
        <v>0</v>
      </c>
      <c r="I75" s="38">
        <f t="shared" si="14"/>
        <v>11</v>
      </c>
    </row>
    <row r="76" spans="1:9" x14ac:dyDescent="0.2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-13105</v>
      </c>
      <c r="F76" s="60">
        <f>'WE-GL '!D76</f>
        <v>0</v>
      </c>
      <c r="G76" s="38">
        <f>'WE-GL '!E76</f>
        <v>-13255.01</v>
      </c>
      <c r="H76" s="60">
        <f t="shared" si="14"/>
        <v>0</v>
      </c>
      <c r="I76" s="38">
        <f t="shared" si="14"/>
        <v>-150.01000000000022</v>
      </c>
    </row>
    <row r="77" spans="1:9" x14ac:dyDescent="0.2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1610995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-1610995</v>
      </c>
    </row>
    <row r="80" spans="1:9" x14ac:dyDescent="0.2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273537</v>
      </c>
      <c r="F81" s="60">
        <f>'WE-GL '!D81</f>
        <v>0</v>
      </c>
      <c r="G81" s="38">
        <f>'WE-GL '!E81</f>
        <v>58262.86</v>
      </c>
      <c r="H81" s="60">
        <f>F81-D81</f>
        <v>0</v>
      </c>
      <c r="I81" s="38">
        <f>G81-E81</f>
        <v>-215274.14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-542220.25069875969</v>
      </c>
      <c r="F82" s="117">
        <f>F16+F24+F29+F36+F43+F45+F47+F49</f>
        <v>0</v>
      </c>
      <c r="G82" s="118">
        <f>SUM(G72:G81)+G16+G24+G29+G36+G43+G45+G47+G49+G51+G56+G61+G66</f>
        <v>-920828.51300000423</v>
      </c>
      <c r="H82" s="117">
        <f>H16+H24+H29+H36+H43+H45+H47+H49</f>
        <v>0</v>
      </c>
      <c r="I82" s="118">
        <f>SUM(I72:I81)+I16+I24+I29+I36+I43+I45+I47+I49+I51+I56+I61+I66</f>
        <v>-378608.26230124617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3" activePane="bottomRight" state="frozen"/>
      <selection activeCell="D10" sqref="D10"/>
      <selection pane="topRight" activeCell="D10" sqref="D10"/>
      <selection pane="bottomLeft" activeCell="D10" sqref="D10"/>
      <selection pane="bottomRight" activeCell="F45" sqref="F4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132666</v>
      </c>
      <c r="H11" s="60">
        <f>F11-D11</f>
        <v>0</v>
      </c>
      <c r="I11" s="38">
        <f>G11-E11</f>
        <v>132666</v>
      </c>
    </row>
    <row r="12" spans="1:22" x14ac:dyDescent="0.2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-10675</v>
      </c>
      <c r="H12" s="60">
        <f>F12-D12</f>
        <v>0</v>
      </c>
      <c r="I12" s="38">
        <f>G12-E12</f>
        <v>-10675</v>
      </c>
    </row>
    <row r="13" spans="1:22" x14ac:dyDescent="0.2">
      <c r="A13" s="9">
        <v>3</v>
      </c>
      <c r="B13" s="7"/>
      <c r="C13" s="18" t="s">
        <v>31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11749040</v>
      </c>
      <c r="H13" s="60">
        <f t="shared" ref="H13:I15" si="0">F13-D13</f>
        <v>0</v>
      </c>
      <c r="I13" s="38">
        <f t="shared" si="0"/>
        <v>11749040</v>
      </c>
    </row>
    <row r="14" spans="1:22" x14ac:dyDescent="0.2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11871031</v>
      </c>
      <c r="H16" s="61">
        <f t="shared" si="1"/>
        <v>0</v>
      </c>
      <c r="I16" s="39">
        <f t="shared" si="1"/>
        <v>11871031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143510</v>
      </c>
      <c r="H41" s="60">
        <f t="shared" si="7"/>
        <v>0</v>
      </c>
      <c r="I41" s="38">
        <f t="shared" si="7"/>
        <v>143510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143510</v>
      </c>
      <c r="H42" s="69">
        <f t="shared" si="8"/>
        <v>0</v>
      </c>
      <c r="I42" s="70">
        <f t="shared" si="8"/>
        <v>143510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143510</v>
      </c>
      <c r="H43" s="61">
        <f t="shared" si="9"/>
        <v>0</v>
      </c>
      <c r="I43" s="39">
        <f t="shared" si="9"/>
        <v>143510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-5371</v>
      </c>
      <c r="H51" s="60">
        <f>F51-D51</f>
        <v>0</v>
      </c>
      <c r="I51" s="38">
        <f>G51-E51</f>
        <v>-5371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-120383</v>
      </c>
      <c r="H64" s="60">
        <f>F64-D64</f>
        <v>0</v>
      </c>
      <c r="I64" s="38">
        <f>G64-E64</f>
        <v>-120383</v>
      </c>
    </row>
    <row r="65" spans="1:9" x14ac:dyDescent="0.2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410000</v>
      </c>
      <c r="H65" s="60">
        <f>F65-D65</f>
        <v>0</v>
      </c>
      <c r="I65" s="38">
        <f>G65-E65</f>
        <v>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289617</v>
      </c>
      <c r="H66" s="61">
        <f t="shared" si="12"/>
        <v>0</v>
      </c>
      <c r="I66" s="39">
        <f t="shared" si="12"/>
        <v>289617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-5707071</v>
      </c>
      <c r="F70" s="60">
        <f>STG_GL!D70</f>
        <v>0</v>
      </c>
      <c r="G70" s="38">
        <f>STG_GL!E70</f>
        <v>-17593155</v>
      </c>
      <c r="H70" s="60">
        <f>F70-D70</f>
        <v>0</v>
      </c>
      <c r="I70" s="38">
        <f>G70-E70</f>
        <v>-11886084</v>
      </c>
    </row>
    <row r="71" spans="1:9" x14ac:dyDescent="0.2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-5707071</v>
      </c>
      <c r="F72" s="69">
        <f t="shared" si="13"/>
        <v>0</v>
      </c>
      <c r="G72" s="70">
        <f t="shared" si="13"/>
        <v>-17593155</v>
      </c>
      <c r="H72" s="69">
        <f t="shared" si="13"/>
        <v>0</v>
      </c>
      <c r="I72" s="70">
        <f t="shared" si="13"/>
        <v>-11886084</v>
      </c>
    </row>
    <row r="73" spans="1:9" x14ac:dyDescent="0.2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5144896</v>
      </c>
      <c r="H74" s="60">
        <f t="shared" ref="H74:I79" si="14">F74-D74</f>
        <v>0</v>
      </c>
      <c r="I74" s="38">
        <f t="shared" si="14"/>
        <v>5144896</v>
      </c>
    </row>
    <row r="75" spans="1:9" x14ac:dyDescent="0.2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-2740</v>
      </c>
      <c r="H76" s="60">
        <f t="shared" si="14"/>
        <v>0</v>
      </c>
      <c r="I76" s="38">
        <f t="shared" si="14"/>
        <v>-2740</v>
      </c>
    </row>
    <row r="77" spans="1:9" x14ac:dyDescent="0.2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-453583</v>
      </c>
      <c r="H77" s="60">
        <f t="shared" si="14"/>
        <v>0</v>
      </c>
      <c r="I77" s="38">
        <f t="shared" si="14"/>
        <v>-453583</v>
      </c>
    </row>
    <row r="78" spans="1:9" x14ac:dyDescent="0.2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4558071</v>
      </c>
      <c r="F81" s="60">
        <f>STG_GL!D81</f>
        <v>0</v>
      </c>
      <c r="G81" s="38">
        <f>STG_GL!E81</f>
        <v>-123834</v>
      </c>
      <c r="H81" s="60">
        <f>F81-D81</f>
        <v>0</v>
      </c>
      <c r="I81" s="38">
        <f>G81-E81</f>
        <v>-4681905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-1149000</v>
      </c>
      <c r="F82" s="117">
        <f>F16+F24+F29+F36+F43+F45+F47+F49</f>
        <v>0</v>
      </c>
      <c r="G82" s="118">
        <f>SUM(G72:G81)+G16+G24+G29+G36+G43+G45+G47+G49+G51+G56+G61+G66</f>
        <v>-729629</v>
      </c>
      <c r="H82" s="117">
        <f>H16+H24+H29+H36+H43+H45+H47+H49</f>
        <v>0</v>
      </c>
      <c r="I82" s="118">
        <f>SUM(I72:I81)+I16+I24+I29+I36+I43+I45+I47+I49+I51+I56+I61+I66</f>
        <v>419371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78" activePane="bottomRight" state="frozen"/>
      <selection activeCell="D10" sqref="D10"/>
      <selection pane="topRight" activeCell="D10" sqref="D10"/>
      <selection pane="bottomLeft" activeCell="D10" sqref="D10"/>
      <selection pane="bottomRight" activeCell="D7" sqref="D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180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ONT_FLSH!L11</f>
        <v>6159597</v>
      </c>
      <c r="E11" s="66">
        <f>ONT_FLSH!M11</f>
        <v>11207074</v>
      </c>
      <c r="F11" s="60">
        <f>'ONT_GL '!D11</f>
        <v>11370215</v>
      </c>
      <c r="G11" s="38">
        <f>'ONT_GL '!E11</f>
        <v>20805132</v>
      </c>
      <c r="H11" s="60">
        <f>F11-D11</f>
        <v>5210618</v>
      </c>
      <c r="I11" s="38">
        <f>G11-E11</f>
        <v>9598058</v>
      </c>
    </row>
    <row r="12" spans="1:22" x14ac:dyDescent="0.2">
      <c r="A12" s="9">
        <v>2</v>
      </c>
      <c r="B12" s="7"/>
      <c r="C12" s="18" t="s">
        <v>30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-273322.32</v>
      </c>
      <c r="H12" s="60">
        <f>F12-D12</f>
        <v>0</v>
      </c>
      <c r="I12" s="38">
        <f>G12-E12</f>
        <v>-273322.32</v>
      </c>
    </row>
    <row r="13" spans="1:22" x14ac:dyDescent="0.2">
      <c r="A13" s="9">
        <v>3</v>
      </c>
      <c r="B13" s="7"/>
      <c r="C13" s="18" t="s">
        <v>31</v>
      </c>
      <c r="D13" s="65">
        <f>ONT_FLSH!L13</f>
        <v>6270300</v>
      </c>
      <c r="E13" s="66">
        <f>ONT_FLSH!M13</f>
        <v>11222319</v>
      </c>
      <c r="F13" s="60">
        <f>'ONT_GL '!D13</f>
        <v>1101341</v>
      </c>
      <c r="G13" s="38">
        <f>'ONT_GL '!E13</f>
        <v>2059687</v>
      </c>
      <c r="H13" s="60">
        <f t="shared" ref="H13:I15" si="0">F13-D13</f>
        <v>-5168959</v>
      </c>
      <c r="I13" s="38">
        <f t="shared" si="0"/>
        <v>-9162632</v>
      </c>
    </row>
    <row r="14" spans="1:22" x14ac:dyDescent="0.2">
      <c r="A14" s="9">
        <v>4</v>
      </c>
      <c r="B14" s="7"/>
      <c r="C14" s="18" t="s">
        <v>32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12429897</v>
      </c>
      <c r="E16" s="39">
        <f t="shared" si="1"/>
        <v>22429393</v>
      </c>
      <c r="F16" s="61">
        <f t="shared" si="1"/>
        <v>12471556</v>
      </c>
      <c r="G16" s="39">
        <f t="shared" si="1"/>
        <v>22591496.68</v>
      </c>
      <c r="H16" s="61">
        <f t="shared" si="1"/>
        <v>41659</v>
      </c>
      <c r="I16" s="39">
        <f t="shared" si="1"/>
        <v>162103.6799999997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ONT_FLSH!L19</f>
        <v>-7515130</v>
      </c>
      <c r="E19" s="66">
        <f>ONT_FLSH!M19</f>
        <v>-13688974</v>
      </c>
      <c r="F19" s="60">
        <f>'ONT_GL '!D19</f>
        <v>-15044461</v>
      </c>
      <c r="G19" s="38">
        <f>'ONT_GL '!E19</f>
        <v>-27906421</v>
      </c>
      <c r="H19" s="60">
        <f>F19-D19</f>
        <v>-7529331</v>
      </c>
      <c r="I19" s="38">
        <f>G19-E19</f>
        <v>-14217447</v>
      </c>
    </row>
    <row r="20" spans="1:9" x14ac:dyDescent="0.2">
      <c r="A20" s="9">
        <v>7</v>
      </c>
      <c r="B20" s="7"/>
      <c r="C20" s="18" t="s">
        <v>30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205723.33</v>
      </c>
      <c r="H20" s="60">
        <f>F20-D20</f>
        <v>0</v>
      </c>
      <c r="I20" s="38">
        <f>G20-E20</f>
        <v>205723.33</v>
      </c>
    </row>
    <row r="21" spans="1:9" x14ac:dyDescent="0.2">
      <c r="A21" s="9">
        <v>8</v>
      </c>
      <c r="B21" s="7"/>
      <c r="C21" s="18" t="s">
        <v>31</v>
      </c>
      <c r="D21" s="65">
        <f>ONT_FLSH!L21</f>
        <v>-6090347</v>
      </c>
      <c r="E21" s="66">
        <f>ONT_FLSH!M21</f>
        <v>-10871090</v>
      </c>
      <c r="F21" s="60">
        <f>'ONT_GL '!D21</f>
        <v>-69067</v>
      </c>
      <c r="G21" s="38">
        <f>'ONT_GL '!E21</f>
        <v>-125071</v>
      </c>
      <c r="H21" s="60">
        <f t="shared" ref="H21:I23" si="2">F21-D21</f>
        <v>6021280</v>
      </c>
      <c r="I21" s="38">
        <f t="shared" si="2"/>
        <v>10746019</v>
      </c>
    </row>
    <row r="22" spans="1:9" x14ac:dyDescent="0.2">
      <c r="A22" s="9">
        <v>9</v>
      </c>
      <c r="B22" s="7"/>
      <c r="C22" s="18" t="s">
        <v>32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-13605477</v>
      </c>
      <c r="E24" s="39">
        <f t="shared" si="3"/>
        <v>-24560064</v>
      </c>
      <c r="F24" s="61">
        <f t="shared" si="3"/>
        <v>-15113528</v>
      </c>
      <c r="G24" s="39">
        <f t="shared" si="3"/>
        <v>-27825768.670000002</v>
      </c>
      <c r="H24" s="61">
        <f t="shared" si="3"/>
        <v>-1508051</v>
      </c>
      <c r="I24" s="39">
        <f t="shared" si="3"/>
        <v>-3265704.67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ONT_FLSH!L33</f>
        <v>54807</v>
      </c>
      <c r="E33" s="66">
        <f>ONT_FLSH!M33</f>
        <v>111806.28</v>
      </c>
      <c r="F33" s="60">
        <f>'ONT_GL '!D33</f>
        <v>0</v>
      </c>
      <c r="G33" s="38">
        <f>'ONT_GL '!E33</f>
        <v>0</v>
      </c>
      <c r="H33" s="60">
        <f t="shared" ref="H33:I35" si="5">F33-D33</f>
        <v>-54807</v>
      </c>
      <c r="I33" s="38">
        <f t="shared" si="5"/>
        <v>-111806.28</v>
      </c>
    </row>
    <row r="34" spans="1:9" x14ac:dyDescent="0.2">
      <c r="A34" s="9">
        <v>15</v>
      </c>
      <c r="B34" s="7"/>
      <c r="C34" s="18" t="s">
        <v>45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ONT_FLSH!L35</f>
        <v>0</v>
      </c>
      <c r="E35" s="66">
        <f>ONT_FLSH!M35</f>
        <v>0</v>
      </c>
      <c r="F35" s="60">
        <f>'ONT_GL '!D35</f>
        <v>1120823</v>
      </c>
      <c r="G35" s="38">
        <f>'ONT_GL '!E35</f>
        <v>1992263</v>
      </c>
      <c r="H35" s="60">
        <f t="shared" si="5"/>
        <v>1120823</v>
      </c>
      <c r="I35" s="38">
        <f t="shared" si="5"/>
        <v>1992263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54807</v>
      </c>
      <c r="E36" s="39">
        <f t="shared" si="6"/>
        <v>111806.28</v>
      </c>
      <c r="F36" s="61">
        <f t="shared" si="6"/>
        <v>1120823</v>
      </c>
      <c r="G36" s="39">
        <f t="shared" si="6"/>
        <v>1992263</v>
      </c>
      <c r="H36" s="61">
        <f t="shared" si="6"/>
        <v>1066016</v>
      </c>
      <c r="I36" s="39">
        <f t="shared" si="6"/>
        <v>1880456.72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ONT_FLSH!L39</f>
        <v>1120773</v>
      </c>
      <c r="E39" s="66">
        <f>ONT_FLSH!M39</f>
        <v>1992178</v>
      </c>
      <c r="F39" s="60">
        <f>'ONT_GL '!D39</f>
        <v>0</v>
      </c>
      <c r="G39" s="38">
        <f>'ONT_GL '!E39</f>
        <v>0</v>
      </c>
      <c r="H39" s="60">
        <f t="shared" ref="H39:I41" si="7">F39-D39</f>
        <v>-1120773</v>
      </c>
      <c r="I39" s="38">
        <f t="shared" si="7"/>
        <v>-1992178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1120773</v>
      </c>
      <c r="E43" s="39">
        <f t="shared" si="9"/>
        <v>1992178</v>
      </c>
      <c r="F43" s="61">
        <f t="shared" si="9"/>
        <v>0</v>
      </c>
      <c r="G43" s="39">
        <f t="shared" si="9"/>
        <v>0</v>
      </c>
      <c r="H43" s="61">
        <f t="shared" si="9"/>
        <v>-1120773</v>
      </c>
      <c r="I43" s="39">
        <f t="shared" si="9"/>
        <v>-1992178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ONT_FLSH!L49</f>
        <v>0</v>
      </c>
      <c r="E49" s="66">
        <f>ONT_FLSH!M49</f>
        <v>0</v>
      </c>
      <c r="F49" s="60">
        <f>'ONT_GL '!D49</f>
        <v>1521149</v>
      </c>
      <c r="G49" s="38">
        <f>'ONT_GL '!E49</f>
        <v>2704603</v>
      </c>
      <c r="H49" s="60">
        <f>F49-D49</f>
        <v>1521149</v>
      </c>
      <c r="I49" s="38">
        <f>G49-E49</f>
        <v>2704603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-654685</v>
      </c>
      <c r="H54" s="60">
        <f>F54-D54</f>
        <v>0</v>
      </c>
      <c r="I54" s="38">
        <f>G54-E54</f>
        <v>-654685</v>
      </c>
    </row>
    <row r="55" spans="1:9" x14ac:dyDescent="0.2">
      <c r="A55" s="9">
        <v>25</v>
      </c>
      <c r="B55" s="7"/>
      <c r="C55" s="18" t="s">
        <v>60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-9114</v>
      </c>
      <c r="H55" s="60">
        <f>F55-D55</f>
        <v>0</v>
      </c>
      <c r="I55" s="38">
        <f>G55-E55</f>
        <v>-9114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-663799</v>
      </c>
      <c r="H56" s="61">
        <f t="shared" si="10"/>
        <v>0</v>
      </c>
      <c r="I56" s="39">
        <f t="shared" si="10"/>
        <v>-663799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620000</v>
      </c>
      <c r="H64" s="60">
        <f>F64-D64</f>
        <v>0</v>
      </c>
      <c r="I64" s="38">
        <f>G64-E64</f>
        <v>620000</v>
      </c>
    </row>
    <row r="65" spans="1:9" x14ac:dyDescent="0.2">
      <c r="A65" s="9">
        <v>29</v>
      </c>
      <c r="B65" s="11"/>
      <c r="C65" s="18" t="s">
        <v>67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620000</v>
      </c>
      <c r="H66" s="61">
        <f t="shared" si="12"/>
        <v>0</v>
      </c>
      <c r="I66" s="39">
        <f t="shared" si="12"/>
        <v>620000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ONT_FLSH!L70</f>
        <v>0</v>
      </c>
      <c r="E70" s="66">
        <f>ONT_FLSH!M70</f>
        <v>-207749</v>
      </c>
      <c r="F70" s="60">
        <f>'ONT_GL '!D70</f>
        <v>0</v>
      </c>
      <c r="G70" s="38">
        <f>'ONT_GL '!E70</f>
        <v>113999</v>
      </c>
      <c r="H70" s="60">
        <f>F70-D70</f>
        <v>0</v>
      </c>
      <c r="I70" s="38">
        <f>G70-E70</f>
        <v>321748</v>
      </c>
    </row>
    <row r="71" spans="1:9" x14ac:dyDescent="0.2">
      <c r="A71" s="9">
        <v>31</v>
      </c>
      <c r="B71" s="3"/>
      <c r="C71" s="10" t="s">
        <v>72</v>
      </c>
      <c r="D71" s="65">
        <f>ONT_FLSH!L71</f>
        <v>0</v>
      </c>
      <c r="E71" s="66">
        <f>ONT_FLSH!M71</f>
        <v>-176228</v>
      </c>
      <c r="F71" s="60">
        <f>'ONT_GL '!D71</f>
        <v>0</v>
      </c>
      <c r="G71" s="38">
        <f>'ONT_GL '!E71</f>
        <v>0</v>
      </c>
      <c r="H71" s="60">
        <f>F71-D71</f>
        <v>0</v>
      </c>
      <c r="I71" s="38">
        <f>G71-E71</f>
        <v>176228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-383977</v>
      </c>
      <c r="F72" s="69">
        <f t="shared" si="13"/>
        <v>0</v>
      </c>
      <c r="G72" s="70">
        <f t="shared" si="13"/>
        <v>113999</v>
      </c>
      <c r="H72" s="69">
        <f t="shared" si="13"/>
        <v>0</v>
      </c>
      <c r="I72" s="70">
        <f t="shared" si="13"/>
        <v>497976</v>
      </c>
    </row>
    <row r="73" spans="1:9" x14ac:dyDescent="0.2">
      <c r="A73" s="9">
        <v>32</v>
      </c>
      <c r="B73" s="3"/>
      <c r="C73" s="10" t="s">
        <v>74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ONT_FLSH!L74</f>
        <v>0</v>
      </c>
      <c r="E74" s="66">
        <f>ONT_FLSH!M74</f>
        <v>683221</v>
      </c>
      <c r="F74" s="60">
        <f>'ONT_GL '!D74</f>
        <v>0</v>
      </c>
      <c r="G74" s="38">
        <f>'ONT_GL '!E74</f>
        <v>-7273</v>
      </c>
      <c r="H74" s="60">
        <f t="shared" ref="H74:I79" si="14">F74-D74</f>
        <v>0</v>
      </c>
      <c r="I74" s="38">
        <f t="shared" si="14"/>
        <v>-690494</v>
      </c>
    </row>
    <row r="75" spans="1:9" x14ac:dyDescent="0.2">
      <c r="A75" s="9">
        <v>34</v>
      </c>
      <c r="B75" s="3"/>
      <c r="C75" s="10" t="s">
        <v>76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ONT_FLSH!L76</f>
        <v>0</v>
      </c>
      <c r="E76" s="66">
        <f>ONT_FLSH!M76</f>
        <v>-9112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9112</v>
      </c>
    </row>
    <row r="77" spans="1:9" x14ac:dyDescent="0.2">
      <c r="A77" s="9">
        <v>36</v>
      </c>
      <c r="B77" s="3"/>
      <c r="C77" s="10" t="s">
        <v>78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263445.28000000003</v>
      </c>
      <c r="F82" s="117">
        <f>F16+F24+F29+F36+F43+F45+F47+F49</f>
        <v>0</v>
      </c>
      <c r="G82" s="118">
        <f>SUM(G72:G81)+G16+G24+G29+G36+G43+G45+G47+G49+G51+G56+G61+G66</f>
        <v>-474478.99000000209</v>
      </c>
      <c r="H82" s="117">
        <f>H16+H24+H29+H36+H43+H45+H47+H49</f>
        <v>0</v>
      </c>
      <c r="I82" s="118">
        <f>SUM(I72:I81)+I16+I24+I29+I36+I43+I45+I47+I49+I51+I56+I61+I66</f>
        <v>-737924.27000000048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188</v>
      </c>
      <c r="B85" s="3"/>
      <c r="F85" s="31"/>
      <c r="G85" s="31"/>
      <c r="H85" s="31"/>
      <c r="I85" s="31"/>
    </row>
    <row r="86" spans="1:63" x14ac:dyDescent="0.2">
      <c r="A86" s="182"/>
      <c r="B86" s="3"/>
      <c r="C86" s="10" t="s">
        <v>191</v>
      </c>
      <c r="D86" s="183">
        <f>ONT_FLSH!L86</f>
        <v>0</v>
      </c>
      <c r="E86" s="183">
        <f>ONT_FLSH!M86</f>
        <v>-110642</v>
      </c>
      <c r="F86" s="183">
        <f>'ONT_GL '!D86</f>
        <v>0</v>
      </c>
      <c r="G86" s="183">
        <f>'ONT_GL '!E86</f>
        <v>-101212</v>
      </c>
      <c r="H86" s="183">
        <f t="shared" ref="H86:I88" si="15">F86-D86</f>
        <v>0</v>
      </c>
      <c r="I86" s="183">
        <f t="shared" si="15"/>
        <v>9430</v>
      </c>
    </row>
    <row r="87" spans="1:63" x14ac:dyDescent="0.2">
      <c r="A87" s="182"/>
      <c r="B87" s="3"/>
      <c r="C87" s="10" t="s">
        <v>75</v>
      </c>
      <c r="D87" s="184">
        <f>ONT_FLSH!L87</f>
        <v>0</v>
      </c>
      <c r="E87" s="184">
        <f>ONT_FLSH!M87</f>
        <v>0</v>
      </c>
      <c r="F87" s="184">
        <f>'ONT_GL '!D87</f>
        <v>0</v>
      </c>
      <c r="G87" s="184">
        <f>'ONT_GL '!E87</f>
        <v>0</v>
      </c>
      <c r="H87" s="184">
        <f t="shared" si="15"/>
        <v>0</v>
      </c>
      <c r="I87" s="184">
        <f t="shared" si="15"/>
        <v>0</v>
      </c>
    </row>
    <row r="88" spans="1:63" x14ac:dyDescent="0.2">
      <c r="A88" s="182"/>
      <c r="B88" s="3"/>
      <c r="C88" s="10" t="s">
        <v>76</v>
      </c>
      <c r="D88" s="185">
        <f>ONT_FLSH!L88</f>
        <v>0</v>
      </c>
      <c r="E88" s="185">
        <f>ONT_FLSH!M88</f>
        <v>0</v>
      </c>
      <c r="F88" s="185">
        <f>'ONT_GL '!D88</f>
        <v>0</v>
      </c>
      <c r="G88" s="185">
        <f>'ONT_GL '!E88</f>
        <v>-9430</v>
      </c>
      <c r="H88" s="185">
        <f t="shared" si="15"/>
        <v>0</v>
      </c>
      <c r="I88" s="185">
        <f t="shared" si="15"/>
        <v>-9430</v>
      </c>
    </row>
    <row r="89" spans="1:63" s="149" customFormat="1" x14ac:dyDescent="0.2">
      <c r="A89" s="186"/>
      <c r="B89" s="187"/>
      <c r="C89" s="188" t="s">
        <v>192</v>
      </c>
      <c r="D89" s="189">
        <f t="shared" ref="D89:I89" si="16">SUM(D86:D88)</f>
        <v>0</v>
      </c>
      <c r="E89" s="189">
        <f t="shared" si="16"/>
        <v>-110642</v>
      </c>
      <c r="F89" s="189">
        <f t="shared" si="16"/>
        <v>0</v>
      </c>
      <c r="G89" s="189">
        <f t="shared" si="16"/>
        <v>-110642</v>
      </c>
      <c r="H89" s="189">
        <f t="shared" si="16"/>
        <v>0</v>
      </c>
      <c r="I89" s="189">
        <f t="shared" si="16"/>
        <v>0</v>
      </c>
    </row>
    <row r="90" spans="1:63" s="149" customFormat="1" x14ac:dyDescent="0.2">
      <c r="A90" s="190"/>
      <c r="B90" s="187"/>
      <c r="D90" s="156"/>
      <c r="E90" s="156"/>
      <c r="F90" s="156"/>
      <c r="G90" s="156"/>
      <c r="H90" s="156"/>
      <c r="I90" s="156"/>
    </row>
    <row r="91" spans="1:63" s="149" customFormat="1" x14ac:dyDescent="0.2">
      <c r="A91" s="186"/>
      <c r="B91" s="187"/>
      <c r="C91" s="188" t="s">
        <v>193</v>
      </c>
      <c r="D91" s="189">
        <f t="shared" ref="D91:I91" si="17">+D82+D89</f>
        <v>0</v>
      </c>
      <c r="E91" s="189">
        <f t="shared" si="17"/>
        <v>152803.28000000003</v>
      </c>
      <c r="F91" s="189">
        <f t="shared" si="17"/>
        <v>0</v>
      </c>
      <c r="G91" s="189">
        <f t="shared" si="17"/>
        <v>-585120.99000000209</v>
      </c>
      <c r="H91" s="189">
        <f t="shared" si="17"/>
        <v>0</v>
      </c>
      <c r="I91" s="189">
        <f t="shared" si="17"/>
        <v>-737924.27000000048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28" activePane="bottomRight" state="frozen"/>
      <selection activeCell="A4" sqref="A4"/>
      <selection pane="topRight" activeCell="A4" sqref="A4"/>
      <selection pane="bottomLeft" activeCell="A4" sqref="A4"/>
      <selection pane="bottomRight" activeCell="D8" sqref="D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9903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BGC_FLSH!D11</f>
        <v>5539729</v>
      </c>
      <c r="E11" s="66">
        <f>BGC_FLSH!E11</f>
        <v>6102564</v>
      </c>
      <c r="F11" s="60">
        <f>BGC_GL!D11</f>
        <v>5539729</v>
      </c>
      <c r="G11" s="38">
        <f>BGC_GL!E11</f>
        <v>6102564.9800000004</v>
      </c>
      <c r="H11" s="60">
        <f>F11-D11</f>
        <v>0</v>
      </c>
      <c r="I11" s="38">
        <f>G11-E11</f>
        <v>0.98000000044703484</v>
      </c>
    </row>
    <row r="12" spans="1:22" x14ac:dyDescent="0.2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BGC_FLSH!D13</f>
        <v>11170675</v>
      </c>
      <c r="E13" s="66">
        <f>BGC_FLSH!E13</f>
        <v>22517317</v>
      </c>
      <c r="F13" s="60">
        <f>BGC_GL!D13</f>
        <v>11170675</v>
      </c>
      <c r="G13" s="38">
        <f>BGC_GL!E13</f>
        <v>22517317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16710404</v>
      </c>
      <c r="E16" s="39">
        <f t="shared" si="1"/>
        <v>28619881</v>
      </c>
      <c r="F16" s="61">
        <f t="shared" si="1"/>
        <v>16710404</v>
      </c>
      <c r="G16" s="39">
        <f t="shared" si="1"/>
        <v>28619881.98</v>
      </c>
      <c r="H16" s="61">
        <f t="shared" si="1"/>
        <v>0</v>
      </c>
      <c r="I16" s="39">
        <f t="shared" si="1"/>
        <v>0.98000000044703484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BGC_FLSH!D19</f>
        <v>-3146663</v>
      </c>
      <c r="E19" s="66">
        <f>BGC_FLSH!E19</f>
        <v>-2560765</v>
      </c>
      <c r="F19" s="60">
        <f>BGC_GL!D19</f>
        <v>-3145449</v>
      </c>
      <c r="G19" s="38">
        <f>BGC_GL!E19</f>
        <v>-2778527.28</v>
      </c>
      <c r="H19" s="60">
        <f>F19-D19</f>
        <v>1214</v>
      </c>
      <c r="I19" s="38">
        <f>G19-E19</f>
        <v>-217762.2799999998</v>
      </c>
    </row>
    <row r="20" spans="1:9" x14ac:dyDescent="0.2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BGC_FLSH!D21</f>
        <v>-13053354</v>
      </c>
      <c r="E21" s="66">
        <f>BGC_FLSH!E21</f>
        <v>-25305233</v>
      </c>
      <c r="F21" s="60">
        <f>BGC_GL!D21</f>
        <v>-13053354</v>
      </c>
      <c r="G21" s="38">
        <f>BGC_GL!E21</f>
        <v>-25305233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BGC_FLSH!D23</f>
        <v>316085</v>
      </c>
      <c r="E23" s="66">
        <f>BGC_FLSH!E23</f>
        <v>579242</v>
      </c>
      <c r="F23" s="60">
        <f>BGC_GL!D23</f>
        <v>181</v>
      </c>
      <c r="G23" s="38">
        <f>BGC_GL!E23</f>
        <v>403.00400000000002</v>
      </c>
      <c r="H23" s="60">
        <f t="shared" si="2"/>
        <v>-315904</v>
      </c>
      <c r="I23" s="38">
        <f t="shared" si="2"/>
        <v>-578838.99600000004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-15883932</v>
      </c>
      <c r="E24" s="39">
        <f t="shared" si="3"/>
        <v>-27286756</v>
      </c>
      <c r="F24" s="61">
        <f t="shared" si="3"/>
        <v>-16198622</v>
      </c>
      <c r="G24" s="39">
        <f t="shared" si="3"/>
        <v>-28083357.276000001</v>
      </c>
      <c r="H24" s="61">
        <f t="shared" si="3"/>
        <v>-314690</v>
      </c>
      <c r="I24" s="39">
        <f t="shared" si="3"/>
        <v>-796601.27599999984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BGC_FLSH!D32</f>
        <v>0</v>
      </c>
      <c r="E32" s="66">
        <f>BGC_FLSH!E32</f>
        <v>0</v>
      </c>
      <c r="F32" s="60">
        <f>BGC_GL!D32</f>
        <v>1</v>
      </c>
      <c r="G32" s="38">
        <f>BGC_GL!E32</f>
        <v>1.62</v>
      </c>
      <c r="H32" s="60">
        <f>F32-D32</f>
        <v>1</v>
      </c>
      <c r="I32" s="38">
        <f>G32-E32</f>
        <v>1.62</v>
      </c>
    </row>
    <row r="33" spans="1:9" x14ac:dyDescent="0.2">
      <c r="A33" s="9">
        <v>14</v>
      </c>
      <c r="B33" s="7"/>
      <c r="C33" s="18" t="s">
        <v>44</v>
      </c>
      <c r="D33" s="65">
        <f>BGC_FLSH!D33</f>
        <v>37747</v>
      </c>
      <c r="E33" s="66">
        <f>BGC_FLSH!E33</f>
        <v>0</v>
      </c>
      <c r="F33" s="60">
        <f>BGC_GL!D33</f>
        <v>0</v>
      </c>
      <c r="G33" s="38">
        <f>BGC_GL!E33</f>
        <v>0</v>
      </c>
      <c r="H33" s="60">
        <f t="shared" ref="H33:I35" si="5">F33-D33</f>
        <v>-37747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BGC_FLSH!D34</f>
        <v>51682</v>
      </c>
      <c r="E34" s="66">
        <f>BGC_FLSH!E34</f>
        <v>102343</v>
      </c>
      <c r="F34" s="60">
        <f>BGC_GL!D34</f>
        <v>0</v>
      </c>
      <c r="G34" s="38">
        <f>BGC_GL!E34</f>
        <v>0</v>
      </c>
      <c r="H34" s="60">
        <f t="shared" si="5"/>
        <v>-51682</v>
      </c>
      <c r="I34" s="38">
        <f t="shared" si="5"/>
        <v>-102343</v>
      </c>
    </row>
    <row r="35" spans="1:9" x14ac:dyDescent="0.2">
      <c r="A35" s="9">
        <v>16</v>
      </c>
      <c r="B35" s="7"/>
      <c r="C35" s="18" t="s">
        <v>46</v>
      </c>
      <c r="D35" s="65">
        <f>BGC_FLSH!D35</f>
        <v>-60899</v>
      </c>
      <c r="E35" s="66">
        <f>BGC_FLSH!E35</f>
        <v>-129782</v>
      </c>
      <c r="F35" s="60">
        <f>BGC_GL!D35</f>
        <v>0</v>
      </c>
      <c r="G35" s="38">
        <f>BGC_GL!E35</f>
        <v>0</v>
      </c>
      <c r="H35" s="60">
        <f t="shared" si="5"/>
        <v>60899</v>
      </c>
      <c r="I35" s="38">
        <f t="shared" si="5"/>
        <v>129782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28530</v>
      </c>
      <c r="E36" s="39">
        <f t="shared" si="6"/>
        <v>-27439</v>
      </c>
      <c r="F36" s="61">
        <f t="shared" si="6"/>
        <v>1</v>
      </c>
      <c r="G36" s="39">
        <f t="shared" si="6"/>
        <v>1.62</v>
      </c>
      <c r="H36" s="61">
        <f t="shared" si="6"/>
        <v>-28529</v>
      </c>
      <c r="I36" s="39">
        <f t="shared" si="6"/>
        <v>27440.619999999995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BGC_FLSH!D39</f>
        <v>13048</v>
      </c>
      <c r="E39" s="66">
        <f>BGC_FLSH!E39</f>
        <v>23225</v>
      </c>
      <c r="F39" s="60">
        <f>BGC_GL!D39</f>
        <v>0</v>
      </c>
      <c r="G39" s="38">
        <f>BGC_GL!E39</f>
        <v>0</v>
      </c>
      <c r="H39" s="60">
        <f t="shared" ref="H39:I41" si="7">F39-D39</f>
        <v>-13048</v>
      </c>
      <c r="I39" s="38">
        <f t="shared" si="7"/>
        <v>-23225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BGC_FLSH!D40</f>
        <v>-868050</v>
      </c>
      <c r="E40" s="66">
        <f>BGC_FLSH!E40</f>
        <v>-87524</v>
      </c>
      <c r="F40" s="60">
        <f>BGC_GL!D40</f>
        <v>-773457</v>
      </c>
      <c r="G40" s="38">
        <f>BGC_GL!E40</f>
        <v>-0.03</v>
      </c>
      <c r="H40" s="60">
        <f t="shared" si="7"/>
        <v>94593</v>
      </c>
      <c r="I40" s="38">
        <f t="shared" si="7"/>
        <v>87523.97</v>
      </c>
    </row>
    <row r="41" spans="1:9" x14ac:dyDescent="0.2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-868050</v>
      </c>
      <c r="E42" s="70">
        <f t="shared" si="8"/>
        <v>-87524</v>
      </c>
      <c r="F42" s="69">
        <f t="shared" si="8"/>
        <v>-773457</v>
      </c>
      <c r="G42" s="70">
        <f t="shared" si="8"/>
        <v>-0.03</v>
      </c>
      <c r="H42" s="69">
        <f t="shared" si="8"/>
        <v>94593</v>
      </c>
      <c r="I42" s="70">
        <f t="shared" si="8"/>
        <v>87523.97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-855002</v>
      </c>
      <c r="E43" s="39">
        <f t="shared" si="9"/>
        <v>-64299</v>
      </c>
      <c r="F43" s="61">
        <f t="shared" si="9"/>
        <v>-773457</v>
      </c>
      <c r="G43" s="39">
        <f t="shared" si="9"/>
        <v>-0.03</v>
      </c>
      <c r="H43" s="61">
        <f t="shared" si="9"/>
        <v>81545</v>
      </c>
      <c r="I43" s="39">
        <f t="shared" si="9"/>
        <v>64298.97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261674</v>
      </c>
      <c r="G49" s="38">
        <f>BGC_GL!E49</f>
        <v>422754.68000000005</v>
      </c>
      <c r="H49" s="60">
        <f>F49-D49</f>
        <v>261674</v>
      </c>
      <c r="I49" s="38">
        <f>G49-E49</f>
        <v>422754.68000000005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BGC_FLSH!D51</f>
        <v>-316085</v>
      </c>
      <c r="E51" s="66">
        <f>BGC_FLSH!E51</f>
        <v>-579242</v>
      </c>
      <c r="F51" s="60">
        <f>BGC_GL!D51</f>
        <v>315904</v>
      </c>
      <c r="G51" s="38">
        <f>BGC_GL!E51</f>
        <v>-403.00400000000002</v>
      </c>
      <c r="H51" s="60">
        <f>F51-D51</f>
        <v>631989</v>
      </c>
      <c r="I51" s="38">
        <f>G51-E51</f>
        <v>578838.99600000004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-474256</v>
      </c>
      <c r="F54" s="60">
        <f>BGC_GL!D54</f>
        <v>-21069</v>
      </c>
      <c r="G54" s="38">
        <f>BGC_GL!E54</f>
        <v>-448091.04</v>
      </c>
      <c r="H54" s="60">
        <f>F54-D54</f>
        <v>-21069</v>
      </c>
      <c r="I54" s="38">
        <f>G54-E54</f>
        <v>26164.960000000021</v>
      </c>
    </row>
    <row r="55" spans="1:9" x14ac:dyDescent="0.2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-974389</v>
      </c>
      <c r="F55" s="60">
        <f>BGC_GL!D55</f>
        <v>0</v>
      </c>
      <c r="G55" s="38">
        <f>BGC_GL!E55</f>
        <v>-5597.78</v>
      </c>
      <c r="H55" s="60">
        <f>F55-D55</f>
        <v>0</v>
      </c>
      <c r="I55" s="38">
        <f>G55-E55</f>
        <v>968791.22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-1448645</v>
      </c>
      <c r="F56" s="61">
        <f t="shared" si="10"/>
        <v>-21069</v>
      </c>
      <c r="G56" s="39">
        <f t="shared" si="10"/>
        <v>-453688.82</v>
      </c>
      <c r="H56" s="61">
        <f t="shared" si="10"/>
        <v>-21069</v>
      </c>
      <c r="I56" s="39">
        <f t="shared" si="10"/>
        <v>994956.17999999993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0</v>
      </c>
      <c r="F70" s="60">
        <f>BGC_GL!D70</f>
        <v>0</v>
      </c>
      <c r="G70" s="38">
        <f>BGC_GL!E70</f>
        <v>113999</v>
      </c>
      <c r="H70" s="60">
        <f>F70-D70</f>
        <v>0</v>
      </c>
      <c r="I70" s="38">
        <f>G70-E70</f>
        <v>113999</v>
      </c>
    </row>
    <row r="71" spans="1:9" x14ac:dyDescent="0.2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113999</v>
      </c>
      <c r="H72" s="69">
        <f t="shared" si="13"/>
        <v>0</v>
      </c>
      <c r="I72" s="70">
        <f t="shared" si="13"/>
        <v>113999</v>
      </c>
    </row>
    <row r="73" spans="1:9" x14ac:dyDescent="0.2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149339</v>
      </c>
      <c r="F74" s="60">
        <f>BGC_GL!D74</f>
        <v>0</v>
      </c>
      <c r="G74" s="38">
        <f>BGC_GL!E74</f>
        <v>-53</v>
      </c>
      <c r="H74" s="60">
        <f t="shared" ref="H74:I79" si="14">F74-D74</f>
        <v>0</v>
      </c>
      <c r="I74" s="38">
        <f t="shared" si="14"/>
        <v>-149392</v>
      </c>
    </row>
    <row r="75" spans="1:9" x14ac:dyDescent="0.2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974389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-974389</v>
      </c>
    </row>
    <row r="80" spans="1:9" x14ac:dyDescent="0.2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-337772</v>
      </c>
      <c r="F81" s="60">
        <f>BGC_GL!D81</f>
        <v>0</v>
      </c>
      <c r="G81" s="38">
        <f>BGC_GL!E81</f>
        <v>-111021</v>
      </c>
      <c r="H81" s="60">
        <f>F81-D81</f>
        <v>0</v>
      </c>
      <c r="I81" s="38">
        <f>G81-E81</f>
        <v>226751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-544</v>
      </c>
      <c r="F82" s="117">
        <f>F16+F24+F29+F36+F43+F45+F47+F49</f>
        <v>0</v>
      </c>
      <c r="G82" s="118">
        <f>SUM(G72:G81)+G16+G24+G29+G36+G43+G45+G47+G49+G51+G56+G61+G66</f>
        <v>508114.14999999997</v>
      </c>
      <c r="H82" s="117">
        <f>H16+H24+H29+H36+H43+H45+H47+H49</f>
        <v>0</v>
      </c>
      <c r="I82" s="118">
        <f>SUM(I72:I81)+I16+I24+I29+I36+I43+I45+I47+I49+I51+I56+I61+I66</f>
        <v>508658.15000000037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4"/>
  <sheetViews>
    <sheetView workbookViewId="0">
      <pane xSplit="4" ySplit="3" topLeftCell="AI636" activePane="bottomRight" state="frozen"/>
      <selection pane="topRight" activeCell="E1" sqref="E1"/>
      <selection pane="bottomLeft" activeCell="A4" sqref="A4"/>
      <selection pane="bottomRight" activeCell="AQ645" sqref="AQ645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customWidth="1"/>
    <col min="10" max="10" width="11.28515625" customWidth="1"/>
    <col min="11" max="11" width="14.28515625" customWidth="1"/>
    <col min="12" max="12" width="11.7109375" customWidth="1"/>
    <col min="14" max="14" width="12.42578125" customWidth="1"/>
    <col min="15" max="15" width="10.42578125" customWidth="1"/>
    <col min="16" max="16" width="12.28515625" customWidth="1"/>
    <col min="17" max="17" width="11.28515625" customWidth="1"/>
    <col min="19" max="19" width="11" customWidth="1"/>
    <col min="21" max="21" width="11.5703125" customWidth="1"/>
    <col min="26" max="26" width="10.5703125" customWidth="1"/>
    <col min="33" max="33" width="11.140625" customWidth="1"/>
  </cols>
  <sheetData>
    <row r="1" spans="1:118" ht="28.5" customHeight="1" x14ac:dyDescent="0.2">
      <c r="E1" s="207">
        <v>36220</v>
      </c>
      <c r="F1" s="207"/>
      <c r="G1" s="208">
        <f>+E1+31</f>
        <v>36251</v>
      </c>
      <c r="H1" s="208"/>
      <c r="I1" s="208">
        <f>+G1+30</f>
        <v>36281</v>
      </c>
      <c r="J1" s="208"/>
      <c r="K1" s="208">
        <f>+I1+31</f>
        <v>36312</v>
      </c>
      <c r="L1" s="208"/>
      <c r="M1" s="208">
        <f>+K1+31</f>
        <v>36343</v>
      </c>
      <c r="N1" s="208"/>
      <c r="O1" s="208">
        <f>+M1+30</f>
        <v>36373</v>
      </c>
      <c r="P1" s="208"/>
      <c r="Q1" s="208">
        <f>+O1+31</f>
        <v>36404</v>
      </c>
      <c r="R1" s="208"/>
      <c r="S1" s="208">
        <f>+Q1+31</f>
        <v>36435</v>
      </c>
      <c r="T1" s="208"/>
      <c r="U1" s="208">
        <f>+S1+31</f>
        <v>36466</v>
      </c>
      <c r="V1" s="208"/>
      <c r="W1" s="208">
        <f>+U1+31</f>
        <v>36497</v>
      </c>
      <c r="X1" s="208"/>
      <c r="Y1" s="208">
        <f>+W1+31</f>
        <v>36528</v>
      </c>
      <c r="Z1" s="208"/>
      <c r="AA1" s="208">
        <f>+Y1+31</f>
        <v>36559</v>
      </c>
      <c r="AB1" s="208"/>
      <c r="AC1" s="208">
        <f>+AA1+31</f>
        <v>36590</v>
      </c>
      <c r="AD1" s="208"/>
      <c r="AE1" s="208">
        <f>+AC1+31</f>
        <v>36621</v>
      </c>
      <c r="AF1" s="208"/>
      <c r="AG1" s="208"/>
      <c r="AH1" s="208"/>
    </row>
    <row r="2" spans="1:118" x14ac:dyDescent="0.2">
      <c r="A2" s="119" t="s">
        <v>124</v>
      </c>
      <c r="B2" s="119" t="s">
        <v>125</v>
      </c>
      <c r="C2" s="119" t="s">
        <v>126</v>
      </c>
      <c r="D2" s="119" t="s">
        <v>127</v>
      </c>
      <c r="E2" s="120" t="s">
        <v>128</v>
      </c>
      <c r="F2" s="120" t="s">
        <v>129</v>
      </c>
      <c r="G2" t="s">
        <v>130</v>
      </c>
    </row>
    <row r="3" spans="1:118" s="123" customFormat="1" x14ac:dyDescent="0.2">
      <c r="A3" s="121" t="s">
        <v>131</v>
      </c>
      <c r="B3" s="121" t="s">
        <v>125</v>
      </c>
      <c r="C3" s="121" t="s">
        <v>126</v>
      </c>
      <c r="D3" s="121" t="s">
        <v>127</v>
      </c>
      <c r="E3" s="122" t="s">
        <v>183</v>
      </c>
      <c r="F3" s="123" t="s">
        <v>184</v>
      </c>
      <c r="G3" s="122" t="s">
        <v>183</v>
      </c>
      <c r="H3" s="123" t="s">
        <v>184</v>
      </c>
      <c r="I3" s="122" t="s">
        <v>183</v>
      </c>
      <c r="J3" s="123" t="s">
        <v>184</v>
      </c>
      <c r="K3" s="122" t="s">
        <v>183</v>
      </c>
      <c r="L3" s="123" t="s">
        <v>184</v>
      </c>
      <c r="M3" s="122" t="s">
        <v>183</v>
      </c>
      <c r="N3" s="123" t="s">
        <v>184</v>
      </c>
      <c r="O3" s="122" t="s">
        <v>183</v>
      </c>
      <c r="P3" s="123" t="s">
        <v>184</v>
      </c>
      <c r="Q3" s="122" t="s">
        <v>183</v>
      </c>
      <c r="R3" s="123" t="s">
        <v>184</v>
      </c>
      <c r="S3" s="122" t="s">
        <v>183</v>
      </c>
      <c r="T3" s="123" t="s">
        <v>184</v>
      </c>
      <c r="U3" s="122" t="s">
        <v>183</v>
      </c>
      <c r="V3" s="123" t="s">
        <v>184</v>
      </c>
      <c r="W3" s="122" t="s">
        <v>183</v>
      </c>
      <c r="X3" s="123" t="s">
        <v>184</v>
      </c>
      <c r="Y3" s="122" t="s">
        <v>183</v>
      </c>
      <c r="Z3" s="123" t="s">
        <v>184</v>
      </c>
      <c r="AA3" s="122" t="s">
        <v>183</v>
      </c>
      <c r="AB3" s="123" t="s">
        <v>184</v>
      </c>
      <c r="AC3" s="122" t="s">
        <v>183</v>
      </c>
      <c r="AD3" s="123" t="s">
        <v>184</v>
      </c>
      <c r="AE3" s="122" t="s">
        <v>183</v>
      </c>
      <c r="AF3" s="123" t="s">
        <v>184</v>
      </c>
      <c r="AG3" s="123" t="s">
        <v>183</v>
      </c>
      <c r="AH3" s="123" t="s">
        <v>184</v>
      </c>
      <c r="AI3" s="123" t="s">
        <v>183</v>
      </c>
      <c r="AJ3" s="123" t="s">
        <v>184</v>
      </c>
    </row>
    <row r="4" spans="1:118" x14ac:dyDescent="0.2">
      <c r="A4" s="124" t="s">
        <v>132</v>
      </c>
      <c r="B4" s="124" t="s">
        <v>133</v>
      </c>
      <c r="C4" s="125">
        <v>1</v>
      </c>
      <c r="D4" s="124" t="s">
        <v>29</v>
      </c>
      <c r="E4" s="126">
        <v>13103939</v>
      </c>
      <c r="F4" s="126">
        <v>24563740.579999998</v>
      </c>
      <c r="G4" s="127">
        <v>489872</v>
      </c>
      <c r="H4" s="127">
        <v>-1205677.3600000001</v>
      </c>
      <c r="I4" s="127">
        <v>-20252</v>
      </c>
      <c r="J4" s="127">
        <v>-32215.11</v>
      </c>
      <c r="K4" s="127">
        <v>-1406</v>
      </c>
      <c r="L4" s="127">
        <v>-10582.66</v>
      </c>
      <c r="M4" s="127">
        <v>0</v>
      </c>
      <c r="N4" s="127">
        <v>0</v>
      </c>
      <c r="O4" s="127">
        <v>-17149</v>
      </c>
      <c r="P4" s="127">
        <v>-32587.15</v>
      </c>
      <c r="Q4" s="127">
        <v>26882</v>
      </c>
      <c r="R4" s="127">
        <v>59064.31</v>
      </c>
      <c r="S4" s="127">
        <v>17173</v>
      </c>
      <c r="T4" s="127">
        <v>30157.91</v>
      </c>
      <c r="U4" s="127">
        <v>0</v>
      </c>
      <c r="V4" s="127">
        <v>0</v>
      </c>
      <c r="W4" s="127">
        <v>0</v>
      </c>
      <c r="X4" s="127">
        <v>0</v>
      </c>
      <c r="Y4" s="127">
        <v>0</v>
      </c>
      <c r="Z4" s="127">
        <v>-2805.92</v>
      </c>
      <c r="AA4" s="127">
        <v>0</v>
      </c>
      <c r="AB4" s="127">
        <v>0</v>
      </c>
      <c r="AC4" s="127">
        <v>-17634</v>
      </c>
      <c r="AD4" s="127">
        <v>-26762.65</v>
      </c>
      <c r="AE4" s="127">
        <v>0</v>
      </c>
      <c r="AF4" s="127">
        <v>0</v>
      </c>
      <c r="AG4" s="127">
        <v>0</v>
      </c>
      <c r="AH4" s="127">
        <v>0</v>
      </c>
      <c r="AI4" s="127">
        <v>0</v>
      </c>
      <c r="AJ4" s="127">
        <v>17292</v>
      </c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">
      <c r="A5" s="124" t="s">
        <v>132</v>
      </c>
      <c r="B5" s="124" t="s">
        <v>133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>
        <v>0</v>
      </c>
      <c r="AJ5" s="127">
        <v>0</v>
      </c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">
      <c r="A6" s="124" t="s">
        <v>132</v>
      </c>
      <c r="B6" s="124" t="s">
        <v>133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>
        <v>0</v>
      </c>
      <c r="AH6" s="127">
        <v>0</v>
      </c>
      <c r="AI6" s="127">
        <v>0</v>
      </c>
      <c r="AJ6" s="127">
        <v>0</v>
      </c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">
      <c r="A7" s="124" t="s">
        <v>132</v>
      </c>
      <c r="B7" s="124" t="s">
        <v>133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">
      <c r="A8" s="124" t="s">
        <v>132</v>
      </c>
      <c r="B8" s="124" t="s">
        <v>133</v>
      </c>
      <c r="C8" s="125">
        <v>5</v>
      </c>
      <c r="D8" s="124" t="s">
        <v>134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0</v>
      </c>
      <c r="AJ8" s="127">
        <v>0</v>
      </c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">
      <c r="A9" s="124" t="s">
        <v>132</v>
      </c>
      <c r="B9" s="124" t="s">
        <v>133</v>
      </c>
      <c r="C9" s="125">
        <v>6</v>
      </c>
      <c r="D9" s="124" t="s">
        <v>29</v>
      </c>
      <c r="E9" s="126">
        <v>-4755219</v>
      </c>
      <c r="F9" s="126">
        <v>-7857520.04</v>
      </c>
      <c r="G9" s="127">
        <v>432535</v>
      </c>
      <c r="H9" s="127">
        <v>947526.13</v>
      </c>
      <c r="I9" s="127">
        <v>24749</v>
      </c>
      <c r="J9" s="127">
        <v>-1268.32</v>
      </c>
      <c r="K9" s="127">
        <v>7259</v>
      </c>
      <c r="L9" s="127">
        <v>12606.37</v>
      </c>
      <c r="M9" s="127">
        <v>9600</v>
      </c>
      <c r="N9" s="127">
        <v>14880</v>
      </c>
      <c r="O9" s="127">
        <v>0</v>
      </c>
      <c r="P9" s="127">
        <v>0</v>
      </c>
      <c r="Q9" s="127">
        <v>-18996</v>
      </c>
      <c r="R9" s="127">
        <v>-33756.080000000002</v>
      </c>
      <c r="S9" s="127">
        <v>0</v>
      </c>
      <c r="T9" s="127">
        <v>0</v>
      </c>
      <c r="U9" s="127">
        <v>-10501</v>
      </c>
      <c r="V9" s="127">
        <v>-21395.34</v>
      </c>
      <c r="W9" s="127">
        <v>0</v>
      </c>
      <c r="X9" s="127">
        <v>0</v>
      </c>
      <c r="Y9" s="127">
        <v>0</v>
      </c>
      <c r="Z9" s="127">
        <v>0</v>
      </c>
      <c r="AA9" s="127">
        <v>0</v>
      </c>
      <c r="AB9" s="127">
        <v>-375.69</v>
      </c>
      <c r="AC9" s="127">
        <v>22682</v>
      </c>
      <c r="AD9" s="127">
        <v>36987.519999999997</v>
      </c>
      <c r="AE9" s="127">
        <v>-5678</v>
      </c>
      <c r="AF9" s="127">
        <v>-8993.9500000000007</v>
      </c>
      <c r="AG9" s="127">
        <v>0</v>
      </c>
      <c r="AH9" s="127">
        <v>0</v>
      </c>
      <c r="AI9" s="127">
        <v>0</v>
      </c>
      <c r="AJ9" s="127">
        <v>0</v>
      </c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">
      <c r="A10" s="124" t="s">
        <v>132</v>
      </c>
      <c r="B10" s="124" t="s">
        <v>133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">
      <c r="A11" s="124" t="s">
        <v>132</v>
      </c>
      <c r="B11" s="124" t="s">
        <v>133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">
      <c r="A12" s="124" t="s">
        <v>132</v>
      </c>
      <c r="B12" s="124" t="s">
        <v>133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>
        <v>0</v>
      </c>
      <c r="AH12" s="127">
        <v>0</v>
      </c>
      <c r="AI12" s="127">
        <v>0</v>
      </c>
      <c r="AJ12" s="127">
        <v>0</v>
      </c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">
      <c r="A13" s="124" t="s">
        <v>132</v>
      </c>
      <c r="B13" s="124" t="s">
        <v>133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>
        <v>0</v>
      </c>
      <c r="AH13" s="127">
        <v>0</v>
      </c>
      <c r="AI13" s="127">
        <v>0</v>
      </c>
      <c r="AJ13" s="127">
        <v>0</v>
      </c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">
      <c r="A14" s="124" t="s">
        <v>132</v>
      </c>
      <c r="B14" s="124" t="s">
        <v>133</v>
      </c>
      <c r="C14" s="125">
        <v>11</v>
      </c>
      <c r="D14" s="124" t="s">
        <v>39</v>
      </c>
      <c r="E14" s="126">
        <v>2904827</v>
      </c>
      <c r="F14" s="126">
        <v>4707714</v>
      </c>
      <c r="G14" s="127">
        <v>99077</v>
      </c>
      <c r="H14" s="127">
        <v>162439.3156</v>
      </c>
      <c r="I14" s="127">
        <v>-98161</v>
      </c>
      <c r="J14" s="127">
        <v>-159610.95699999999</v>
      </c>
      <c r="K14" s="127">
        <v>-11794</v>
      </c>
      <c r="L14" s="127">
        <v>-18660.749800000001</v>
      </c>
      <c r="M14" s="127">
        <v>0</v>
      </c>
      <c r="N14" s="127">
        <v>0</v>
      </c>
      <c r="O14" s="127">
        <v>0</v>
      </c>
      <c r="P14" s="127">
        <v>0</v>
      </c>
      <c r="Q14" s="127">
        <v>-2838</v>
      </c>
      <c r="R14" s="127">
        <v>-4402.8732</v>
      </c>
      <c r="S14" s="127">
        <v>0</v>
      </c>
      <c r="T14" s="127">
        <v>497.73280000000068</v>
      </c>
      <c r="U14" s="127">
        <v>5453</v>
      </c>
      <c r="V14" s="127">
        <v>8922.1985999999997</v>
      </c>
      <c r="W14" s="127">
        <v>0</v>
      </c>
      <c r="X14" s="127">
        <v>0</v>
      </c>
      <c r="Y14" s="127">
        <v>0</v>
      </c>
      <c r="Z14" s="127">
        <v>0</v>
      </c>
      <c r="AA14" s="127">
        <v>0</v>
      </c>
      <c r="AB14" s="127">
        <v>0</v>
      </c>
      <c r="AC14" s="127">
        <v>-12261</v>
      </c>
      <c r="AD14" s="127">
        <v>-19021.715400000001</v>
      </c>
      <c r="AE14" s="127">
        <v>5678</v>
      </c>
      <c r="AF14" s="127">
        <v>9220.6811999999991</v>
      </c>
      <c r="AG14" s="127">
        <v>10574</v>
      </c>
      <c r="AH14" s="127">
        <v>17301.178800000002</v>
      </c>
      <c r="AI14" s="127">
        <v>0</v>
      </c>
      <c r="AJ14" s="127">
        <v>0</v>
      </c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">
      <c r="A15" s="124" t="s">
        <v>132</v>
      </c>
      <c r="B15" s="124" t="s">
        <v>133</v>
      </c>
      <c r="C15" s="125">
        <v>12</v>
      </c>
      <c r="D15" s="124" t="s">
        <v>40</v>
      </c>
      <c r="E15" s="126">
        <v>-11253547</v>
      </c>
      <c r="F15" s="126">
        <v>-18558051</v>
      </c>
      <c r="G15" s="127">
        <v>-1001200</v>
      </c>
      <c r="H15" s="127">
        <v>-1655391.74</v>
      </c>
      <c r="I15" s="127">
        <v>74266</v>
      </c>
      <c r="J15" s="127">
        <v>122523.97</v>
      </c>
      <c r="K15" s="127">
        <v>5055</v>
      </c>
      <c r="L15" s="127">
        <v>8193.27</v>
      </c>
      <c r="M15" s="127">
        <v>-9600</v>
      </c>
      <c r="N15" s="127">
        <v>-15840</v>
      </c>
      <c r="O15" s="127">
        <v>17149</v>
      </c>
      <c r="P15" s="127">
        <v>28295.85</v>
      </c>
      <c r="Q15" s="127">
        <v>0</v>
      </c>
      <c r="R15" s="127">
        <v>0</v>
      </c>
      <c r="S15" s="127">
        <v>-17173</v>
      </c>
      <c r="T15" s="127">
        <v>-28335.45</v>
      </c>
      <c r="U15" s="127">
        <v>0</v>
      </c>
      <c r="V15" s="127">
        <v>0</v>
      </c>
      <c r="W15" s="127">
        <v>0</v>
      </c>
      <c r="X15" s="127">
        <v>0</v>
      </c>
      <c r="Y15" s="127">
        <v>0</v>
      </c>
      <c r="Z15" s="127">
        <v>0</v>
      </c>
      <c r="AA15" s="127">
        <v>0</v>
      </c>
      <c r="AB15" s="127">
        <v>0</v>
      </c>
      <c r="AC15" s="127">
        <v>7213</v>
      </c>
      <c r="AD15" s="127">
        <v>11901.45</v>
      </c>
      <c r="AE15" s="127">
        <v>0</v>
      </c>
      <c r="AF15" s="127">
        <v>0</v>
      </c>
      <c r="AG15" s="127">
        <v>-10574</v>
      </c>
      <c r="AH15" s="127">
        <v>-17447.099999999999</v>
      </c>
      <c r="AI15" s="127">
        <v>0</v>
      </c>
      <c r="AJ15" s="127">
        <v>0</v>
      </c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">
      <c r="A16" s="124" t="s">
        <v>132</v>
      </c>
      <c r="B16" s="124" t="s">
        <v>133</v>
      </c>
      <c r="C16" s="125">
        <v>13</v>
      </c>
      <c r="D16" s="124" t="s">
        <v>43</v>
      </c>
      <c r="E16" s="126">
        <v>0</v>
      </c>
      <c r="F16" s="126">
        <v>0</v>
      </c>
      <c r="G16" s="127">
        <v>-20284</v>
      </c>
      <c r="H16" s="127">
        <v>-31196.792000000001</v>
      </c>
      <c r="I16" s="127">
        <v>19398</v>
      </c>
      <c r="J16" s="127">
        <v>29586.044000000002</v>
      </c>
      <c r="K16" s="127">
        <v>886</v>
      </c>
      <c r="L16" s="127">
        <v>1610.75</v>
      </c>
      <c r="M16" s="127">
        <v>0</v>
      </c>
      <c r="N16" s="127">
        <v>0</v>
      </c>
      <c r="O16" s="127">
        <v>0</v>
      </c>
      <c r="P16" s="127">
        <v>0</v>
      </c>
      <c r="Q16" s="127">
        <v>-5048</v>
      </c>
      <c r="R16" s="127">
        <v>-13059.175999999999</v>
      </c>
      <c r="S16" s="127">
        <v>0</v>
      </c>
      <c r="T16" s="127">
        <v>-1418.4880000000001</v>
      </c>
      <c r="U16" s="127">
        <v>5048</v>
      </c>
      <c r="V16" s="127">
        <v>14477.664000000001</v>
      </c>
      <c r="W16" s="127">
        <v>0</v>
      </c>
      <c r="X16" s="127">
        <v>0</v>
      </c>
      <c r="Y16" s="127">
        <v>0</v>
      </c>
      <c r="Z16" s="127">
        <v>0</v>
      </c>
      <c r="AA16" s="127">
        <v>0</v>
      </c>
      <c r="AB16" s="127">
        <v>0</v>
      </c>
      <c r="AC16" s="127">
        <v>0</v>
      </c>
      <c r="AD16" s="127">
        <v>0</v>
      </c>
      <c r="AE16" s="127">
        <v>0</v>
      </c>
      <c r="AF16" s="127">
        <v>0</v>
      </c>
      <c r="AG16" s="127">
        <v>0</v>
      </c>
      <c r="AH16" s="127">
        <v>0</v>
      </c>
      <c r="AI16" s="127">
        <v>0</v>
      </c>
      <c r="AJ16" s="127">
        <v>0</v>
      </c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">
      <c r="A17" s="124" t="s">
        <v>132</v>
      </c>
      <c r="B17" s="124" t="s">
        <v>133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>
        <v>0</v>
      </c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">
      <c r="A18" s="124" t="s">
        <v>132</v>
      </c>
      <c r="B18" s="124" t="s">
        <v>133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>
        <v>0</v>
      </c>
      <c r="AH18" s="127">
        <v>0</v>
      </c>
      <c r="AI18" s="127">
        <v>0</v>
      </c>
      <c r="AJ18" s="127">
        <v>0</v>
      </c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">
      <c r="A19" s="124" t="s">
        <v>132</v>
      </c>
      <c r="B19" s="124" t="s">
        <v>133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>
        <v>0</v>
      </c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">
      <c r="A20" s="124" t="s">
        <v>132</v>
      </c>
      <c r="B20" s="124" t="s">
        <v>133</v>
      </c>
      <c r="C20" s="125">
        <v>17</v>
      </c>
      <c r="D20" s="124" t="s">
        <v>135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>
        <v>0</v>
      </c>
      <c r="AJ20" s="127">
        <v>0</v>
      </c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">
      <c r="A21" s="124" t="s">
        <v>132</v>
      </c>
      <c r="B21" s="124" t="s">
        <v>133</v>
      </c>
      <c r="C21" s="125">
        <v>18</v>
      </c>
      <c r="D21" s="124" t="s">
        <v>136</v>
      </c>
      <c r="E21" s="126">
        <v>0</v>
      </c>
      <c r="F21" s="126">
        <v>0</v>
      </c>
      <c r="G21" s="127">
        <v>0</v>
      </c>
      <c r="H21" s="127">
        <v>0</v>
      </c>
      <c r="I21" s="127">
        <v>0</v>
      </c>
      <c r="J21" s="127">
        <v>0</v>
      </c>
      <c r="K21" s="127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>
        <v>0</v>
      </c>
      <c r="AJ21" s="127">
        <v>0</v>
      </c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">
      <c r="A22" s="124" t="s">
        <v>132</v>
      </c>
      <c r="B22" s="124" t="s">
        <v>133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>
        <v>0</v>
      </c>
      <c r="AH22" s="127">
        <v>0</v>
      </c>
      <c r="AI22" s="127">
        <v>0</v>
      </c>
      <c r="AJ22" s="127">
        <v>0</v>
      </c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">
      <c r="A23" s="124" t="s">
        <v>132</v>
      </c>
      <c r="B23" s="124" t="s">
        <v>133</v>
      </c>
      <c r="C23" s="125">
        <v>20</v>
      </c>
      <c r="D23" s="124" t="s">
        <v>137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>
        <v>0</v>
      </c>
      <c r="AH23" s="127">
        <v>0</v>
      </c>
      <c r="AI23" s="127">
        <v>0</v>
      </c>
      <c r="AJ23" s="127">
        <v>0</v>
      </c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">
      <c r="A24" s="124" t="s">
        <v>132</v>
      </c>
      <c r="B24" s="124" t="s">
        <v>133</v>
      </c>
      <c r="C24" s="125">
        <v>21</v>
      </c>
      <c r="D24" s="124" t="s">
        <v>138</v>
      </c>
      <c r="E24" s="126">
        <v>0</v>
      </c>
      <c r="F24" s="126">
        <v>9000</v>
      </c>
      <c r="G24" s="127">
        <v>0</v>
      </c>
      <c r="H24" s="127">
        <v>-9000</v>
      </c>
      <c r="I24" s="127">
        <v>0</v>
      </c>
      <c r="J24" s="127">
        <v>9717.56</v>
      </c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">
      <c r="A25" s="124" t="s">
        <v>132</v>
      </c>
      <c r="B25" s="124" t="s">
        <v>133</v>
      </c>
      <c r="C25" s="125">
        <v>22</v>
      </c>
      <c r="D25" s="124" t="s">
        <v>139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>
        <v>0</v>
      </c>
      <c r="AH25" s="127">
        <v>0</v>
      </c>
      <c r="AI25" s="127">
        <v>0</v>
      </c>
      <c r="AJ25" s="127">
        <v>0</v>
      </c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">
      <c r="A26" s="124" t="s">
        <v>132</v>
      </c>
      <c r="B26" s="124" t="s">
        <v>133</v>
      </c>
      <c r="C26" s="125">
        <v>23</v>
      </c>
      <c r="D26" s="124" t="s">
        <v>140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">
      <c r="A27" s="124" t="s">
        <v>132</v>
      </c>
      <c r="B27" s="124" t="s">
        <v>133</v>
      </c>
      <c r="C27" s="125">
        <v>24</v>
      </c>
      <c r="D27" s="124" t="s">
        <v>59</v>
      </c>
      <c r="E27" s="126">
        <v>0</v>
      </c>
      <c r="F27" s="126">
        <v>15975.65</v>
      </c>
      <c r="G27" s="127">
        <v>0</v>
      </c>
      <c r="H27" s="127">
        <v>613.77</v>
      </c>
      <c r="I27" s="127">
        <v>0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">
      <c r="A28" s="124" t="s">
        <v>132</v>
      </c>
      <c r="B28" s="124" t="s">
        <v>133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">
      <c r="A29" s="124" t="s">
        <v>132</v>
      </c>
      <c r="B29" s="124" t="s">
        <v>133</v>
      </c>
      <c r="C29" s="125">
        <v>26</v>
      </c>
      <c r="D29" s="124" t="s">
        <v>141</v>
      </c>
      <c r="E29" s="126">
        <v>0</v>
      </c>
      <c r="F29" s="126">
        <v>350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312.5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">
      <c r="A30" s="124" t="s">
        <v>132</v>
      </c>
      <c r="B30" s="124" t="s">
        <v>133</v>
      </c>
      <c r="C30" s="125">
        <v>27</v>
      </c>
      <c r="D30" s="124" t="s">
        <v>142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>
        <v>0</v>
      </c>
      <c r="AH30" s="127">
        <v>0</v>
      </c>
      <c r="AI30" s="127">
        <v>0</v>
      </c>
      <c r="AJ30" s="127">
        <v>0</v>
      </c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">
      <c r="A31" s="124" t="s">
        <v>132</v>
      </c>
      <c r="B31" s="124" t="s">
        <v>133</v>
      </c>
      <c r="C31" s="125">
        <v>28</v>
      </c>
      <c r="D31" s="124" t="s">
        <v>143</v>
      </c>
      <c r="E31" s="126">
        <v>-9771885</v>
      </c>
      <c r="F31" s="126">
        <v>-511223</v>
      </c>
      <c r="G31" s="127">
        <v>-452509</v>
      </c>
      <c r="H31" s="127">
        <v>-50292.75</v>
      </c>
      <c r="I31" s="127">
        <v>88285</v>
      </c>
      <c r="J31" s="127">
        <v>-2490.11</v>
      </c>
      <c r="K31" s="127">
        <v>2230</v>
      </c>
      <c r="L31" s="127">
        <v>736.32</v>
      </c>
      <c r="M31" s="127">
        <v>0</v>
      </c>
      <c r="N31" s="127">
        <v>381.84</v>
      </c>
      <c r="O31" s="127">
        <v>-25</v>
      </c>
      <c r="P31" s="127">
        <v>-6.09</v>
      </c>
      <c r="Q31" s="127">
        <v>-5048</v>
      </c>
      <c r="R31" s="127">
        <v>0</v>
      </c>
      <c r="S31" s="127">
        <v>0</v>
      </c>
      <c r="T31" s="127">
        <v>-2015</v>
      </c>
      <c r="U31" s="127">
        <v>0</v>
      </c>
      <c r="V31" s="127">
        <v>181.69</v>
      </c>
      <c r="W31" s="127">
        <v>0</v>
      </c>
      <c r="X31" s="127">
        <v>0</v>
      </c>
      <c r="Y31" s="127">
        <v>0</v>
      </c>
      <c r="Z31" s="127">
        <v>0</v>
      </c>
      <c r="AA31" s="127">
        <v>0</v>
      </c>
      <c r="AB31" s="127">
        <v>0</v>
      </c>
      <c r="AC31" s="127">
        <v>16522</v>
      </c>
      <c r="AD31" s="127">
        <v>-114.74</v>
      </c>
      <c r="AE31" s="127">
        <v>-11474</v>
      </c>
      <c r="AF31" s="127">
        <v>-485.04</v>
      </c>
      <c r="AG31" s="127">
        <v>0</v>
      </c>
      <c r="AH31" s="127">
        <v>0</v>
      </c>
      <c r="AI31" s="127">
        <v>0</v>
      </c>
      <c r="AJ31" s="127">
        <v>3802.72</v>
      </c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">
      <c r="A32" s="124" t="s">
        <v>132</v>
      </c>
      <c r="B32" s="124" t="s">
        <v>133</v>
      </c>
      <c r="C32" s="125">
        <v>29</v>
      </c>
      <c r="D32" s="124" t="s">
        <v>144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">
      <c r="A33" s="124" t="s">
        <v>132</v>
      </c>
      <c r="B33" s="124" t="s">
        <v>133</v>
      </c>
      <c r="C33" s="125">
        <v>30</v>
      </c>
      <c r="D33" s="124" t="s">
        <v>145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7">
        <v>0</v>
      </c>
      <c r="AJ33" s="127">
        <v>0</v>
      </c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">
      <c r="A34" s="124" t="s">
        <v>132</v>
      </c>
      <c r="B34" s="124" t="s">
        <v>133</v>
      </c>
      <c r="C34" s="125">
        <v>31</v>
      </c>
      <c r="D34" s="124" t="s">
        <v>146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>
        <v>0</v>
      </c>
      <c r="AH34" s="127">
        <v>0</v>
      </c>
      <c r="AI34" s="127">
        <v>0</v>
      </c>
      <c r="AJ34" s="127">
        <v>0</v>
      </c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">
      <c r="A35" s="124" t="s">
        <v>132</v>
      </c>
      <c r="B35" s="124" t="s">
        <v>133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">
      <c r="A36" s="124" t="s">
        <v>132</v>
      </c>
      <c r="B36" s="124" t="s">
        <v>133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">
      <c r="A37" s="124" t="s">
        <v>132</v>
      </c>
      <c r="B37" s="124" t="s">
        <v>133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">
      <c r="A38" s="124" t="s">
        <v>132</v>
      </c>
      <c r="B38" s="124" t="s">
        <v>133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">
      <c r="A39" s="124" t="s">
        <v>132</v>
      </c>
      <c r="B39" s="124" t="s">
        <v>133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">
      <c r="A40" s="124" t="s">
        <v>132</v>
      </c>
      <c r="B40" s="124" t="s">
        <v>133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">
      <c r="A41" s="124" t="s">
        <v>132</v>
      </c>
      <c r="B41" s="124" t="s">
        <v>133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">
      <c r="A42" s="124" t="s">
        <v>132</v>
      </c>
      <c r="B42" s="124" t="s">
        <v>133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">
      <c r="A43" s="124" t="s">
        <v>132</v>
      </c>
      <c r="B43" s="124" t="s">
        <v>133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">
      <c r="A44" t="s">
        <v>147</v>
      </c>
      <c r="B44" t="s">
        <v>148</v>
      </c>
      <c r="C44">
        <v>1</v>
      </c>
      <c r="D44" t="s">
        <v>29</v>
      </c>
      <c r="E44" s="14">
        <v>9850711</v>
      </c>
      <c r="F44" s="14">
        <v>18473366.340000004</v>
      </c>
      <c r="G44" s="127">
        <v>-13631</v>
      </c>
      <c r="H44" s="127">
        <v>-673722.38</v>
      </c>
      <c r="I44" s="127">
        <v>-144520</v>
      </c>
      <c r="J44" s="127">
        <v>-255781.32</v>
      </c>
      <c r="K44" s="127">
        <v>-72123</v>
      </c>
      <c r="L44" s="127">
        <v>-118282.1</v>
      </c>
      <c r="M44" s="127">
        <v>72123</v>
      </c>
      <c r="N44" s="127">
        <v>118281.72</v>
      </c>
      <c r="O44" s="127">
        <v>0</v>
      </c>
      <c r="P44" s="127">
        <v>0</v>
      </c>
      <c r="Q44" s="127">
        <v>0</v>
      </c>
      <c r="R44" s="127">
        <v>-107.62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271</v>
      </c>
      <c r="Z44" s="127">
        <v>471.54</v>
      </c>
      <c r="AA44" s="127">
        <v>0</v>
      </c>
      <c r="AB44" s="127">
        <v>0.46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364.98</v>
      </c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">
      <c r="A45" t="s">
        <v>147</v>
      </c>
      <c r="B45" t="s">
        <v>148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7">
        <v>0</v>
      </c>
      <c r="AI45" s="127">
        <v>0</v>
      </c>
      <c r="AJ45" s="127">
        <v>0</v>
      </c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">
      <c r="A46" t="s">
        <v>147</v>
      </c>
      <c r="B46" t="s">
        <v>148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0</v>
      </c>
      <c r="AJ46" s="127">
        <v>0</v>
      </c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">
      <c r="A47" t="s">
        <v>147</v>
      </c>
      <c r="B47" t="s">
        <v>148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">
      <c r="A48" t="s">
        <v>147</v>
      </c>
      <c r="B48" t="s">
        <v>148</v>
      </c>
      <c r="C48">
        <v>5</v>
      </c>
      <c r="D48" t="s">
        <v>134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">
      <c r="A49" t="s">
        <v>147</v>
      </c>
      <c r="B49" t="s">
        <v>148</v>
      </c>
      <c r="C49">
        <v>6</v>
      </c>
      <c r="D49" t="s">
        <v>29</v>
      </c>
      <c r="E49" s="14">
        <v>-3630432</v>
      </c>
      <c r="F49" s="14">
        <v>-6234679.9699999997</v>
      </c>
      <c r="G49" s="127">
        <v>43592</v>
      </c>
      <c r="H49" s="127">
        <v>56001.82</v>
      </c>
      <c r="I49" s="127">
        <v>-4592</v>
      </c>
      <c r="J49" s="127">
        <v>3.1</v>
      </c>
      <c r="K49" s="127">
        <v>0</v>
      </c>
      <c r="L49" s="127">
        <v>0</v>
      </c>
      <c r="M49" s="127">
        <v>140680</v>
      </c>
      <c r="N49" s="127">
        <v>248806.95</v>
      </c>
      <c r="O49" s="127">
        <v>0</v>
      </c>
      <c r="P49" s="127">
        <v>0</v>
      </c>
      <c r="Q49" s="127">
        <v>0</v>
      </c>
      <c r="R49" s="127">
        <v>0</v>
      </c>
      <c r="S49" s="127">
        <v>0</v>
      </c>
      <c r="T49" s="127">
        <v>0</v>
      </c>
      <c r="U49" s="127">
        <v>0</v>
      </c>
      <c r="V49" s="127">
        <v>133.82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655.1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">
      <c r="A50" t="s">
        <v>147</v>
      </c>
      <c r="B50" t="s">
        <v>148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">
      <c r="A51" t="s">
        <v>147</v>
      </c>
      <c r="B51" t="s">
        <v>148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0</v>
      </c>
      <c r="AJ51" s="127">
        <v>0</v>
      </c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">
      <c r="A52" t="s">
        <v>147</v>
      </c>
      <c r="B52" t="s">
        <v>148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0</v>
      </c>
      <c r="AJ52" s="127">
        <v>0</v>
      </c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">
      <c r="A53" t="s">
        <v>147</v>
      </c>
      <c r="B53" t="s">
        <v>148</v>
      </c>
      <c r="C53">
        <v>10</v>
      </c>
      <c r="D53" t="s">
        <v>36</v>
      </c>
      <c r="E53" s="14">
        <v>0</v>
      </c>
      <c r="F53" s="14">
        <v>0</v>
      </c>
      <c r="G53" s="127">
        <v>29241</v>
      </c>
      <c r="H53" s="127">
        <v>51408.6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-1423.16</v>
      </c>
      <c r="U53" s="127">
        <v>0</v>
      </c>
      <c r="V53" s="127">
        <v>0</v>
      </c>
      <c r="W53" s="127">
        <v>0</v>
      </c>
      <c r="X53" s="127">
        <v>0</v>
      </c>
      <c r="Y53" s="127">
        <v>0</v>
      </c>
      <c r="Z53" s="127">
        <v>0</v>
      </c>
      <c r="AA53" s="127">
        <v>0</v>
      </c>
      <c r="AB53" s="127">
        <v>0</v>
      </c>
      <c r="AC53" s="127">
        <v>-43285</v>
      </c>
      <c r="AD53" s="127">
        <v>-74017.350000000006</v>
      </c>
      <c r="AE53" s="127">
        <v>0</v>
      </c>
      <c r="AF53" s="127">
        <v>0</v>
      </c>
      <c r="AG53" s="127">
        <v>0</v>
      </c>
      <c r="AH53" s="127">
        <v>0</v>
      </c>
      <c r="AI53" s="127">
        <v>0</v>
      </c>
      <c r="AJ53" s="127">
        <v>0</v>
      </c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">
      <c r="A54" t="s">
        <v>147</v>
      </c>
      <c r="B54" t="s">
        <v>148</v>
      </c>
      <c r="C54">
        <v>11</v>
      </c>
      <c r="D54" t="s">
        <v>39</v>
      </c>
      <c r="E54" s="14">
        <v>3155243</v>
      </c>
      <c r="F54" s="14">
        <v>5577830</v>
      </c>
      <c r="G54" s="127">
        <v>-168256</v>
      </c>
      <c r="H54" s="127">
        <v>-302186.62</v>
      </c>
      <c r="I54" s="127">
        <v>-152953</v>
      </c>
      <c r="J54" s="127">
        <v>-280264.33</v>
      </c>
      <c r="K54" s="127">
        <v>0</v>
      </c>
      <c r="L54" s="127">
        <v>-0.02</v>
      </c>
      <c r="M54" s="127">
        <v>0</v>
      </c>
      <c r="N54" s="127">
        <v>0</v>
      </c>
      <c r="O54" s="127">
        <v>0</v>
      </c>
      <c r="P54" s="127">
        <v>0</v>
      </c>
      <c r="Q54" s="127">
        <v>-245072</v>
      </c>
      <c r="R54" s="127">
        <v>-461174.69</v>
      </c>
      <c r="S54" s="127">
        <v>397824</v>
      </c>
      <c r="T54" s="127">
        <v>708541.51</v>
      </c>
      <c r="U54" s="127">
        <v>0</v>
      </c>
      <c r="V54" s="127">
        <v>0</v>
      </c>
      <c r="W54" s="127">
        <v>-252248</v>
      </c>
      <c r="X54" s="127">
        <v>-447659.05</v>
      </c>
      <c r="Y54" s="127">
        <v>0</v>
      </c>
      <c r="Z54" s="127">
        <v>2.5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">
      <c r="A55" t="s">
        <v>147</v>
      </c>
      <c r="B55" t="s">
        <v>148</v>
      </c>
      <c r="C55">
        <v>12</v>
      </c>
      <c r="D55" t="s">
        <v>40</v>
      </c>
      <c r="E55" s="14">
        <v>-9633963</v>
      </c>
      <c r="F55" s="14">
        <v>-17050766</v>
      </c>
      <c r="G55" s="127">
        <v>234257</v>
      </c>
      <c r="H55" s="127">
        <v>404889.45</v>
      </c>
      <c r="I55" s="127">
        <v>118032</v>
      </c>
      <c r="J55" s="127">
        <v>201763.9</v>
      </c>
      <c r="K55" s="127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v>0</v>
      </c>
      <c r="Q55" s="127">
        <v>250911</v>
      </c>
      <c r="R55" s="127">
        <v>446670.7</v>
      </c>
      <c r="S55" s="127">
        <v>-407536</v>
      </c>
      <c r="T55" s="127">
        <v>-725510.05</v>
      </c>
      <c r="U55" s="127">
        <v>0</v>
      </c>
      <c r="V55" s="127">
        <v>0</v>
      </c>
      <c r="W55" s="127">
        <v>252248</v>
      </c>
      <c r="X55" s="127">
        <v>447659.07</v>
      </c>
      <c r="Y55" s="127">
        <v>0</v>
      </c>
      <c r="Z55" s="127">
        <v>0</v>
      </c>
      <c r="AA55" s="127">
        <v>0</v>
      </c>
      <c r="AB55" s="127">
        <v>-1.38</v>
      </c>
      <c r="AC55" s="127">
        <v>0</v>
      </c>
      <c r="AD55" s="127">
        <v>1.1200000000000001</v>
      </c>
      <c r="AE55" s="127">
        <v>0</v>
      </c>
      <c r="AF55" s="127">
        <v>-0.98</v>
      </c>
      <c r="AG55" s="127">
        <v>0</v>
      </c>
      <c r="AH55" s="127">
        <v>0</v>
      </c>
      <c r="AI55" s="127">
        <v>0</v>
      </c>
      <c r="AJ55" s="127">
        <v>0</v>
      </c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">
      <c r="A56" t="s">
        <v>147</v>
      </c>
      <c r="B56" t="s">
        <v>148</v>
      </c>
      <c r="C56">
        <v>13</v>
      </c>
      <c r="D56" t="s">
        <v>43</v>
      </c>
      <c r="E56" s="14">
        <v>0</v>
      </c>
      <c r="F56" s="14">
        <v>0</v>
      </c>
      <c r="G56" s="127">
        <v>-78281</v>
      </c>
      <c r="H56" s="127">
        <v>-126502.09600000001</v>
      </c>
      <c r="I56" s="127">
        <v>-26026</v>
      </c>
      <c r="J56" s="127">
        <v>-71472.59</v>
      </c>
      <c r="K56" s="127">
        <v>-9550</v>
      </c>
      <c r="L56" s="127">
        <v>-70158.55</v>
      </c>
      <c r="M56" s="127">
        <v>140680</v>
      </c>
      <c r="N56" s="127">
        <v>327921.70199999999</v>
      </c>
      <c r="O56" s="127">
        <v>-109567</v>
      </c>
      <c r="P56" s="127">
        <v>-247203.62700000001</v>
      </c>
      <c r="Q56" s="127">
        <v>0</v>
      </c>
      <c r="R56" s="127">
        <v>-28877.655999999999</v>
      </c>
      <c r="S56" s="127">
        <v>0</v>
      </c>
      <c r="T56" s="127">
        <v>-23499.295999999998</v>
      </c>
      <c r="U56" s="127">
        <v>0</v>
      </c>
      <c r="V56" s="127">
        <v>106077.808</v>
      </c>
      <c r="W56" s="127">
        <v>0</v>
      </c>
      <c r="X56" s="127">
        <v>0</v>
      </c>
      <c r="Y56" s="127">
        <v>-271</v>
      </c>
      <c r="Z56" s="127">
        <v>-437.93599999999998</v>
      </c>
      <c r="AA56" s="127">
        <v>-36003</v>
      </c>
      <c r="AB56" s="127">
        <v>-58180.847999999998</v>
      </c>
      <c r="AC56" s="127">
        <v>0</v>
      </c>
      <c r="AD56" s="127">
        <v>0</v>
      </c>
      <c r="AE56" s="127">
        <v>43285</v>
      </c>
      <c r="AF56" s="127">
        <v>69948.56</v>
      </c>
      <c r="AG56" s="127">
        <v>0</v>
      </c>
      <c r="AH56" s="127">
        <v>0</v>
      </c>
      <c r="AI56" s="127">
        <v>0</v>
      </c>
      <c r="AJ56" s="127">
        <v>0</v>
      </c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">
      <c r="A57" t="s">
        <v>147</v>
      </c>
      <c r="B57" t="s">
        <v>148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">
      <c r="A58" t="s">
        <v>147</v>
      </c>
      <c r="B58" t="s">
        <v>148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">
      <c r="A59" t="s">
        <v>147</v>
      </c>
      <c r="B59" t="s">
        <v>148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0</v>
      </c>
      <c r="AJ59" s="127">
        <v>0</v>
      </c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">
      <c r="A60" t="s">
        <v>147</v>
      </c>
      <c r="B60" t="s">
        <v>148</v>
      </c>
      <c r="C60">
        <v>17</v>
      </c>
      <c r="D60" t="s">
        <v>135</v>
      </c>
      <c r="E60" s="14">
        <v>0</v>
      </c>
      <c r="F60" s="14">
        <v>0</v>
      </c>
      <c r="G60" s="127">
        <v>1004820</v>
      </c>
      <c r="H60" s="127">
        <v>84513.36</v>
      </c>
      <c r="I60" s="127">
        <v>-27382</v>
      </c>
      <c r="J60" s="127">
        <v>1523372.15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">
      <c r="A61" t="s">
        <v>147</v>
      </c>
      <c r="B61" t="s">
        <v>148</v>
      </c>
      <c r="C61">
        <v>18</v>
      </c>
      <c r="D61" t="s">
        <v>136</v>
      </c>
      <c r="E61" s="14">
        <v>0</v>
      </c>
      <c r="F61" s="14">
        <v>0</v>
      </c>
      <c r="G61" s="127">
        <v>-740661</v>
      </c>
      <c r="H61" s="127">
        <v>-193210.96</v>
      </c>
      <c r="I61" s="127">
        <v>19867</v>
      </c>
      <c r="J61" s="127">
        <v>-992495.17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">
      <c r="A62" t="s">
        <v>147</v>
      </c>
      <c r="B62" t="s">
        <v>148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">
      <c r="A63" t="s">
        <v>147</v>
      </c>
      <c r="B63" t="s">
        <v>148</v>
      </c>
      <c r="C63">
        <v>20</v>
      </c>
      <c r="D63" t="s">
        <v>137</v>
      </c>
      <c r="E63" s="14">
        <v>0</v>
      </c>
      <c r="F63" s="14">
        <v>0</v>
      </c>
      <c r="G63" s="127">
        <v>-27044</v>
      </c>
      <c r="H63" s="127">
        <v>-52194.92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5965.9</v>
      </c>
      <c r="U63" s="127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-1.08</v>
      </c>
      <c r="AC63" s="127">
        <v>0</v>
      </c>
      <c r="AD63" s="127">
        <v>-1.08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">
      <c r="A64" t="s">
        <v>147</v>
      </c>
      <c r="B64" t="s">
        <v>148</v>
      </c>
      <c r="C64">
        <v>21</v>
      </c>
      <c r="D64" t="s">
        <v>138</v>
      </c>
      <c r="E64" s="14">
        <v>0</v>
      </c>
      <c r="F64" s="14">
        <v>0</v>
      </c>
      <c r="G64" s="127">
        <v>72123</v>
      </c>
      <c r="H64" s="127">
        <v>118281.72</v>
      </c>
      <c r="I64" s="127">
        <v>0</v>
      </c>
      <c r="J64" s="127">
        <v>0</v>
      </c>
      <c r="K64" s="127">
        <v>0</v>
      </c>
      <c r="L64" s="127">
        <v>0</v>
      </c>
      <c r="M64" s="127">
        <v>-72123</v>
      </c>
      <c r="N64" s="127">
        <v>-118281.72</v>
      </c>
      <c r="O64" s="127">
        <v>0</v>
      </c>
      <c r="P64" s="127">
        <v>0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>
        <v>0</v>
      </c>
      <c r="AH64" s="127">
        <v>0</v>
      </c>
      <c r="AI64" s="127">
        <v>0</v>
      </c>
      <c r="AJ64" s="127">
        <v>0</v>
      </c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">
      <c r="A65" t="s">
        <v>147</v>
      </c>
      <c r="B65" t="s">
        <v>148</v>
      </c>
      <c r="C65">
        <v>22</v>
      </c>
      <c r="D65" t="s">
        <v>139</v>
      </c>
      <c r="E65" s="14">
        <v>258441</v>
      </c>
      <c r="F65" s="14">
        <v>417640.65600000002</v>
      </c>
      <c r="G65" s="127">
        <v>-356160</v>
      </c>
      <c r="H65" s="127">
        <v>-575554.56400000001</v>
      </c>
      <c r="I65" s="127">
        <v>217574</v>
      </c>
      <c r="J65" s="127">
        <v>351599.58399999997</v>
      </c>
      <c r="K65" s="127">
        <v>81673</v>
      </c>
      <c r="L65" s="127">
        <v>131983.568</v>
      </c>
      <c r="M65" s="127">
        <v>-281360</v>
      </c>
      <c r="N65" s="127">
        <v>-454677.76000000001</v>
      </c>
      <c r="O65" s="127">
        <v>109567</v>
      </c>
      <c r="P65" s="127">
        <v>177060.272</v>
      </c>
      <c r="Q65" s="127">
        <v>-5839</v>
      </c>
      <c r="R65" s="127">
        <v>-9435.8240000000005</v>
      </c>
      <c r="S65" s="127">
        <v>9712</v>
      </c>
      <c r="T65" s="127">
        <v>15694.592000000001</v>
      </c>
      <c r="U65" s="127">
        <v>0</v>
      </c>
      <c r="V65" s="127">
        <v>0</v>
      </c>
      <c r="W65" s="127">
        <v>0</v>
      </c>
      <c r="X65" s="127">
        <v>0</v>
      </c>
      <c r="Y65" s="127">
        <v>0</v>
      </c>
      <c r="Z65" s="127">
        <v>0</v>
      </c>
      <c r="AA65" s="127">
        <v>36003</v>
      </c>
      <c r="AB65" s="127">
        <v>58180.847999999998</v>
      </c>
      <c r="AC65" s="127">
        <v>43285</v>
      </c>
      <c r="AD65" s="127">
        <v>69948.56</v>
      </c>
      <c r="AE65" s="127">
        <v>-43285</v>
      </c>
      <c r="AF65" s="127">
        <v>-69948.56</v>
      </c>
      <c r="AG65" s="127">
        <v>0</v>
      </c>
      <c r="AH65" s="127">
        <v>0</v>
      </c>
      <c r="AI65" s="127">
        <v>0</v>
      </c>
      <c r="AJ65" s="127">
        <v>0</v>
      </c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">
      <c r="A66" t="s">
        <v>147</v>
      </c>
      <c r="B66" t="s">
        <v>148</v>
      </c>
      <c r="C66">
        <v>23</v>
      </c>
      <c r="D66" t="s">
        <v>140</v>
      </c>
      <c r="E66" s="14">
        <v>0</v>
      </c>
      <c r="F66" s="14">
        <v>0</v>
      </c>
      <c r="G66" s="127">
        <v>-27038</v>
      </c>
      <c r="H66" s="127">
        <v>-47535.51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-2200</v>
      </c>
      <c r="T66" s="127">
        <v>-2443.9299999999998</v>
      </c>
      <c r="U66" s="127">
        <v>0</v>
      </c>
      <c r="V66" s="127">
        <v>0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>
        <v>0</v>
      </c>
      <c r="AH66" s="127">
        <v>0</v>
      </c>
      <c r="AI66" s="127">
        <v>0</v>
      </c>
      <c r="AJ66" s="127">
        <v>0</v>
      </c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">
      <c r="A67" t="s">
        <v>147</v>
      </c>
      <c r="B67" t="s">
        <v>148</v>
      </c>
      <c r="C67">
        <v>24</v>
      </c>
      <c r="D67" t="s">
        <v>59</v>
      </c>
      <c r="E67" s="14">
        <v>0</v>
      </c>
      <c r="F67" s="14">
        <v>47040.88</v>
      </c>
      <c r="G67" s="127">
        <v>0</v>
      </c>
      <c r="H67" s="127">
        <v>0</v>
      </c>
      <c r="I67" s="127">
        <v>0</v>
      </c>
      <c r="J67" s="127">
        <v>5160.72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>
        <v>0</v>
      </c>
      <c r="AH67" s="127">
        <v>0</v>
      </c>
      <c r="AI67" s="127">
        <v>0</v>
      </c>
      <c r="AJ67" s="127">
        <v>0</v>
      </c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">
      <c r="A68" t="s">
        <v>147</v>
      </c>
      <c r="B68" t="s">
        <v>148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>
        <v>0</v>
      </c>
      <c r="AH68" s="127">
        <v>0</v>
      </c>
      <c r="AI68" s="127">
        <v>0</v>
      </c>
      <c r="AJ68" s="127">
        <v>0</v>
      </c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">
      <c r="A69" t="s">
        <v>147</v>
      </c>
      <c r="B69" t="s">
        <v>148</v>
      </c>
      <c r="C69">
        <v>26</v>
      </c>
      <c r="D69" t="s">
        <v>141</v>
      </c>
      <c r="E69" s="14">
        <v>3301788</v>
      </c>
      <c r="F69" s="14">
        <v>51770.98</v>
      </c>
      <c r="G69" s="127">
        <v>-106007</v>
      </c>
      <c r="H69" s="127">
        <v>9725.02</v>
      </c>
      <c r="I69" s="127">
        <v>-136741</v>
      </c>
      <c r="J69" s="127">
        <v>0</v>
      </c>
      <c r="K69" s="127">
        <v>-20201</v>
      </c>
      <c r="L69" s="127">
        <v>-90.24</v>
      </c>
      <c r="M69" s="127">
        <v>24717</v>
      </c>
      <c r="N69" s="127">
        <v>0</v>
      </c>
      <c r="O69" s="127">
        <v>0</v>
      </c>
      <c r="P69" s="127">
        <v>0</v>
      </c>
      <c r="Q69" s="127">
        <v>0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271</v>
      </c>
      <c r="Z69" s="127">
        <v>0</v>
      </c>
      <c r="AA69" s="127">
        <v>0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>
        <v>0</v>
      </c>
      <c r="AH69" s="127">
        <v>0</v>
      </c>
      <c r="AI69" s="127">
        <v>0</v>
      </c>
      <c r="AJ69" s="127">
        <v>0</v>
      </c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">
      <c r="A70" t="s">
        <v>147</v>
      </c>
      <c r="B70" t="s">
        <v>148</v>
      </c>
      <c r="C70">
        <v>27</v>
      </c>
      <c r="D70" t="s">
        <v>142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>
        <v>0</v>
      </c>
      <c r="AH70" s="127">
        <v>0</v>
      </c>
      <c r="AI70" s="127">
        <v>0</v>
      </c>
      <c r="AJ70" s="127">
        <v>0</v>
      </c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">
      <c r="A71" t="s">
        <v>147</v>
      </c>
      <c r="B71" t="s">
        <v>148</v>
      </c>
      <c r="C71">
        <v>28</v>
      </c>
      <c r="D71" t="s">
        <v>143</v>
      </c>
      <c r="E71" s="14">
        <v>-13844588</v>
      </c>
      <c r="F71" s="14">
        <v>-2074179.05</v>
      </c>
      <c r="G71" s="127">
        <v>-6642245</v>
      </c>
      <c r="H71" s="127">
        <v>-648699.80000000005</v>
      </c>
      <c r="I71" s="127">
        <v>16975</v>
      </c>
      <c r="J71" s="127">
        <v>15728.39</v>
      </c>
      <c r="K71" s="127">
        <v>0</v>
      </c>
      <c r="L71" s="127">
        <v>205468.06</v>
      </c>
      <c r="M71" s="127">
        <v>146842</v>
      </c>
      <c r="N71" s="127">
        <v>15962.55</v>
      </c>
      <c r="O71" s="127">
        <v>0</v>
      </c>
      <c r="P71" s="127">
        <v>-0.01</v>
      </c>
      <c r="Q71" s="127">
        <v>-7294</v>
      </c>
      <c r="R71" s="127">
        <v>-729.4</v>
      </c>
      <c r="S71" s="127">
        <v>0</v>
      </c>
      <c r="T71" s="127">
        <v>915265.97</v>
      </c>
      <c r="U71" s="127">
        <v>-26251</v>
      </c>
      <c r="V71" s="127">
        <v>-917891.08</v>
      </c>
      <c r="W71" s="127">
        <v>123679</v>
      </c>
      <c r="X71" s="127">
        <v>12367.91</v>
      </c>
      <c r="Y71" s="127">
        <v>0</v>
      </c>
      <c r="Z71" s="127">
        <v>-0.01</v>
      </c>
      <c r="AA71" s="127">
        <v>0</v>
      </c>
      <c r="AB71" s="127">
        <v>0</v>
      </c>
      <c r="AC71" s="127">
        <v>0</v>
      </c>
      <c r="AD71" s="127">
        <v>0.01</v>
      </c>
      <c r="AE71" s="127">
        <v>0</v>
      </c>
      <c r="AF71" s="127">
        <v>0</v>
      </c>
      <c r="AG71" s="127">
        <v>0</v>
      </c>
      <c r="AH71" s="127">
        <v>-2053.8200000000002</v>
      </c>
      <c r="AI71" s="127">
        <v>0</v>
      </c>
      <c r="AJ71" s="127">
        <v>0</v>
      </c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">
      <c r="A72" t="s">
        <v>147</v>
      </c>
      <c r="B72" t="s">
        <v>148</v>
      </c>
      <c r="C72">
        <v>29</v>
      </c>
      <c r="D72" t="s">
        <v>144</v>
      </c>
      <c r="E72" s="14">
        <v>13684688</v>
      </c>
      <c r="F72" s="14">
        <v>1852221</v>
      </c>
      <c r="G72" s="127">
        <v>7066304</v>
      </c>
      <c r="H72" s="127">
        <v>211056.17</v>
      </c>
      <c r="I72" s="127">
        <v>-108848</v>
      </c>
      <c r="J72" s="127">
        <v>-15779.32</v>
      </c>
      <c r="K72" s="127">
        <v>0</v>
      </c>
      <c r="L72" s="127">
        <v>0.01</v>
      </c>
      <c r="M72" s="127">
        <v>-140680</v>
      </c>
      <c r="N72" s="127">
        <v>-11778</v>
      </c>
      <c r="O72" s="127">
        <v>0</v>
      </c>
      <c r="P72" s="127">
        <v>0</v>
      </c>
      <c r="Q72" s="127">
        <v>7294</v>
      </c>
      <c r="R72" s="127">
        <v>729.4</v>
      </c>
      <c r="S72" s="127">
        <v>0</v>
      </c>
      <c r="T72" s="127">
        <v>-915265.97</v>
      </c>
      <c r="U72" s="127">
        <v>26251</v>
      </c>
      <c r="V72" s="127">
        <v>917891.07</v>
      </c>
      <c r="W72" s="127">
        <v>-123679</v>
      </c>
      <c r="X72" s="127">
        <v>-12367.9</v>
      </c>
      <c r="Y72" s="127">
        <v>0</v>
      </c>
      <c r="Z72" s="127">
        <v>0.01</v>
      </c>
      <c r="AA72" s="127">
        <v>0</v>
      </c>
      <c r="AB72" s="127">
        <v>-0.01</v>
      </c>
      <c r="AC72" s="127">
        <v>0</v>
      </c>
      <c r="AD72" s="127">
        <v>0</v>
      </c>
      <c r="AE72" s="127">
        <v>0</v>
      </c>
      <c r="AF72" s="127">
        <v>0</v>
      </c>
      <c r="AG72" s="127">
        <v>0</v>
      </c>
      <c r="AH72" s="127">
        <v>0</v>
      </c>
      <c r="AI72" s="127">
        <v>0</v>
      </c>
      <c r="AJ72" s="127">
        <v>2053.8200000000002</v>
      </c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">
      <c r="A73" t="s">
        <v>147</v>
      </c>
      <c r="B73" t="s">
        <v>148</v>
      </c>
      <c r="C73">
        <v>30</v>
      </c>
      <c r="D73" t="s">
        <v>145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>
        <v>0</v>
      </c>
      <c r="AH73" s="127">
        <v>0</v>
      </c>
      <c r="AI73" s="127">
        <v>0</v>
      </c>
      <c r="AJ73" s="127">
        <v>0</v>
      </c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">
      <c r="A74" t="s">
        <v>147</v>
      </c>
      <c r="B74" t="s">
        <v>148</v>
      </c>
      <c r="C74">
        <v>31</v>
      </c>
      <c r="D74" t="s">
        <v>146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>
        <v>0</v>
      </c>
      <c r="AH74" s="127">
        <v>0</v>
      </c>
      <c r="AI74" s="127">
        <v>0</v>
      </c>
      <c r="AJ74" s="127">
        <v>0</v>
      </c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">
      <c r="A75" t="s">
        <v>147</v>
      </c>
      <c r="B75" t="s">
        <v>148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>
        <v>0</v>
      </c>
      <c r="AH75" s="127">
        <v>0</v>
      </c>
      <c r="AI75" s="127">
        <v>0</v>
      </c>
      <c r="AJ75" s="127">
        <v>0</v>
      </c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">
      <c r="A76" t="s">
        <v>147</v>
      </c>
      <c r="B76" t="s">
        <v>148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>
        <v>0</v>
      </c>
      <c r="AH76" s="127">
        <v>0</v>
      </c>
      <c r="AI76" s="127">
        <v>0</v>
      </c>
      <c r="AJ76" s="127">
        <v>0</v>
      </c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">
      <c r="A77" t="s">
        <v>147</v>
      </c>
      <c r="B77" t="s">
        <v>148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>
        <v>0</v>
      </c>
      <c r="AH77" s="127">
        <v>0</v>
      </c>
      <c r="AI77" s="127">
        <v>0</v>
      </c>
      <c r="AJ77" s="127">
        <v>0</v>
      </c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">
      <c r="A78" t="s">
        <v>147</v>
      </c>
      <c r="B78" t="s">
        <v>148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>
        <v>0</v>
      </c>
      <c r="AH78" s="127">
        <v>0</v>
      </c>
      <c r="AI78" s="127">
        <v>0</v>
      </c>
      <c r="AJ78" s="127">
        <v>0</v>
      </c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">
      <c r="A79" t="s">
        <v>147</v>
      </c>
      <c r="B79" t="s">
        <v>148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>
        <v>0</v>
      </c>
      <c r="AH79" s="127">
        <v>0</v>
      </c>
      <c r="AI79" s="127">
        <v>0</v>
      </c>
      <c r="AJ79" s="127">
        <v>0</v>
      </c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">
      <c r="A80" t="s">
        <v>147</v>
      </c>
      <c r="B80" t="s">
        <v>148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>
        <v>0</v>
      </c>
      <c r="AH80" s="127">
        <v>0</v>
      </c>
      <c r="AI80" s="127">
        <v>0</v>
      </c>
      <c r="AJ80" s="127">
        <v>0</v>
      </c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">
      <c r="A81" t="s">
        <v>147</v>
      </c>
      <c r="B81" t="s">
        <v>148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>
        <v>0</v>
      </c>
      <c r="AH81" s="127">
        <v>0</v>
      </c>
      <c r="AI81" s="127">
        <v>0</v>
      </c>
      <c r="AJ81" s="127">
        <v>0</v>
      </c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">
      <c r="A82" t="s">
        <v>147</v>
      </c>
      <c r="B82" t="s">
        <v>148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">
      <c r="A83" t="s">
        <v>147</v>
      </c>
      <c r="B83" t="s">
        <v>148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">
      <c r="A84" t="s">
        <v>149</v>
      </c>
      <c r="B84" t="s">
        <v>123</v>
      </c>
      <c r="C84">
        <v>1</v>
      </c>
      <c r="D84" t="s">
        <v>29</v>
      </c>
      <c r="E84" s="14">
        <v>5527229</v>
      </c>
      <c r="F84" s="14">
        <v>6091426.4100000001</v>
      </c>
      <c r="G84" s="127">
        <v>12500</v>
      </c>
      <c r="H84" s="127">
        <v>2142477.41</v>
      </c>
      <c r="I84" s="127">
        <v>0</v>
      </c>
      <c r="J84" s="127">
        <v>1717951.16</v>
      </c>
      <c r="K84" s="127">
        <v>0</v>
      </c>
      <c r="L84" s="127">
        <v>0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-3849290</v>
      </c>
      <c r="U84" s="127">
        <v>0</v>
      </c>
      <c r="V84" s="127">
        <v>0</v>
      </c>
      <c r="W84" s="127">
        <v>0</v>
      </c>
      <c r="X84" s="127">
        <v>0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>
        <v>0</v>
      </c>
      <c r="AH84" s="127">
        <v>0</v>
      </c>
      <c r="AI84" s="127">
        <v>0</v>
      </c>
      <c r="AJ84" s="127">
        <v>0</v>
      </c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">
      <c r="A85" t="s">
        <v>149</v>
      </c>
      <c r="B85" t="s">
        <v>123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>
        <v>0</v>
      </c>
      <c r="AH85" s="127">
        <v>0</v>
      </c>
      <c r="AI85" s="127">
        <v>0</v>
      </c>
      <c r="AJ85" s="127">
        <v>0</v>
      </c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">
      <c r="A86" t="s">
        <v>149</v>
      </c>
      <c r="B86" t="s">
        <v>123</v>
      </c>
      <c r="C86">
        <v>3</v>
      </c>
      <c r="D86" t="s">
        <v>31</v>
      </c>
      <c r="E86" s="14">
        <v>11170675</v>
      </c>
      <c r="F86" s="14">
        <v>22517317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>
        <v>0</v>
      </c>
      <c r="AH86" s="127">
        <v>0</v>
      </c>
      <c r="AI86" s="127">
        <v>0</v>
      </c>
      <c r="AJ86" s="127">
        <v>0</v>
      </c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">
      <c r="A87" t="s">
        <v>149</v>
      </c>
      <c r="B87" t="s">
        <v>123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>
        <v>0</v>
      </c>
      <c r="AH87" s="127">
        <v>0</v>
      </c>
      <c r="AI87" s="127">
        <v>0</v>
      </c>
      <c r="AJ87" s="127">
        <v>0</v>
      </c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">
      <c r="A88" t="s">
        <v>149</v>
      </c>
      <c r="B88" t="s">
        <v>123</v>
      </c>
      <c r="C88">
        <v>5</v>
      </c>
      <c r="D88" t="s">
        <v>134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>
        <v>0</v>
      </c>
      <c r="AH88" s="127">
        <v>0</v>
      </c>
      <c r="AI88" s="127">
        <v>0</v>
      </c>
      <c r="AJ88" s="127">
        <v>0</v>
      </c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">
      <c r="A89" t="s">
        <v>149</v>
      </c>
      <c r="B89" t="s">
        <v>123</v>
      </c>
      <c r="C89">
        <v>6</v>
      </c>
      <c r="D89" t="s">
        <v>29</v>
      </c>
      <c r="E89" s="14">
        <v>-3132663</v>
      </c>
      <c r="F89" s="14">
        <v>-2550786.42</v>
      </c>
      <c r="G89" s="127">
        <v>-14000</v>
      </c>
      <c r="H89" s="127">
        <v>-9115</v>
      </c>
      <c r="I89" s="127">
        <v>1214</v>
      </c>
      <c r="J89" s="127">
        <v>-218625.86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">
      <c r="A90" t="s">
        <v>149</v>
      </c>
      <c r="B90" t="s">
        <v>123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>
        <v>0</v>
      </c>
      <c r="AH90" s="127">
        <v>0</v>
      </c>
      <c r="AI90" s="127">
        <v>0</v>
      </c>
      <c r="AJ90" s="127">
        <v>0</v>
      </c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">
      <c r="A91" t="s">
        <v>149</v>
      </c>
      <c r="B91" t="s">
        <v>123</v>
      </c>
      <c r="C91">
        <v>8</v>
      </c>
      <c r="D91" t="s">
        <v>31</v>
      </c>
      <c r="E91" s="14">
        <v>-13053354</v>
      </c>
      <c r="F91" s="14">
        <v>-25305233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>
        <v>0</v>
      </c>
      <c r="AH91" s="127">
        <v>0</v>
      </c>
      <c r="AI91" s="127">
        <v>0</v>
      </c>
      <c r="AJ91" s="127">
        <v>0</v>
      </c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">
      <c r="A92" t="s">
        <v>149</v>
      </c>
      <c r="B92" t="s">
        <v>123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>
        <v>0</v>
      </c>
      <c r="AJ92" s="127">
        <v>0</v>
      </c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">
      <c r="A93" t="s">
        <v>149</v>
      </c>
      <c r="B93" t="s">
        <v>123</v>
      </c>
      <c r="C93">
        <v>10</v>
      </c>
      <c r="D93" t="s">
        <v>36</v>
      </c>
      <c r="E93" s="14">
        <v>1</v>
      </c>
      <c r="F93" s="14">
        <v>1.62</v>
      </c>
      <c r="G93" s="127">
        <v>-1</v>
      </c>
      <c r="H93" s="127">
        <v>-1.6160000000000001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>
        <v>0</v>
      </c>
      <c r="AH93" s="127">
        <v>0</v>
      </c>
      <c r="AI93" s="127">
        <v>0</v>
      </c>
      <c r="AJ93" s="127">
        <v>0</v>
      </c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">
      <c r="A94" t="s">
        <v>149</v>
      </c>
      <c r="B94" t="s">
        <v>123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>
        <v>0</v>
      </c>
      <c r="AH94" s="127">
        <v>0</v>
      </c>
      <c r="AI94" s="127">
        <v>0</v>
      </c>
      <c r="AJ94" s="127">
        <v>0</v>
      </c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">
      <c r="A95" t="s">
        <v>149</v>
      </c>
      <c r="B95" t="s">
        <v>123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>
        <v>0</v>
      </c>
      <c r="AH95" s="127">
        <v>0</v>
      </c>
      <c r="AI95" s="127">
        <v>0</v>
      </c>
      <c r="AJ95" s="127">
        <v>0</v>
      </c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">
      <c r="A96" t="s">
        <v>149</v>
      </c>
      <c r="B96" t="s">
        <v>123</v>
      </c>
      <c r="C96">
        <v>13</v>
      </c>
      <c r="D96" t="s">
        <v>43</v>
      </c>
      <c r="E96" s="14">
        <v>0</v>
      </c>
      <c r="F96" s="14">
        <v>0</v>
      </c>
      <c r="G96" s="127">
        <v>1</v>
      </c>
      <c r="H96" s="127">
        <v>1.62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>
        <v>0</v>
      </c>
      <c r="AH96" s="127">
        <v>0</v>
      </c>
      <c r="AI96" s="127">
        <v>0</v>
      </c>
      <c r="AJ96" s="127">
        <v>0</v>
      </c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">
      <c r="A97" t="s">
        <v>149</v>
      </c>
      <c r="B97" t="s">
        <v>123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0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>
        <v>0</v>
      </c>
      <c r="AH97" s="127">
        <v>0</v>
      </c>
      <c r="AI97" s="127">
        <v>0</v>
      </c>
      <c r="AJ97" s="127">
        <v>0</v>
      </c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">
      <c r="A98" t="s">
        <v>149</v>
      </c>
      <c r="B98" t="s">
        <v>123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>
        <v>0</v>
      </c>
      <c r="AH98" s="127">
        <v>0</v>
      </c>
      <c r="AI98" s="127">
        <v>0</v>
      </c>
      <c r="AJ98" s="127">
        <v>0</v>
      </c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">
      <c r="A99" t="s">
        <v>149</v>
      </c>
      <c r="B99" t="s">
        <v>123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>
        <v>0</v>
      </c>
      <c r="AH99" s="127">
        <v>0</v>
      </c>
      <c r="AI99" s="127">
        <v>0</v>
      </c>
      <c r="AJ99" s="127">
        <v>0</v>
      </c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">
      <c r="A100" t="s">
        <v>149</v>
      </c>
      <c r="B100" t="s">
        <v>123</v>
      </c>
      <c r="C100">
        <v>17</v>
      </c>
      <c r="D100" t="s">
        <v>135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>
        <v>0</v>
      </c>
      <c r="AH100" s="127">
        <v>0</v>
      </c>
      <c r="AI100" s="127">
        <v>0</v>
      </c>
      <c r="AJ100" s="127">
        <v>0</v>
      </c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">
      <c r="A101" t="s">
        <v>149</v>
      </c>
      <c r="B101" t="s">
        <v>123</v>
      </c>
      <c r="C101">
        <v>18</v>
      </c>
      <c r="D101" t="s">
        <v>136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-773457</v>
      </c>
      <c r="T101" s="127">
        <v>-0.03</v>
      </c>
      <c r="U101" s="127">
        <v>0</v>
      </c>
      <c r="V101" s="127">
        <v>0</v>
      </c>
      <c r="W101" s="127">
        <v>0</v>
      </c>
      <c r="X101" s="127">
        <v>0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>
        <v>0</v>
      </c>
      <c r="AH101" s="127">
        <v>0</v>
      </c>
      <c r="AI101" s="127">
        <v>0</v>
      </c>
      <c r="AJ101" s="127">
        <v>0</v>
      </c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">
      <c r="A102" t="s">
        <v>149</v>
      </c>
      <c r="B102" t="s">
        <v>123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>
        <v>0</v>
      </c>
      <c r="AH102" s="127">
        <v>0</v>
      </c>
      <c r="AI102" s="127">
        <v>0</v>
      </c>
      <c r="AJ102" s="127">
        <v>0</v>
      </c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">
      <c r="A103" t="s">
        <v>149</v>
      </c>
      <c r="B103" t="s">
        <v>123</v>
      </c>
      <c r="C103">
        <v>20</v>
      </c>
      <c r="D103" t="s">
        <v>137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>
        <v>0</v>
      </c>
      <c r="AH103" s="127">
        <v>0</v>
      </c>
      <c r="AI103" s="127">
        <v>0</v>
      </c>
      <c r="AJ103" s="127">
        <v>0</v>
      </c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">
      <c r="A104" t="s">
        <v>149</v>
      </c>
      <c r="B104" t="s">
        <v>123</v>
      </c>
      <c r="C104">
        <v>21</v>
      </c>
      <c r="D104" t="s">
        <v>138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>
        <v>0</v>
      </c>
      <c r="AH104" s="127">
        <v>0</v>
      </c>
      <c r="AI104" s="127">
        <v>0</v>
      </c>
      <c r="AJ104" s="127">
        <v>0</v>
      </c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">
      <c r="A105" t="s">
        <v>149</v>
      </c>
      <c r="B105" t="s">
        <v>123</v>
      </c>
      <c r="C105">
        <v>22</v>
      </c>
      <c r="D105" t="s">
        <v>139</v>
      </c>
      <c r="E105" s="14">
        <v>-511888</v>
      </c>
      <c r="F105" s="14">
        <v>-827211.00800000003</v>
      </c>
      <c r="G105" s="127">
        <v>1500</v>
      </c>
      <c r="H105" s="127">
        <v>2424</v>
      </c>
      <c r="I105" s="127">
        <v>-1214</v>
      </c>
      <c r="J105" s="127">
        <v>-1961.8240000000001</v>
      </c>
      <c r="K105" s="127">
        <v>0</v>
      </c>
      <c r="L105" s="127">
        <v>0</v>
      </c>
      <c r="M105" s="127">
        <v>0</v>
      </c>
      <c r="N105" s="127">
        <v>0</v>
      </c>
      <c r="O105" s="127">
        <v>0</v>
      </c>
      <c r="P105" s="127">
        <v>0</v>
      </c>
      <c r="Q105" s="127">
        <v>0</v>
      </c>
      <c r="R105" s="127">
        <v>0</v>
      </c>
      <c r="S105" s="127">
        <v>773457</v>
      </c>
      <c r="T105" s="127">
        <v>1249906.5120000001</v>
      </c>
      <c r="U105" s="127">
        <v>0</v>
      </c>
      <c r="V105" s="127">
        <v>0</v>
      </c>
      <c r="W105" s="127">
        <v>0</v>
      </c>
      <c r="X105" s="127">
        <v>0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>
        <v>0</v>
      </c>
      <c r="AH105" s="127">
        <v>0</v>
      </c>
      <c r="AI105" s="127">
        <v>0</v>
      </c>
      <c r="AJ105" s="127">
        <v>0</v>
      </c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">
      <c r="A106" t="s">
        <v>149</v>
      </c>
      <c r="B106" t="s">
        <v>123</v>
      </c>
      <c r="C106">
        <v>23</v>
      </c>
      <c r="D106" t="s">
        <v>140</v>
      </c>
      <c r="E106" s="14">
        <v>-1</v>
      </c>
      <c r="F106" s="14">
        <v>-1.62</v>
      </c>
      <c r="G106" s="127">
        <v>1</v>
      </c>
      <c r="H106" s="127">
        <v>1.6160000000000001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316085</v>
      </c>
      <c r="T106" s="127">
        <v>0</v>
      </c>
      <c r="U106" s="127">
        <v>0</v>
      </c>
      <c r="V106" s="127">
        <v>0</v>
      </c>
      <c r="W106" s="127">
        <v>0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>
        <v>0</v>
      </c>
      <c r="AH106" s="127">
        <v>0</v>
      </c>
      <c r="AI106" s="127">
        <v>0</v>
      </c>
      <c r="AJ106" s="127">
        <v>0</v>
      </c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">
      <c r="A107" t="s">
        <v>149</v>
      </c>
      <c r="B107" t="s">
        <v>123</v>
      </c>
      <c r="C107">
        <v>24</v>
      </c>
      <c r="D107" t="s">
        <v>59</v>
      </c>
      <c r="E107" s="14">
        <v>-21071</v>
      </c>
      <c r="F107" s="14">
        <v>-310.47000000000003</v>
      </c>
      <c r="G107" s="127">
        <v>0</v>
      </c>
      <c r="H107" s="127">
        <v>-0.56999999999999995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>
        <v>0</v>
      </c>
      <c r="AH107" s="127">
        <v>0</v>
      </c>
      <c r="AI107" s="127">
        <v>0</v>
      </c>
      <c r="AJ107" s="127">
        <v>0</v>
      </c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">
      <c r="A108" t="s">
        <v>149</v>
      </c>
      <c r="B108" t="s">
        <v>123</v>
      </c>
      <c r="C108">
        <v>25</v>
      </c>
      <c r="D108" t="s">
        <v>60</v>
      </c>
      <c r="E108" s="14">
        <v>0</v>
      </c>
      <c r="F108" s="14">
        <v>-5506.48</v>
      </c>
      <c r="G108" s="127">
        <v>0</v>
      </c>
      <c r="H108" s="127">
        <v>-0.3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>
        <v>0</v>
      </c>
      <c r="AJ108" s="127">
        <v>0</v>
      </c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">
      <c r="A109" t="s">
        <v>149</v>
      </c>
      <c r="B109" t="s">
        <v>123</v>
      </c>
      <c r="C109">
        <v>26</v>
      </c>
      <c r="D109" t="s">
        <v>141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>
        <v>0</v>
      </c>
      <c r="AH109" s="127">
        <v>0</v>
      </c>
      <c r="AI109" s="127">
        <v>0</v>
      </c>
      <c r="AJ109" s="127">
        <v>0</v>
      </c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">
      <c r="A110" t="s">
        <v>149</v>
      </c>
      <c r="B110" t="s">
        <v>123</v>
      </c>
      <c r="C110">
        <v>27</v>
      </c>
      <c r="D110" t="s">
        <v>142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>
        <v>0</v>
      </c>
      <c r="AH110" s="127">
        <v>0</v>
      </c>
      <c r="AI110" s="127">
        <v>0</v>
      </c>
      <c r="AJ110" s="127">
        <v>0</v>
      </c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">
      <c r="A111" t="s">
        <v>149</v>
      </c>
      <c r="B111" t="s">
        <v>123</v>
      </c>
      <c r="C111">
        <v>28</v>
      </c>
      <c r="D111" t="s">
        <v>143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>
        <v>0</v>
      </c>
      <c r="AH111" s="127">
        <v>0</v>
      </c>
      <c r="AI111" s="127">
        <v>0</v>
      </c>
      <c r="AJ111" s="127">
        <v>0</v>
      </c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">
      <c r="A112" t="s">
        <v>149</v>
      </c>
      <c r="B112" t="s">
        <v>123</v>
      </c>
      <c r="C112">
        <v>29</v>
      </c>
      <c r="D112" t="s">
        <v>144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>
        <v>0</v>
      </c>
      <c r="AH112" s="127">
        <v>0</v>
      </c>
      <c r="AI112" s="127">
        <v>0</v>
      </c>
      <c r="AJ112" s="127">
        <v>0</v>
      </c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">
      <c r="A113" t="s">
        <v>149</v>
      </c>
      <c r="B113" t="s">
        <v>123</v>
      </c>
      <c r="C113">
        <v>30</v>
      </c>
      <c r="D113" t="s">
        <v>145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>
        <v>0</v>
      </c>
      <c r="AH113" s="127">
        <v>0</v>
      </c>
      <c r="AI113" s="127">
        <v>0</v>
      </c>
      <c r="AJ113" s="127">
        <v>0</v>
      </c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">
      <c r="A114" t="s">
        <v>149</v>
      </c>
      <c r="B114" t="s">
        <v>123</v>
      </c>
      <c r="C114">
        <v>31</v>
      </c>
      <c r="D114" t="s">
        <v>146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>
        <v>0</v>
      </c>
      <c r="AH114" s="127">
        <v>0</v>
      </c>
      <c r="AI114" s="127">
        <v>0</v>
      </c>
      <c r="AJ114" s="127">
        <v>0</v>
      </c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">
      <c r="A115" t="s">
        <v>149</v>
      </c>
      <c r="B115" t="s">
        <v>123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>
        <v>0</v>
      </c>
      <c r="AH115" s="127">
        <v>0</v>
      </c>
      <c r="AI115" s="127">
        <v>0</v>
      </c>
      <c r="AJ115" s="127">
        <v>0</v>
      </c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">
      <c r="A116" t="s">
        <v>149</v>
      </c>
      <c r="B116" t="s">
        <v>123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>
        <v>0</v>
      </c>
      <c r="AH116" s="127">
        <v>0</v>
      </c>
      <c r="AI116" s="127">
        <v>0</v>
      </c>
      <c r="AJ116" s="127">
        <v>0</v>
      </c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">
      <c r="A117" t="s">
        <v>149</v>
      </c>
      <c r="B117" t="s">
        <v>123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>
        <v>0</v>
      </c>
      <c r="AH117" s="127">
        <v>0</v>
      </c>
      <c r="AI117" s="127">
        <v>0</v>
      </c>
      <c r="AJ117" s="127">
        <v>0</v>
      </c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">
      <c r="A118" t="s">
        <v>149</v>
      </c>
      <c r="B118" t="s">
        <v>123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>
        <v>0</v>
      </c>
      <c r="AH118" s="127">
        <v>0</v>
      </c>
      <c r="AI118" s="127">
        <v>0</v>
      </c>
      <c r="AJ118" s="127">
        <v>0</v>
      </c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">
      <c r="A119" t="s">
        <v>149</v>
      </c>
      <c r="B119" t="s">
        <v>123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>
        <v>0</v>
      </c>
      <c r="AH119" s="127">
        <v>0</v>
      </c>
      <c r="AI119" s="127">
        <v>0</v>
      </c>
      <c r="AJ119" s="127">
        <v>0</v>
      </c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">
      <c r="A120" t="s">
        <v>149</v>
      </c>
      <c r="B120" t="s">
        <v>123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>
        <v>0</v>
      </c>
      <c r="AH120" s="127">
        <v>0</v>
      </c>
      <c r="AI120" s="127">
        <v>0</v>
      </c>
      <c r="AJ120" s="127">
        <v>0</v>
      </c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">
      <c r="A121" t="s">
        <v>149</v>
      </c>
      <c r="B121" t="s">
        <v>123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>
        <v>0</v>
      </c>
      <c r="AJ121" s="127">
        <v>0</v>
      </c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">
      <c r="A122" t="s">
        <v>149</v>
      </c>
      <c r="B122" t="s">
        <v>123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>
        <v>0</v>
      </c>
      <c r="AH122" s="127">
        <v>0</v>
      </c>
      <c r="AI122" s="127">
        <v>0</v>
      </c>
      <c r="AJ122" s="127">
        <v>0</v>
      </c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">
      <c r="A123" t="s">
        <v>149</v>
      </c>
      <c r="B123" t="s">
        <v>123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>
        <v>0</v>
      </c>
      <c r="AH123" s="127">
        <v>0</v>
      </c>
      <c r="AI123" s="127">
        <v>0</v>
      </c>
      <c r="AJ123" s="127">
        <v>0</v>
      </c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">
      <c r="A124" t="s">
        <v>149</v>
      </c>
      <c r="B124" t="s">
        <v>150</v>
      </c>
      <c r="C124">
        <v>1</v>
      </c>
      <c r="D124" t="s">
        <v>29</v>
      </c>
      <c r="E124" s="14">
        <v>44702204</v>
      </c>
      <c r="F124" s="14">
        <v>88985236.590000004</v>
      </c>
      <c r="G124" s="127">
        <v>3664432</v>
      </c>
      <c r="H124" s="127">
        <v>8007989.2400000002</v>
      </c>
      <c r="I124" s="127">
        <v>43968</v>
      </c>
      <c r="J124" s="127">
        <v>177131.66</v>
      </c>
      <c r="K124" s="127">
        <v>-5000</v>
      </c>
      <c r="L124" s="127">
        <v>-29287.5</v>
      </c>
      <c r="M124" s="127">
        <v>12175</v>
      </c>
      <c r="N124" s="127">
        <v>25275.27</v>
      </c>
      <c r="O124" s="127">
        <v>0</v>
      </c>
      <c r="P124" s="127">
        <v>-331643.06</v>
      </c>
      <c r="Q124" s="127">
        <v>0</v>
      </c>
      <c r="R124" s="127">
        <v>0</v>
      </c>
      <c r="S124" s="127">
        <v>4</v>
      </c>
      <c r="T124" s="127">
        <v>-99855.06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>
        <v>0</v>
      </c>
      <c r="AH124" s="127">
        <v>0</v>
      </c>
      <c r="AI124" s="127">
        <v>0</v>
      </c>
      <c r="AJ124" s="127">
        <v>0</v>
      </c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">
      <c r="A125" t="s">
        <v>149</v>
      </c>
      <c r="B125" t="s">
        <v>150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>
        <v>0</v>
      </c>
      <c r="AH125" s="127">
        <v>0</v>
      </c>
      <c r="AI125" s="127">
        <v>0</v>
      </c>
      <c r="AJ125" s="127">
        <v>0</v>
      </c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">
      <c r="A126" t="s">
        <v>149</v>
      </c>
      <c r="B126" t="s">
        <v>150</v>
      </c>
      <c r="C126">
        <v>3</v>
      </c>
      <c r="D126" t="s">
        <v>31</v>
      </c>
      <c r="E126" s="14">
        <v>14613967</v>
      </c>
      <c r="F126" s="14">
        <v>25364445</v>
      </c>
      <c r="G126" s="127">
        <v>-88716</v>
      </c>
      <c r="H126" s="127">
        <v>-147006</v>
      </c>
      <c r="I126" s="127">
        <v>0</v>
      </c>
      <c r="J126" s="127">
        <v>0</v>
      </c>
      <c r="K126" s="127">
        <v>0</v>
      </c>
      <c r="L126" s="127">
        <v>0</v>
      </c>
      <c r="M126" s="127">
        <v>0</v>
      </c>
      <c r="N126" s="127">
        <v>0</v>
      </c>
      <c r="O126" s="127">
        <v>-79</v>
      </c>
      <c r="P126" s="127">
        <v>-125</v>
      </c>
      <c r="Q126" s="127">
        <v>0</v>
      </c>
      <c r="R126" s="127">
        <v>0</v>
      </c>
      <c r="S126" s="127">
        <v>75529</v>
      </c>
      <c r="T126" s="127">
        <v>125643</v>
      </c>
      <c r="U126" s="127">
        <v>75608</v>
      </c>
      <c r="V126" s="127">
        <v>125769</v>
      </c>
      <c r="W126" s="127">
        <v>-62342</v>
      </c>
      <c r="X126" s="127">
        <v>-104281</v>
      </c>
      <c r="Y126" s="127">
        <v>0</v>
      </c>
      <c r="Z126" s="127">
        <v>0</v>
      </c>
      <c r="AA126" s="127">
        <v>0</v>
      </c>
      <c r="AB126" s="127">
        <v>0</v>
      </c>
      <c r="AC126" s="127">
        <v>0</v>
      </c>
      <c r="AD126" s="127">
        <v>0</v>
      </c>
      <c r="AE126" s="127">
        <v>0</v>
      </c>
      <c r="AF126" s="127">
        <v>0</v>
      </c>
      <c r="AG126" s="127">
        <v>0</v>
      </c>
      <c r="AH126" s="127">
        <v>0</v>
      </c>
      <c r="AI126" s="127">
        <v>0</v>
      </c>
      <c r="AJ126" s="127">
        <v>0</v>
      </c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">
      <c r="A127" t="s">
        <v>149</v>
      </c>
      <c r="B127" t="s">
        <v>150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>
        <v>0</v>
      </c>
      <c r="AH127" s="127">
        <v>0</v>
      </c>
      <c r="AI127" s="127">
        <v>0</v>
      </c>
      <c r="AJ127" s="127">
        <v>0</v>
      </c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">
      <c r="A128" t="s">
        <v>149</v>
      </c>
      <c r="B128" t="s">
        <v>150</v>
      </c>
      <c r="C128">
        <v>5</v>
      </c>
      <c r="D128" t="s">
        <v>134</v>
      </c>
      <c r="E128" s="14">
        <v>0</v>
      </c>
      <c r="F128" s="14">
        <v>0</v>
      </c>
      <c r="G128" s="127">
        <v>0</v>
      </c>
      <c r="H128" s="127">
        <v>0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>
        <v>0</v>
      </c>
      <c r="AJ128" s="127">
        <v>0</v>
      </c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">
      <c r="A129" t="s">
        <v>149</v>
      </c>
      <c r="B129" t="s">
        <v>150</v>
      </c>
      <c r="C129">
        <v>6</v>
      </c>
      <c r="D129" t="s">
        <v>29</v>
      </c>
      <c r="E129" s="14">
        <v>-46537031</v>
      </c>
      <c r="F129" s="14">
        <v>-76578138.219999999</v>
      </c>
      <c r="G129" s="127">
        <v>42806</v>
      </c>
      <c r="H129" s="127">
        <v>254180.23</v>
      </c>
      <c r="I129" s="127">
        <v>5875</v>
      </c>
      <c r="J129" s="127">
        <v>3762.73</v>
      </c>
      <c r="K129" s="127">
        <v>0</v>
      </c>
      <c r="L129" s="127">
        <v>12331.86</v>
      </c>
      <c r="M129" s="127">
        <v>1092</v>
      </c>
      <c r="N129" s="127">
        <v>1386.84</v>
      </c>
      <c r="O129" s="127">
        <v>991473</v>
      </c>
      <c r="P129" s="127">
        <v>2056368.04</v>
      </c>
      <c r="Q129" s="127">
        <v>0</v>
      </c>
      <c r="R129" s="127">
        <v>0</v>
      </c>
      <c r="S129" s="127">
        <v>0</v>
      </c>
      <c r="T129" s="127">
        <v>18237.400000000001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>
        <v>0</v>
      </c>
      <c r="AH129" s="127">
        <v>0</v>
      </c>
      <c r="AI129" s="127">
        <v>0</v>
      </c>
      <c r="AJ129" s="127">
        <v>0</v>
      </c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">
      <c r="A130" t="s">
        <v>149</v>
      </c>
      <c r="B130" t="s">
        <v>150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>
        <v>0</v>
      </c>
      <c r="AH130" s="127">
        <v>0</v>
      </c>
      <c r="AI130" s="127">
        <v>0</v>
      </c>
      <c r="AJ130" s="127">
        <v>0</v>
      </c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">
      <c r="A131" t="s">
        <v>149</v>
      </c>
      <c r="B131" t="s">
        <v>150</v>
      </c>
      <c r="C131">
        <v>8</v>
      </c>
      <c r="D131" t="s">
        <v>31</v>
      </c>
      <c r="E131" s="14">
        <v>-15641448</v>
      </c>
      <c r="F131" s="14">
        <v>-27197858</v>
      </c>
      <c r="G131" s="127">
        <v>40214</v>
      </c>
      <c r="H131" s="127">
        <v>64467</v>
      </c>
      <c r="I131" s="127">
        <v>0</v>
      </c>
      <c r="J131" s="127">
        <v>0</v>
      </c>
      <c r="K131" s="127">
        <v>0</v>
      </c>
      <c r="L131" s="127">
        <v>0</v>
      </c>
      <c r="M131" s="127">
        <v>0</v>
      </c>
      <c r="N131" s="127">
        <v>0</v>
      </c>
      <c r="O131" s="127">
        <v>0</v>
      </c>
      <c r="P131" s="127">
        <v>0</v>
      </c>
      <c r="Q131" s="127">
        <v>0</v>
      </c>
      <c r="R131" s="127">
        <v>0</v>
      </c>
      <c r="S131" s="127">
        <v>-75529</v>
      </c>
      <c r="T131" s="127">
        <v>-125643</v>
      </c>
      <c r="U131" s="127">
        <v>-75608</v>
      </c>
      <c r="V131" s="127">
        <v>-125769</v>
      </c>
      <c r="W131" s="127">
        <v>110923</v>
      </c>
      <c r="X131" s="127">
        <v>186945</v>
      </c>
      <c r="Y131" s="127">
        <v>0</v>
      </c>
      <c r="Z131" s="127">
        <v>0</v>
      </c>
      <c r="AA131" s="127">
        <v>0</v>
      </c>
      <c r="AB131" s="127">
        <v>0</v>
      </c>
      <c r="AC131" s="127">
        <v>0</v>
      </c>
      <c r="AD131" s="127">
        <v>0</v>
      </c>
      <c r="AE131" s="127">
        <v>0</v>
      </c>
      <c r="AF131" s="127">
        <v>0</v>
      </c>
      <c r="AG131" s="127">
        <v>0</v>
      </c>
      <c r="AH131" s="127">
        <v>0</v>
      </c>
      <c r="AI131" s="127">
        <v>0</v>
      </c>
      <c r="AJ131" s="127">
        <v>0</v>
      </c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">
      <c r="A132" t="s">
        <v>149</v>
      </c>
      <c r="B132" t="s">
        <v>150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>
        <v>0</v>
      </c>
      <c r="AH132" s="127">
        <v>0</v>
      </c>
      <c r="AI132" s="127">
        <v>0</v>
      </c>
      <c r="AJ132" s="127">
        <v>0</v>
      </c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">
      <c r="A133" t="s">
        <v>149</v>
      </c>
      <c r="B133" t="s">
        <v>150</v>
      </c>
      <c r="C133">
        <v>10</v>
      </c>
      <c r="D133" t="s">
        <v>36</v>
      </c>
      <c r="E133" s="14">
        <v>339550</v>
      </c>
      <c r="F133" s="14">
        <v>543959.1</v>
      </c>
      <c r="G133" s="127">
        <v>127002</v>
      </c>
      <c r="H133" s="127">
        <v>203457.204</v>
      </c>
      <c r="I133" s="127">
        <v>0</v>
      </c>
      <c r="J133" s="127">
        <v>0</v>
      </c>
      <c r="K133" s="127">
        <v>136031</v>
      </c>
      <c r="L133" s="127">
        <v>217921.66200000001</v>
      </c>
      <c r="M133" s="127">
        <v>-161629</v>
      </c>
      <c r="N133" s="127">
        <v>-258929.658</v>
      </c>
      <c r="O133" s="127">
        <v>71</v>
      </c>
      <c r="P133" s="127">
        <v>113.742</v>
      </c>
      <c r="Q133" s="127">
        <v>-152698</v>
      </c>
      <c r="R133" s="127">
        <v>-244622.196</v>
      </c>
      <c r="S133" s="127">
        <v>0</v>
      </c>
      <c r="T133" s="127">
        <v>0</v>
      </c>
      <c r="U133" s="127">
        <v>0</v>
      </c>
      <c r="V133" s="127">
        <v>0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>
        <v>0</v>
      </c>
      <c r="AJ133" s="127">
        <v>0</v>
      </c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">
      <c r="A134" t="s">
        <v>149</v>
      </c>
      <c r="B134" t="s">
        <v>150</v>
      </c>
      <c r="C134">
        <v>11</v>
      </c>
      <c r="D134" t="s">
        <v>39</v>
      </c>
      <c r="E134" s="14">
        <v>5000</v>
      </c>
      <c r="F134" s="14">
        <v>8500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>
        <v>0</v>
      </c>
      <c r="AJ134" s="127">
        <v>0</v>
      </c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">
      <c r="A135" t="s">
        <v>149</v>
      </c>
      <c r="B135" t="s">
        <v>150</v>
      </c>
      <c r="C135">
        <v>12</v>
      </c>
      <c r="D135" t="s">
        <v>40</v>
      </c>
      <c r="E135" s="14">
        <v>-34159</v>
      </c>
      <c r="F135" s="14">
        <v>-54022.18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>
        <v>0</v>
      </c>
      <c r="AH135" s="127">
        <v>0</v>
      </c>
      <c r="AI135" s="127">
        <v>0</v>
      </c>
      <c r="AJ135" s="127">
        <v>0</v>
      </c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">
      <c r="A136" t="s">
        <v>149</v>
      </c>
      <c r="B136" t="s">
        <v>150</v>
      </c>
      <c r="C136">
        <v>13</v>
      </c>
      <c r="D136" t="s">
        <v>43</v>
      </c>
      <c r="E136" s="14">
        <v>-619741</v>
      </c>
      <c r="F136" s="14">
        <v>-992825.08</v>
      </c>
      <c r="G136" s="127">
        <v>331488</v>
      </c>
      <c r="H136" s="127">
        <v>477716.96899999998</v>
      </c>
      <c r="I136" s="127">
        <v>-8412</v>
      </c>
      <c r="J136" s="127">
        <v>-157134.77900000001</v>
      </c>
      <c r="K136" s="127">
        <v>-134159</v>
      </c>
      <c r="L136" s="127">
        <v>-259112.4332</v>
      </c>
      <c r="M136" s="127">
        <v>160587</v>
      </c>
      <c r="N136" s="127">
        <v>329807.76120000001</v>
      </c>
      <c r="O136" s="127">
        <v>-781</v>
      </c>
      <c r="P136" s="127">
        <v>-354061.90600000002</v>
      </c>
      <c r="Q136" s="127">
        <v>256151</v>
      </c>
      <c r="R136" s="127">
        <v>917475.29700000002</v>
      </c>
      <c r="S136" s="127">
        <v>0</v>
      </c>
      <c r="T136" s="127">
        <v>14316.913</v>
      </c>
      <c r="U136" s="127">
        <v>0</v>
      </c>
      <c r="V136" s="127">
        <v>0</v>
      </c>
      <c r="W136" s="127">
        <v>0</v>
      </c>
      <c r="X136" s="127">
        <v>0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>
        <v>0</v>
      </c>
      <c r="AH136" s="127">
        <v>0</v>
      </c>
      <c r="AI136" s="127">
        <v>0</v>
      </c>
      <c r="AJ136" s="127">
        <v>0</v>
      </c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">
      <c r="A137" t="s">
        <v>149</v>
      </c>
      <c r="B137" t="s">
        <v>150</v>
      </c>
      <c r="C137">
        <v>14</v>
      </c>
      <c r="D137" t="s">
        <v>44</v>
      </c>
      <c r="E137" s="14">
        <v>0</v>
      </c>
      <c r="F137" s="14">
        <v>0</v>
      </c>
      <c r="G137" s="127">
        <v>-26030</v>
      </c>
      <c r="H137" s="127">
        <v>-43991.97</v>
      </c>
      <c r="I137" s="127">
        <v>-39</v>
      </c>
      <c r="J137" s="127">
        <v>-66.53</v>
      </c>
      <c r="K137" s="127">
        <v>0</v>
      </c>
      <c r="L137" s="127">
        <v>0</v>
      </c>
      <c r="M137" s="127">
        <v>0</v>
      </c>
      <c r="N137" s="127">
        <v>0</v>
      </c>
      <c r="O137" s="127">
        <v>-2804</v>
      </c>
      <c r="P137" s="127">
        <v>-4653.5200000000004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>
        <v>0</v>
      </c>
      <c r="AH137" s="127">
        <v>0</v>
      </c>
      <c r="AI137" s="127">
        <v>0</v>
      </c>
      <c r="AJ137" s="127">
        <v>0</v>
      </c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">
      <c r="A138" t="s">
        <v>149</v>
      </c>
      <c r="B138" t="s">
        <v>150</v>
      </c>
      <c r="C138">
        <v>15</v>
      </c>
      <c r="D138" t="s">
        <v>45</v>
      </c>
      <c r="E138" s="14">
        <v>0</v>
      </c>
      <c r="F138" s="14">
        <v>0</v>
      </c>
      <c r="G138" s="127">
        <v>21091</v>
      </c>
      <c r="H138" s="127">
        <v>11133.85</v>
      </c>
      <c r="I138" s="127">
        <v>0</v>
      </c>
      <c r="J138" s="127">
        <v>0</v>
      </c>
      <c r="K138" s="127">
        <v>0</v>
      </c>
      <c r="L138" s="127">
        <v>0</v>
      </c>
      <c r="M138" s="127">
        <v>80</v>
      </c>
      <c r="N138" s="127">
        <v>153.26</v>
      </c>
      <c r="O138" s="127">
        <v>781</v>
      </c>
      <c r="P138" s="127">
        <v>1496.62</v>
      </c>
      <c r="Q138" s="127">
        <v>355</v>
      </c>
      <c r="R138" s="127">
        <v>701.79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>
        <v>0</v>
      </c>
      <c r="AH138" s="127">
        <v>0</v>
      </c>
      <c r="AI138" s="127">
        <v>0</v>
      </c>
      <c r="AJ138" s="127">
        <v>0</v>
      </c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">
      <c r="A139" t="s">
        <v>149</v>
      </c>
      <c r="B139" t="s">
        <v>150</v>
      </c>
      <c r="C139">
        <v>16</v>
      </c>
      <c r="D139" t="s">
        <v>46</v>
      </c>
      <c r="E139" s="14">
        <v>-50453</v>
      </c>
      <c r="F139" s="14">
        <v>-0.01</v>
      </c>
      <c r="G139" s="127">
        <v>998297</v>
      </c>
      <c r="H139" s="127">
        <v>0</v>
      </c>
      <c r="I139" s="127">
        <v>160635</v>
      </c>
      <c r="J139" s="127">
        <v>0</v>
      </c>
      <c r="K139" s="127">
        <v>0</v>
      </c>
      <c r="L139" s="127">
        <v>0</v>
      </c>
      <c r="M139" s="127">
        <v>0</v>
      </c>
      <c r="N139" s="127">
        <v>-97820.09</v>
      </c>
      <c r="O139" s="127">
        <v>-1120823</v>
      </c>
      <c r="P139" s="127">
        <v>-0.01</v>
      </c>
      <c r="Q139" s="127">
        <v>0</v>
      </c>
      <c r="R139" s="127">
        <v>0</v>
      </c>
      <c r="S139" s="127">
        <v>0</v>
      </c>
      <c r="T139" s="127">
        <v>0</v>
      </c>
      <c r="U139" s="127">
        <v>0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">
      <c r="A140" t="s">
        <v>149</v>
      </c>
      <c r="B140" t="s">
        <v>150</v>
      </c>
      <c r="C140">
        <v>17</v>
      </c>
      <c r="D140" t="s">
        <v>135</v>
      </c>
      <c r="E140" s="14">
        <v>7625</v>
      </c>
      <c r="F140" s="14">
        <v>12215.25</v>
      </c>
      <c r="G140" s="127">
        <v>-7625</v>
      </c>
      <c r="H140" s="127">
        <v>-12215.25</v>
      </c>
      <c r="I140" s="127">
        <v>10</v>
      </c>
      <c r="J140" s="127">
        <v>16.02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>
        <v>0</v>
      </c>
      <c r="AH140" s="127">
        <v>39.28</v>
      </c>
      <c r="AI140" s="127">
        <v>0</v>
      </c>
      <c r="AJ140" s="127">
        <v>0</v>
      </c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">
      <c r="A141" t="s">
        <v>149</v>
      </c>
      <c r="B141" t="s">
        <v>150</v>
      </c>
      <c r="C141">
        <v>18</v>
      </c>
      <c r="D141" t="s">
        <v>136</v>
      </c>
      <c r="E141" s="14">
        <v>-206091</v>
      </c>
      <c r="F141" s="14">
        <v>-414123.38</v>
      </c>
      <c r="G141" s="127">
        <v>-129680</v>
      </c>
      <c r="H141" s="127">
        <v>-107501.6</v>
      </c>
      <c r="I141" s="127">
        <v>12606</v>
      </c>
      <c r="J141" s="127">
        <v>0.01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74784</v>
      </c>
      <c r="R141" s="127">
        <v>0.01</v>
      </c>
      <c r="S141" s="127">
        <v>0</v>
      </c>
      <c r="T141" s="127">
        <v>0</v>
      </c>
      <c r="U141" s="127">
        <v>0</v>
      </c>
      <c r="V141" s="127">
        <v>0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>
        <v>-275779</v>
      </c>
      <c r="AH141" s="127">
        <v>309581.11</v>
      </c>
      <c r="AI141" s="127">
        <v>0</v>
      </c>
      <c r="AJ141" s="127">
        <v>0</v>
      </c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">
      <c r="A142" t="s">
        <v>149</v>
      </c>
      <c r="B142" t="s">
        <v>150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>
        <v>0</v>
      </c>
      <c r="AH142" s="127">
        <v>0</v>
      </c>
      <c r="AI142" s="127">
        <v>0</v>
      </c>
      <c r="AJ142" s="127">
        <v>0</v>
      </c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">
      <c r="A143" t="s">
        <v>149</v>
      </c>
      <c r="B143" t="s">
        <v>150</v>
      </c>
      <c r="C143">
        <v>20</v>
      </c>
      <c r="D143" t="s">
        <v>137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>
        <v>0</v>
      </c>
      <c r="AH143" s="127">
        <v>0</v>
      </c>
      <c r="AI143" s="127">
        <v>0</v>
      </c>
      <c r="AJ143" s="127">
        <v>0</v>
      </c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">
      <c r="A144" t="s">
        <v>149</v>
      </c>
      <c r="B144" t="s">
        <v>150</v>
      </c>
      <c r="C144">
        <v>21</v>
      </c>
      <c r="D144" t="s">
        <v>138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>
        <v>0</v>
      </c>
      <c r="AH144" s="127">
        <v>0</v>
      </c>
      <c r="AI144" s="127">
        <v>0</v>
      </c>
      <c r="AJ144" s="127">
        <v>0</v>
      </c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">
      <c r="A145" t="s">
        <v>149</v>
      </c>
      <c r="B145" t="s">
        <v>150</v>
      </c>
      <c r="C145">
        <v>22</v>
      </c>
      <c r="D145" t="s">
        <v>139</v>
      </c>
      <c r="E145" s="14">
        <v>3420577</v>
      </c>
      <c r="F145" s="14">
        <v>5479764.3540000003</v>
      </c>
      <c r="G145" s="127">
        <v>-4973279</v>
      </c>
      <c r="H145" s="127">
        <v>-7967192.9580000006</v>
      </c>
      <c r="I145" s="127">
        <v>-214643</v>
      </c>
      <c r="J145" s="127">
        <v>-343858.08600000001</v>
      </c>
      <c r="K145" s="127">
        <v>3128</v>
      </c>
      <c r="L145" s="127">
        <v>5011.0559999999996</v>
      </c>
      <c r="M145" s="127">
        <v>-12305</v>
      </c>
      <c r="N145" s="127">
        <v>-19712.61</v>
      </c>
      <c r="O145" s="127">
        <v>132162</v>
      </c>
      <c r="P145" s="127">
        <v>211723.524</v>
      </c>
      <c r="Q145" s="127">
        <v>-178592</v>
      </c>
      <c r="R145" s="127">
        <v>-286104.38400000002</v>
      </c>
      <c r="S145" s="127">
        <v>-4</v>
      </c>
      <c r="T145" s="127">
        <v>-6.4080000000000004</v>
      </c>
      <c r="U145" s="127">
        <v>0</v>
      </c>
      <c r="V145" s="127">
        <v>0</v>
      </c>
      <c r="W145" s="127">
        <v>-48581</v>
      </c>
      <c r="X145" s="127">
        <v>-77826.762000000002</v>
      </c>
      <c r="Y145" s="127">
        <v>0</v>
      </c>
      <c r="Z145" s="127">
        <v>0</v>
      </c>
      <c r="AA145" s="127">
        <v>0</v>
      </c>
      <c r="AB145" s="127">
        <v>0</v>
      </c>
      <c r="AC145" s="127">
        <v>0</v>
      </c>
      <c r="AD145" s="127">
        <v>0</v>
      </c>
      <c r="AE145" s="127">
        <v>0</v>
      </c>
      <c r="AF145" s="127">
        <v>0</v>
      </c>
      <c r="AG145" s="127">
        <v>275779</v>
      </c>
      <c r="AH145" s="127">
        <v>445658.864</v>
      </c>
      <c r="AI145" s="127">
        <v>0</v>
      </c>
      <c r="AJ145" s="127">
        <v>0</v>
      </c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">
      <c r="A146" t="s">
        <v>149</v>
      </c>
      <c r="B146" t="s">
        <v>150</v>
      </c>
      <c r="C146">
        <v>23</v>
      </c>
      <c r="D146" t="s">
        <v>140</v>
      </c>
      <c r="E146" s="14">
        <v>-339550</v>
      </c>
      <c r="F146" s="14">
        <v>-543959.1</v>
      </c>
      <c r="G146" s="127">
        <v>-127002</v>
      </c>
      <c r="H146" s="127">
        <v>-203457.204</v>
      </c>
      <c r="I146" s="127">
        <v>0</v>
      </c>
      <c r="J146" s="127">
        <v>0</v>
      </c>
      <c r="K146" s="127">
        <v>-136031</v>
      </c>
      <c r="L146" s="127">
        <v>-217921.66200000001</v>
      </c>
      <c r="M146" s="127">
        <v>161629</v>
      </c>
      <c r="N146" s="127">
        <v>258929.658</v>
      </c>
      <c r="O146" s="127">
        <v>-71</v>
      </c>
      <c r="P146" s="127">
        <v>-113.742</v>
      </c>
      <c r="Q146" s="127">
        <v>152698</v>
      </c>
      <c r="R146" s="127">
        <v>244622.196</v>
      </c>
      <c r="S146" s="127">
        <v>0</v>
      </c>
      <c r="T146" s="127">
        <v>0</v>
      </c>
      <c r="U146" s="127">
        <v>0</v>
      </c>
      <c r="V146" s="127">
        <v>0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>
        <v>0</v>
      </c>
      <c r="AH146" s="127">
        <v>0</v>
      </c>
      <c r="AI146" s="127">
        <v>0</v>
      </c>
      <c r="AJ146" s="127">
        <v>0</v>
      </c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">
      <c r="A147" t="s">
        <v>149</v>
      </c>
      <c r="B147" t="s">
        <v>150</v>
      </c>
      <c r="C147">
        <v>24</v>
      </c>
      <c r="D147" t="s">
        <v>59</v>
      </c>
      <c r="E147" s="14">
        <v>-6976456</v>
      </c>
      <c r="F147" s="14">
        <v>-238697.49</v>
      </c>
      <c r="G147" s="127">
        <v>-9339217</v>
      </c>
      <c r="H147" s="127">
        <v>37711.32</v>
      </c>
      <c r="I147" s="127">
        <v>-316758</v>
      </c>
      <c r="J147" s="127">
        <v>-11181.76</v>
      </c>
      <c r="K147" s="127">
        <v>0</v>
      </c>
      <c r="L147" s="127">
        <v>-4437.3599999999997</v>
      </c>
      <c r="M147" s="127">
        <v>1092</v>
      </c>
      <c r="N147" s="127">
        <v>229.32</v>
      </c>
      <c r="O147" s="127">
        <v>-16872</v>
      </c>
      <c r="P147" s="127">
        <v>9886.02</v>
      </c>
      <c r="Q147" s="127">
        <v>0</v>
      </c>
      <c r="R147" s="127">
        <v>0</v>
      </c>
      <c r="S147" s="127">
        <v>0</v>
      </c>
      <c r="T147" s="127">
        <v>0</v>
      </c>
      <c r="U147" s="127">
        <v>0</v>
      </c>
      <c r="V147" s="127">
        <v>0</v>
      </c>
      <c r="W147" s="127">
        <v>0</v>
      </c>
      <c r="X147" s="127">
        <v>0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>
        <v>0</v>
      </c>
      <c r="AH147" s="127">
        <v>0</v>
      </c>
      <c r="AI147" s="127">
        <v>0</v>
      </c>
      <c r="AJ147" s="127">
        <v>0</v>
      </c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">
      <c r="A148" t="s">
        <v>149</v>
      </c>
      <c r="B148" t="s">
        <v>150</v>
      </c>
      <c r="C148">
        <v>25</v>
      </c>
      <c r="D148" t="s">
        <v>60</v>
      </c>
      <c r="E148" s="14">
        <v>0</v>
      </c>
      <c r="F148" s="14">
        <v>-2222370.8199999998</v>
      </c>
      <c r="G148" s="127">
        <v>0</v>
      </c>
      <c r="H148" s="127">
        <v>-375733.86</v>
      </c>
      <c r="I148" s="127">
        <v>0</v>
      </c>
      <c r="J148" s="127">
        <v>951</v>
      </c>
      <c r="K148" s="127">
        <v>0</v>
      </c>
      <c r="L148" s="127">
        <v>0</v>
      </c>
      <c r="M148" s="127">
        <v>0</v>
      </c>
      <c r="N148" s="127">
        <v>9768.14</v>
      </c>
      <c r="O148" s="127">
        <v>0</v>
      </c>
      <c r="P148" s="127">
        <v>0</v>
      </c>
      <c r="Q148" s="127">
        <v>0</v>
      </c>
      <c r="R148" s="127">
        <v>0</v>
      </c>
      <c r="S148" s="127">
        <v>0</v>
      </c>
      <c r="T148" s="127">
        <v>1820</v>
      </c>
      <c r="U148" s="127">
        <v>0</v>
      </c>
      <c r="V148" s="127">
        <v>0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>
        <v>0</v>
      </c>
      <c r="AH148" s="127">
        <v>0</v>
      </c>
      <c r="AI148" s="127">
        <v>0</v>
      </c>
      <c r="AJ148" s="127">
        <v>0</v>
      </c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">
      <c r="A149" t="s">
        <v>149</v>
      </c>
      <c r="B149" t="s">
        <v>150</v>
      </c>
      <c r="C149">
        <v>26</v>
      </c>
      <c r="D149" t="s">
        <v>141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>
        <v>0</v>
      </c>
      <c r="AH149" s="127">
        <v>0</v>
      </c>
      <c r="AI149" s="127">
        <v>0</v>
      </c>
      <c r="AJ149" s="127">
        <v>0</v>
      </c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">
      <c r="A150" t="s">
        <v>149</v>
      </c>
      <c r="B150" t="s">
        <v>150</v>
      </c>
      <c r="C150">
        <v>27</v>
      </c>
      <c r="D150" t="s">
        <v>142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>
        <v>0</v>
      </c>
      <c r="AH150" s="127">
        <v>0</v>
      </c>
      <c r="AI150" s="127">
        <v>0</v>
      </c>
      <c r="AJ150" s="127">
        <v>0</v>
      </c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">
      <c r="A151" t="s">
        <v>149</v>
      </c>
      <c r="B151" t="s">
        <v>150</v>
      </c>
      <c r="C151">
        <v>28</v>
      </c>
      <c r="D151" t="s">
        <v>143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>
        <v>0</v>
      </c>
      <c r="AH151" s="127">
        <v>0</v>
      </c>
      <c r="AI151" s="127">
        <v>0</v>
      </c>
      <c r="AJ151" s="127">
        <v>0</v>
      </c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">
      <c r="A152" t="s">
        <v>149</v>
      </c>
      <c r="B152" t="s">
        <v>150</v>
      </c>
      <c r="C152">
        <v>29</v>
      </c>
      <c r="D152" t="s">
        <v>144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>
        <v>0</v>
      </c>
      <c r="AH152" s="127">
        <v>0</v>
      </c>
      <c r="AI152" s="127">
        <v>0</v>
      </c>
      <c r="AJ152" s="127">
        <v>0</v>
      </c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">
      <c r="A153" t="s">
        <v>149</v>
      </c>
      <c r="B153" t="s">
        <v>150</v>
      </c>
      <c r="C153">
        <v>30</v>
      </c>
      <c r="D153" t="s">
        <v>145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">
      <c r="A154" t="s">
        <v>149</v>
      </c>
      <c r="B154" t="s">
        <v>150</v>
      </c>
      <c r="C154">
        <v>31</v>
      </c>
      <c r="D154" t="s">
        <v>146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>
        <v>0</v>
      </c>
      <c r="AH154" s="127">
        <v>0</v>
      </c>
      <c r="AI154" s="127">
        <v>0</v>
      </c>
      <c r="AJ154" s="127">
        <v>0</v>
      </c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">
      <c r="A155" t="s">
        <v>149</v>
      </c>
      <c r="B155" t="s">
        <v>150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>
        <v>0</v>
      </c>
      <c r="AH155" s="127">
        <v>0</v>
      </c>
      <c r="AI155" s="127">
        <v>0</v>
      </c>
      <c r="AJ155" s="127">
        <v>0</v>
      </c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">
      <c r="A156" t="s">
        <v>149</v>
      </c>
      <c r="B156" t="s">
        <v>150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>
        <v>0</v>
      </c>
      <c r="AH156" s="127">
        <v>0</v>
      </c>
      <c r="AI156" s="127">
        <v>0</v>
      </c>
      <c r="AJ156" s="127">
        <v>0</v>
      </c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">
      <c r="A157" t="s">
        <v>149</v>
      </c>
      <c r="B157" t="s">
        <v>150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>
        <v>0</v>
      </c>
      <c r="AH157" s="127">
        <v>0</v>
      </c>
      <c r="AI157" s="127">
        <v>0</v>
      </c>
      <c r="AJ157" s="127">
        <v>0</v>
      </c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">
      <c r="A158" t="s">
        <v>149</v>
      </c>
      <c r="B158" t="s">
        <v>150</v>
      </c>
      <c r="C158">
        <v>35</v>
      </c>
      <c r="D158" t="s">
        <v>77</v>
      </c>
      <c r="E158" s="14">
        <v>0</v>
      </c>
      <c r="F158" s="14">
        <v>-22342.89</v>
      </c>
      <c r="G158" s="127">
        <v>0</v>
      </c>
      <c r="H158" s="127">
        <v>-1375.25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9112.17</v>
      </c>
      <c r="S158" s="127">
        <v>0</v>
      </c>
      <c r="T158" s="127">
        <v>0</v>
      </c>
      <c r="U158" s="127">
        <v>0</v>
      </c>
      <c r="V158" s="127">
        <v>0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>
        <v>0</v>
      </c>
      <c r="AH158" s="127">
        <v>0</v>
      </c>
      <c r="AI158" s="127">
        <v>0</v>
      </c>
      <c r="AJ158" s="127">
        <v>0</v>
      </c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">
      <c r="A159" t="s">
        <v>149</v>
      </c>
      <c r="B159" t="s">
        <v>150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>
        <v>0</v>
      </c>
      <c r="AH159" s="127">
        <v>0</v>
      </c>
      <c r="AI159" s="127">
        <v>0</v>
      </c>
      <c r="AJ159" s="127">
        <v>0</v>
      </c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">
      <c r="A160" t="s">
        <v>149</v>
      </c>
      <c r="B160" t="s">
        <v>150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>
        <v>0</v>
      </c>
      <c r="AH160" s="127">
        <v>0</v>
      </c>
      <c r="AI160" s="127">
        <v>0</v>
      </c>
      <c r="AJ160" s="127">
        <v>0</v>
      </c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">
      <c r="A161" t="s">
        <v>149</v>
      </c>
      <c r="B161" t="s">
        <v>150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>
        <v>0</v>
      </c>
      <c r="AH161" s="127">
        <v>0</v>
      </c>
      <c r="AI161" s="127">
        <v>0</v>
      </c>
      <c r="AJ161" s="127">
        <v>0</v>
      </c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">
      <c r="A162" t="s">
        <v>149</v>
      </c>
      <c r="B162" t="s">
        <v>150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>
        <v>0</v>
      </c>
      <c r="AH162" s="127">
        <v>0</v>
      </c>
      <c r="AI162" s="127">
        <v>0</v>
      </c>
      <c r="AJ162" s="127">
        <v>0</v>
      </c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">
      <c r="A163" t="s">
        <v>149</v>
      </c>
      <c r="B163" t="s">
        <v>150</v>
      </c>
      <c r="C163">
        <v>40</v>
      </c>
      <c r="D163" t="s">
        <v>82</v>
      </c>
      <c r="E163" s="14">
        <v>0</v>
      </c>
      <c r="F163" s="14">
        <v>0</v>
      </c>
      <c r="G163" s="127">
        <v>0</v>
      </c>
      <c r="H163" s="127">
        <v>97579.22</v>
      </c>
      <c r="I163" s="127">
        <v>0</v>
      </c>
      <c r="J163" s="127">
        <v>0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>
        <v>0</v>
      </c>
      <c r="AH163" s="127">
        <v>0</v>
      </c>
      <c r="AI163" s="127">
        <v>0</v>
      </c>
      <c r="AJ163" s="127">
        <v>0</v>
      </c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">
      <c r="A164" t="s">
        <v>149</v>
      </c>
      <c r="B164" t="s">
        <v>151</v>
      </c>
      <c r="C164">
        <v>1</v>
      </c>
      <c r="D164" t="s">
        <v>29</v>
      </c>
      <c r="E164" s="14">
        <v>113908690</v>
      </c>
      <c r="F164" s="14">
        <v>206579265.88999999</v>
      </c>
      <c r="G164" s="127">
        <v>-116520</v>
      </c>
      <c r="H164" s="127">
        <v>7556132.46</v>
      </c>
      <c r="I164" s="127">
        <v>-31146</v>
      </c>
      <c r="J164" s="127">
        <v>-183202.28</v>
      </c>
      <c r="K164" s="127">
        <v>20080</v>
      </c>
      <c r="L164" s="127">
        <v>22875.83</v>
      </c>
      <c r="M164" s="127">
        <v>-3088</v>
      </c>
      <c r="N164" s="127">
        <v>6431.97</v>
      </c>
      <c r="O164" s="127">
        <v>-21000</v>
      </c>
      <c r="P164" s="127">
        <v>2092.88</v>
      </c>
      <c r="Q164" s="127">
        <v>21000</v>
      </c>
      <c r="R164" s="127">
        <v>0</v>
      </c>
      <c r="S164" s="127">
        <v>0</v>
      </c>
      <c r="T164" s="127">
        <v>3849290</v>
      </c>
      <c r="U164" s="127">
        <v>0</v>
      </c>
      <c r="V164" s="127">
        <v>52463.4</v>
      </c>
      <c r="W164" s="127">
        <v>0</v>
      </c>
      <c r="X164" s="127">
        <v>0</v>
      </c>
      <c r="Y164" s="127">
        <v>0</v>
      </c>
      <c r="Z164" s="127">
        <v>-17494.32</v>
      </c>
      <c r="AA164" s="127">
        <v>0</v>
      </c>
      <c r="AB164" s="127">
        <v>0</v>
      </c>
      <c r="AC164" s="127">
        <v>0</v>
      </c>
      <c r="AD164" s="127">
        <v>0</v>
      </c>
      <c r="AE164" s="127">
        <v>0</v>
      </c>
      <c r="AF164" s="127">
        <v>0</v>
      </c>
      <c r="AG164" s="127">
        <v>0</v>
      </c>
      <c r="AH164" s="127">
        <v>39572.519999999997</v>
      </c>
      <c r="AI164" s="127">
        <v>0</v>
      </c>
      <c r="AJ164" s="127">
        <v>0</v>
      </c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">
      <c r="A165" t="s">
        <v>149</v>
      </c>
      <c r="B165" t="s">
        <v>151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>
        <v>0</v>
      </c>
      <c r="AH165" s="127">
        <v>0</v>
      </c>
      <c r="AI165" s="127">
        <v>0</v>
      </c>
      <c r="AJ165" s="127">
        <v>0</v>
      </c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">
      <c r="A166" t="s">
        <v>149</v>
      </c>
      <c r="B166" t="s">
        <v>151</v>
      </c>
      <c r="C166">
        <v>3</v>
      </c>
      <c r="D166" t="s">
        <v>31</v>
      </c>
      <c r="E166" s="14">
        <v>57587981</v>
      </c>
      <c r="F166" s="14">
        <v>108285717</v>
      </c>
      <c r="G166" s="127">
        <v>63393</v>
      </c>
      <c r="H166" s="127">
        <v>94838</v>
      </c>
      <c r="I166" s="127">
        <v>-2264</v>
      </c>
      <c r="J166" s="127">
        <v>-3588</v>
      </c>
      <c r="K166" s="127">
        <v>0</v>
      </c>
      <c r="L166" s="127">
        <v>0</v>
      </c>
      <c r="M166" s="127">
        <v>0</v>
      </c>
      <c r="N166" s="127">
        <v>0</v>
      </c>
      <c r="O166" s="127">
        <v>-2264</v>
      </c>
      <c r="P166" s="127">
        <v>-3588</v>
      </c>
      <c r="Q166" s="127">
        <v>0</v>
      </c>
      <c r="R166" s="127">
        <v>0</v>
      </c>
      <c r="S166" s="127">
        <v>492537</v>
      </c>
      <c r="T166" s="127">
        <v>809858</v>
      </c>
      <c r="U166" s="127">
        <v>492537</v>
      </c>
      <c r="V166" s="127">
        <v>809858</v>
      </c>
      <c r="W166" s="127">
        <v>-1043939</v>
      </c>
      <c r="X166" s="127">
        <v>-1707378</v>
      </c>
      <c r="Y166" s="127">
        <v>62342</v>
      </c>
      <c r="Z166" s="127">
        <v>104281</v>
      </c>
      <c r="AA166" s="127">
        <v>0</v>
      </c>
      <c r="AB166" s="127">
        <v>0</v>
      </c>
      <c r="AC166" s="127">
        <v>-62342</v>
      </c>
      <c r="AD166" s="127">
        <v>-104281</v>
      </c>
      <c r="AE166" s="127">
        <v>0</v>
      </c>
      <c r="AF166" s="127">
        <v>0</v>
      </c>
      <c r="AG166" s="127">
        <v>0</v>
      </c>
      <c r="AH166" s="127">
        <v>0</v>
      </c>
      <c r="AI166" s="127">
        <v>0</v>
      </c>
      <c r="AJ166" s="127">
        <v>0</v>
      </c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">
      <c r="A167" t="s">
        <v>149</v>
      </c>
      <c r="B167" t="s">
        <v>151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>
        <v>0</v>
      </c>
      <c r="AH167" s="127">
        <v>0</v>
      </c>
      <c r="AI167" s="127">
        <v>0</v>
      </c>
      <c r="AJ167" s="127">
        <v>0</v>
      </c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">
      <c r="A168" t="s">
        <v>149</v>
      </c>
      <c r="B168" t="s">
        <v>151</v>
      </c>
      <c r="C168">
        <v>5</v>
      </c>
      <c r="D168" t="s">
        <v>134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>
        <v>0</v>
      </c>
      <c r="AH168" s="127">
        <v>0</v>
      </c>
      <c r="AI168" s="127">
        <v>0</v>
      </c>
      <c r="AJ168" s="127">
        <v>0</v>
      </c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">
      <c r="A169" t="s">
        <v>149</v>
      </c>
      <c r="B169" t="s">
        <v>151</v>
      </c>
      <c r="C169">
        <v>6</v>
      </c>
      <c r="D169" t="s">
        <v>29</v>
      </c>
      <c r="E169" s="14">
        <v>-118399034</v>
      </c>
      <c r="F169" s="14">
        <v>-205033987.50999999</v>
      </c>
      <c r="G169" s="127">
        <v>256250</v>
      </c>
      <c r="H169" s="127">
        <v>-2625347.89</v>
      </c>
      <c r="I169" s="127">
        <v>-279882</v>
      </c>
      <c r="J169" s="127">
        <v>-410705.55</v>
      </c>
      <c r="K169" s="127">
        <v>-17986</v>
      </c>
      <c r="L169" s="127">
        <v>2854.14</v>
      </c>
      <c r="M169" s="127">
        <v>12965</v>
      </c>
      <c r="N169" s="127">
        <v>20006.97</v>
      </c>
      <c r="O169" s="127">
        <v>-96</v>
      </c>
      <c r="P169" s="127">
        <v>21744.83</v>
      </c>
      <c r="Q169" s="127">
        <v>11</v>
      </c>
      <c r="R169" s="127">
        <v>24.07</v>
      </c>
      <c r="S169" s="127">
        <v>27322</v>
      </c>
      <c r="T169" s="127">
        <v>58334.35</v>
      </c>
      <c r="U169" s="127">
        <v>0</v>
      </c>
      <c r="V169" s="127">
        <v>0</v>
      </c>
      <c r="W169" s="127">
        <v>0</v>
      </c>
      <c r="X169" s="127">
        <v>0</v>
      </c>
      <c r="Y169" s="127">
        <v>0</v>
      </c>
      <c r="Z169" s="127">
        <v>112692.64</v>
      </c>
      <c r="AA169" s="127">
        <v>0</v>
      </c>
      <c r="AB169" s="127">
        <v>0</v>
      </c>
      <c r="AC169" s="127">
        <v>0</v>
      </c>
      <c r="AD169" s="127">
        <v>0</v>
      </c>
      <c r="AE169" s="127">
        <v>0</v>
      </c>
      <c r="AF169" s="127">
        <v>0</v>
      </c>
      <c r="AG169" s="127">
        <v>0</v>
      </c>
      <c r="AH169" s="127">
        <v>271433.83</v>
      </c>
      <c r="AI169" s="127">
        <v>0</v>
      </c>
      <c r="AJ169" s="127">
        <v>0</v>
      </c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">
      <c r="A170" t="s">
        <v>149</v>
      </c>
      <c r="B170" t="s">
        <v>151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>
        <v>0</v>
      </c>
      <c r="AJ170" s="127">
        <v>0</v>
      </c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">
      <c r="A171" t="s">
        <v>149</v>
      </c>
      <c r="B171" t="s">
        <v>151</v>
      </c>
      <c r="C171">
        <v>8</v>
      </c>
      <c r="D171" t="s">
        <v>31</v>
      </c>
      <c r="E171" s="14">
        <v>-57535637</v>
      </c>
      <c r="F171" s="14">
        <v>-108653057</v>
      </c>
      <c r="G171" s="127">
        <v>215598</v>
      </c>
      <c r="H171" s="127">
        <v>374062</v>
      </c>
      <c r="I171" s="127">
        <v>0</v>
      </c>
      <c r="J171" s="127">
        <v>0</v>
      </c>
      <c r="K171" s="127">
        <v>0</v>
      </c>
      <c r="L171" s="127">
        <v>0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-492537</v>
      </c>
      <c r="T171" s="127">
        <v>-809858</v>
      </c>
      <c r="U171" s="127">
        <v>-492537</v>
      </c>
      <c r="V171" s="127">
        <v>-809858</v>
      </c>
      <c r="W171" s="127">
        <v>769476</v>
      </c>
      <c r="X171" s="127">
        <v>1245654</v>
      </c>
      <c r="Y171" s="127">
        <v>-110923</v>
      </c>
      <c r="Z171" s="127">
        <v>-186945</v>
      </c>
      <c r="AA171" s="127">
        <v>0</v>
      </c>
      <c r="AB171" s="127">
        <v>0</v>
      </c>
      <c r="AC171" s="127">
        <v>110923</v>
      </c>
      <c r="AD171" s="127">
        <v>186945</v>
      </c>
      <c r="AE171" s="127">
        <v>0</v>
      </c>
      <c r="AF171" s="127">
        <v>0</v>
      </c>
      <c r="AG171" s="127">
        <v>0</v>
      </c>
      <c r="AH171" s="127">
        <v>0</v>
      </c>
      <c r="AI171" s="127">
        <v>0</v>
      </c>
      <c r="AJ171" s="127">
        <v>0</v>
      </c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">
      <c r="A172" t="s">
        <v>149</v>
      </c>
      <c r="B172" t="s">
        <v>151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>
        <v>0</v>
      </c>
      <c r="AH172" s="127">
        <v>0</v>
      </c>
      <c r="AI172" s="127">
        <v>0</v>
      </c>
      <c r="AJ172" s="127">
        <v>0</v>
      </c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">
      <c r="A173" t="s">
        <v>149</v>
      </c>
      <c r="B173" t="s">
        <v>151</v>
      </c>
      <c r="C173">
        <v>10</v>
      </c>
      <c r="D173" t="s">
        <v>36</v>
      </c>
      <c r="E173" s="14">
        <v>1216825</v>
      </c>
      <c r="F173" s="14">
        <v>1966389.2</v>
      </c>
      <c r="G173" s="127">
        <v>-118116</v>
      </c>
      <c r="H173" s="127">
        <v>-190875.45600000001</v>
      </c>
      <c r="I173" s="127">
        <v>30367</v>
      </c>
      <c r="J173" s="127">
        <v>49073.072</v>
      </c>
      <c r="K173" s="127">
        <v>-17967</v>
      </c>
      <c r="L173" s="127">
        <v>-29034.671999999999</v>
      </c>
      <c r="M173" s="127">
        <v>114</v>
      </c>
      <c r="N173" s="127">
        <v>184.22399999999999</v>
      </c>
      <c r="O173" s="127">
        <v>0</v>
      </c>
      <c r="P173" s="127">
        <v>0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>
        <v>0</v>
      </c>
      <c r="AH173" s="127">
        <v>0</v>
      </c>
      <c r="AI173" s="127">
        <v>0</v>
      </c>
      <c r="AJ173" s="127">
        <v>0</v>
      </c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">
      <c r="A174" t="s">
        <v>149</v>
      </c>
      <c r="B174" t="s">
        <v>151</v>
      </c>
      <c r="C174">
        <v>11</v>
      </c>
      <c r="D174" t="s">
        <v>39</v>
      </c>
      <c r="E174" s="14">
        <v>8998725</v>
      </c>
      <c r="F174" s="14">
        <v>15947413.949999999</v>
      </c>
      <c r="G174" s="127">
        <v>0</v>
      </c>
      <c r="H174" s="127">
        <v>-41.67</v>
      </c>
      <c r="I174" s="127">
        <v>0</v>
      </c>
      <c r="J174" s="127">
        <v>0</v>
      </c>
      <c r="K174" s="127">
        <v>0</v>
      </c>
      <c r="L174" s="127">
        <v>0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>
        <v>0</v>
      </c>
      <c r="AH174" s="127">
        <v>0</v>
      </c>
      <c r="AI174" s="127">
        <v>0</v>
      </c>
      <c r="AJ174" s="127">
        <v>0</v>
      </c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">
      <c r="A175" t="s">
        <v>149</v>
      </c>
      <c r="B175" t="s">
        <v>151</v>
      </c>
      <c r="C175">
        <v>12</v>
      </c>
      <c r="D175" t="s">
        <v>40</v>
      </c>
      <c r="E175" s="14">
        <v>-2511299</v>
      </c>
      <c r="F175" s="14">
        <v>-4441851.97</v>
      </c>
      <c r="G175" s="127">
        <v>-24039</v>
      </c>
      <c r="H175" s="127">
        <v>-4069.02</v>
      </c>
      <c r="I175" s="127">
        <v>0</v>
      </c>
      <c r="J175" s="127">
        <v>2213.6999999999998</v>
      </c>
      <c r="K175" s="127">
        <v>0</v>
      </c>
      <c r="L175" s="127">
        <v>-1192.8399999999999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>
        <v>0</v>
      </c>
      <c r="AH175" s="127">
        <v>0</v>
      </c>
      <c r="AI175" s="127">
        <v>0</v>
      </c>
      <c r="AJ175" s="127">
        <v>0</v>
      </c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">
      <c r="A176" t="s">
        <v>149</v>
      </c>
      <c r="B176" t="s">
        <v>151</v>
      </c>
      <c r="C176">
        <v>13</v>
      </c>
      <c r="D176" t="s">
        <v>43</v>
      </c>
      <c r="E176" s="14">
        <v>-902134</v>
      </c>
      <c r="F176" s="14">
        <v>-1457848.55</v>
      </c>
      <c r="G176" s="127">
        <v>-146964</v>
      </c>
      <c r="H176" s="127">
        <v>-533339.17599999998</v>
      </c>
      <c r="I176" s="127">
        <v>977458</v>
      </c>
      <c r="J176" s="127">
        <v>1822476.2609999999</v>
      </c>
      <c r="K176" s="127">
        <v>-250837</v>
      </c>
      <c r="L176" s="127">
        <v>-550089.15899999999</v>
      </c>
      <c r="M176" s="127">
        <v>27315</v>
      </c>
      <c r="N176" s="127">
        <v>50259.339</v>
      </c>
      <c r="O176" s="127">
        <v>446755</v>
      </c>
      <c r="P176" s="127">
        <v>1216097.193</v>
      </c>
      <c r="Q176" s="127">
        <v>-11</v>
      </c>
      <c r="R176" s="127">
        <v>-482983.18199999997</v>
      </c>
      <c r="S176" s="127">
        <v>-19462</v>
      </c>
      <c r="T176" s="127">
        <v>148932.927</v>
      </c>
      <c r="U176" s="127">
        <v>0</v>
      </c>
      <c r="V176" s="127">
        <v>0</v>
      </c>
      <c r="W176" s="127">
        <v>0</v>
      </c>
      <c r="X176" s="127">
        <v>0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>
        <v>0</v>
      </c>
      <c r="AH176" s="127">
        <v>0</v>
      </c>
      <c r="AI176" s="127">
        <v>0</v>
      </c>
      <c r="AJ176" s="127">
        <v>0</v>
      </c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">
      <c r="A177" t="s">
        <v>149</v>
      </c>
      <c r="B177" t="s">
        <v>151</v>
      </c>
      <c r="C177">
        <v>14</v>
      </c>
      <c r="D177" t="s">
        <v>44</v>
      </c>
      <c r="E177" s="14">
        <v>0</v>
      </c>
      <c r="F177" s="14">
        <v>0</v>
      </c>
      <c r="G177" s="127">
        <v>-179921</v>
      </c>
      <c r="H177" s="127">
        <v>-330664.86</v>
      </c>
      <c r="I177" s="127">
        <v>-47805</v>
      </c>
      <c r="J177" s="127">
        <v>-132767.99</v>
      </c>
      <c r="K177" s="127">
        <v>-22181</v>
      </c>
      <c r="L177" s="127">
        <v>-41458.47</v>
      </c>
      <c r="M177" s="127">
        <v>-45935</v>
      </c>
      <c r="N177" s="127">
        <v>-76529.67</v>
      </c>
      <c r="O177" s="127">
        <v>0</v>
      </c>
      <c r="P177" s="127">
        <v>0</v>
      </c>
      <c r="Q177" s="127">
        <v>0</v>
      </c>
      <c r="R177" s="127">
        <v>0</v>
      </c>
      <c r="S177" s="127">
        <v>-10321</v>
      </c>
      <c r="T177" s="127">
        <v>-16968.759999999998</v>
      </c>
      <c r="U177" s="127">
        <v>0</v>
      </c>
      <c r="V177" s="127">
        <v>0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>
        <v>0</v>
      </c>
      <c r="AH177" s="127">
        <v>0</v>
      </c>
      <c r="AI177" s="127">
        <v>0</v>
      </c>
      <c r="AJ177" s="127">
        <v>0</v>
      </c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">
      <c r="A178" t="s">
        <v>149</v>
      </c>
      <c r="B178" t="s">
        <v>151</v>
      </c>
      <c r="C178">
        <v>15</v>
      </c>
      <c r="D178" t="s">
        <v>45</v>
      </c>
      <c r="E178" s="14">
        <v>0</v>
      </c>
      <c r="F178" s="14">
        <v>0</v>
      </c>
      <c r="G178" s="127">
        <v>4616</v>
      </c>
      <c r="H178" s="127">
        <v>8074.78</v>
      </c>
      <c r="I178" s="127">
        <v>0</v>
      </c>
      <c r="J178" s="127">
        <v>0</v>
      </c>
      <c r="K178" s="127">
        <v>5625</v>
      </c>
      <c r="L178" s="127">
        <v>9792.42</v>
      </c>
      <c r="M178" s="127">
        <v>12778</v>
      </c>
      <c r="N178" s="127">
        <v>21170.23</v>
      </c>
      <c r="O178" s="127">
        <v>0</v>
      </c>
      <c r="P178" s="127">
        <v>0</v>
      </c>
      <c r="Q178" s="127">
        <v>0</v>
      </c>
      <c r="R178" s="127">
        <v>0</v>
      </c>
      <c r="S178" s="127">
        <v>35971</v>
      </c>
      <c r="T178" s="127">
        <v>59139.92</v>
      </c>
      <c r="U178" s="127">
        <v>0</v>
      </c>
      <c r="V178" s="127">
        <v>0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>
        <v>0</v>
      </c>
      <c r="AH178" s="127">
        <v>0</v>
      </c>
      <c r="AI178" s="127">
        <v>0</v>
      </c>
      <c r="AJ178" s="127">
        <v>0</v>
      </c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">
      <c r="A179" t="s">
        <v>149</v>
      </c>
      <c r="B179" t="s">
        <v>151</v>
      </c>
      <c r="C179">
        <v>16</v>
      </c>
      <c r="D179" t="s">
        <v>46</v>
      </c>
      <c r="E179" s="14">
        <v>-217584</v>
      </c>
      <c r="F179" s="14">
        <v>-0.01</v>
      </c>
      <c r="G179" s="127">
        <v>293247</v>
      </c>
      <c r="H179" s="127">
        <v>0</v>
      </c>
      <c r="I179" s="127">
        <v>-273025</v>
      </c>
      <c r="J179" s="127">
        <v>0</v>
      </c>
      <c r="K179" s="127">
        <v>0</v>
      </c>
      <c r="L179" s="127">
        <v>0</v>
      </c>
      <c r="M179" s="127">
        <v>0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-374713</v>
      </c>
      <c r="U179" s="127">
        <v>0</v>
      </c>
      <c r="V179" s="127">
        <v>0</v>
      </c>
      <c r="W179" s="127">
        <v>0</v>
      </c>
      <c r="X179" s="127">
        <v>0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>
        <v>0</v>
      </c>
      <c r="AH179" s="127">
        <v>0</v>
      </c>
      <c r="AI179" s="127">
        <v>0</v>
      </c>
      <c r="AJ179" s="127">
        <v>0</v>
      </c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">
      <c r="A180" t="s">
        <v>149</v>
      </c>
      <c r="B180" t="s">
        <v>151</v>
      </c>
      <c r="C180">
        <v>17</v>
      </c>
      <c r="D180" t="s">
        <v>135</v>
      </c>
      <c r="E180" s="14">
        <v>178136</v>
      </c>
      <c r="F180" s="14">
        <v>311666.75</v>
      </c>
      <c r="G180" s="127">
        <v>0</v>
      </c>
      <c r="H180" s="127">
        <v>0</v>
      </c>
      <c r="I180" s="127">
        <v>0</v>
      </c>
      <c r="J180" s="127">
        <v>0</v>
      </c>
      <c r="K180" s="127">
        <v>-781</v>
      </c>
      <c r="L180" s="127">
        <v>-1856.44</v>
      </c>
      <c r="M180" s="127">
        <v>0</v>
      </c>
      <c r="N180" s="127">
        <v>0</v>
      </c>
      <c r="O180" s="127">
        <v>0</v>
      </c>
      <c r="P180" s="127">
        <v>0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0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>
        <v>0</v>
      </c>
      <c r="AH180" s="127">
        <v>0</v>
      </c>
      <c r="AI180" s="127">
        <v>0</v>
      </c>
      <c r="AJ180" s="127">
        <v>0</v>
      </c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">
      <c r="A181" t="s">
        <v>149</v>
      </c>
      <c r="B181" t="s">
        <v>151</v>
      </c>
      <c r="C181">
        <v>18</v>
      </c>
      <c r="D181" t="s">
        <v>136</v>
      </c>
      <c r="E181" s="14">
        <v>-3366484</v>
      </c>
      <c r="F181" s="14">
        <v>-7715391.0999999996</v>
      </c>
      <c r="G181" s="127">
        <v>399144</v>
      </c>
      <c r="H181" s="127">
        <v>912594.01</v>
      </c>
      <c r="I181" s="127">
        <v>-1092</v>
      </c>
      <c r="J181" s="127">
        <v>-3152.15</v>
      </c>
      <c r="K181" s="127">
        <v>-8865</v>
      </c>
      <c r="L181" s="127">
        <v>-17247.240000000002</v>
      </c>
      <c r="M181" s="127">
        <v>-6164</v>
      </c>
      <c r="N181" s="127">
        <v>-14267.44</v>
      </c>
      <c r="O181" s="127">
        <v>-436454</v>
      </c>
      <c r="P181" s="127">
        <v>-543850.68999999994</v>
      </c>
      <c r="Q181" s="127">
        <v>0</v>
      </c>
      <c r="R181" s="127">
        <v>0</v>
      </c>
      <c r="S181" s="127">
        <v>773457</v>
      </c>
      <c r="T181" s="127">
        <v>0.03</v>
      </c>
      <c r="U181" s="127">
        <v>0</v>
      </c>
      <c r="V181" s="127">
        <v>0</v>
      </c>
      <c r="W181" s="127">
        <v>0</v>
      </c>
      <c r="X181" s="127">
        <v>0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>
        <v>0</v>
      </c>
      <c r="AH181" s="127">
        <v>0</v>
      </c>
      <c r="AI181" s="127">
        <v>0</v>
      </c>
      <c r="AJ181" s="127">
        <v>0</v>
      </c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">
      <c r="A182" t="s">
        <v>149</v>
      </c>
      <c r="B182" t="s">
        <v>151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>
        <v>0</v>
      </c>
      <c r="AJ182" s="127">
        <v>0</v>
      </c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">
      <c r="A183" t="s">
        <v>149</v>
      </c>
      <c r="B183" t="s">
        <v>151</v>
      </c>
      <c r="C183">
        <v>20</v>
      </c>
      <c r="D183" t="s">
        <v>137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>
        <v>0</v>
      </c>
      <c r="AH183" s="127">
        <v>0</v>
      </c>
      <c r="AI183" s="127">
        <v>0</v>
      </c>
      <c r="AJ183" s="127">
        <v>0</v>
      </c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">
      <c r="A184" t="s">
        <v>149</v>
      </c>
      <c r="B184" t="s">
        <v>151</v>
      </c>
      <c r="C184">
        <v>21</v>
      </c>
      <c r="D184" t="s">
        <v>138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>
        <v>0</v>
      </c>
      <c r="AH184" s="127">
        <v>0</v>
      </c>
      <c r="AI184" s="127">
        <v>0</v>
      </c>
      <c r="AJ184" s="127">
        <v>0</v>
      </c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">
      <c r="A185" t="s">
        <v>149</v>
      </c>
      <c r="B185" t="s">
        <v>151</v>
      </c>
      <c r="C185">
        <v>22</v>
      </c>
      <c r="D185" t="s">
        <v>139</v>
      </c>
      <c r="E185" s="14">
        <v>1041815</v>
      </c>
      <c r="F185" s="14">
        <v>1683573.04</v>
      </c>
      <c r="G185" s="127">
        <v>-646688</v>
      </c>
      <c r="H185" s="127">
        <v>-1045047.8080000001</v>
      </c>
      <c r="I185" s="127">
        <v>-372611</v>
      </c>
      <c r="J185" s="127">
        <v>-602139.37600000005</v>
      </c>
      <c r="K185" s="127">
        <v>292912</v>
      </c>
      <c r="L185" s="127">
        <v>473345.79200000002</v>
      </c>
      <c r="M185" s="127">
        <v>2015</v>
      </c>
      <c r="N185" s="127">
        <v>3256.24</v>
      </c>
      <c r="O185" s="127">
        <v>13059</v>
      </c>
      <c r="P185" s="127">
        <v>21103.344000000001</v>
      </c>
      <c r="Q185" s="127">
        <v>-21000</v>
      </c>
      <c r="R185" s="127">
        <v>-33936</v>
      </c>
      <c r="S185" s="127">
        <v>-806967</v>
      </c>
      <c r="T185" s="127">
        <v>-1304058.672</v>
      </c>
      <c r="U185" s="127">
        <v>0</v>
      </c>
      <c r="V185" s="127">
        <v>0</v>
      </c>
      <c r="W185" s="127">
        <v>274463</v>
      </c>
      <c r="X185" s="127">
        <v>443532.20799999998</v>
      </c>
      <c r="Y185" s="127">
        <v>48581</v>
      </c>
      <c r="Z185" s="127">
        <v>77826.762000000002</v>
      </c>
      <c r="AA185" s="127">
        <v>0</v>
      </c>
      <c r="AB185" s="127">
        <v>0</v>
      </c>
      <c r="AC185" s="127">
        <v>-48581</v>
      </c>
      <c r="AD185" s="127">
        <v>-77826.762000000002</v>
      </c>
      <c r="AE185" s="127">
        <v>0</v>
      </c>
      <c r="AF185" s="127">
        <v>0</v>
      </c>
      <c r="AG185" s="127">
        <v>0</v>
      </c>
      <c r="AH185" s="127">
        <v>0</v>
      </c>
      <c r="AI185" s="127">
        <v>0</v>
      </c>
      <c r="AJ185" s="127">
        <v>0</v>
      </c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">
      <c r="A186" t="s">
        <v>149</v>
      </c>
      <c r="B186" t="s">
        <v>151</v>
      </c>
      <c r="C186">
        <v>23</v>
      </c>
      <c r="D186" t="s">
        <v>140</v>
      </c>
      <c r="E186" s="14">
        <v>-1216825</v>
      </c>
      <c r="F186" s="14">
        <v>-1966389.2</v>
      </c>
      <c r="G186" s="127">
        <v>118116</v>
      </c>
      <c r="H186" s="127">
        <v>190875.45600000001</v>
      </c>
      <c r="I186" s="127">
        <v>-30367</v>
      </c>
      <c r="J186" s="127">
        <v>-49073.072</v>
      </c>
      <c r="K186" s="127">
        <v>17967</v>
      </c>
      <c r="L186" s="127">
        <v>29034.671999999999</v>
      </c>
      <c r="M186" s="127">
        <v>-114</v>
      </c>
      <c r="N186" s="127">
        <v>-184.22399999999999</v>
      </c>
      <c r="O186" s="127">
        <v>0</v>
      </c>
      <c r="P186" s="127">
        <v>0</v>
      </c>
      <c r="Q186" s="127">
        <v>0</v>
      </c>
      <c r="R186" s="127">
        <v>0</v>
      </c>
      <c r="S186" s="127">
        <v>-316085</v>
      </c>
      <c r="T186" s="127">
        <v>0</v>
      </c>
      <c r="U186" s="127">
        <v>0</v>
      </c>
      <c r="V186" s="127">
        <v>0</v>
      </c>
      <c r="W186" s="127">
        <v>0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>
        <v>0</v>
      </c>
      <c r="AH186" s="127">
        <v>0</v>
      </c>
      <c r="AI186" s="127">
        <v>0</v>
      </c>
      <c r="AJ186" s="127">
        <v>0</v>
      </c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">
      <c r="A187" t="s">
        <v>149</v>
      </c>
      <c r="B187" t="s">
        <v>151</v>
      </c>
      <c r="C187">
        <v>24</v>
      </c>
      <c r="D187" t="s">
        <v>59</v>
      </c>
      <c r="E187" s="14">
        <v>-57370754</v>
      </c>
      <c r="F187" s="14">
        <v>-2246682.88</v>
      </c>
      <c r="G187" s="127">
        <v>3562571</v>
      </c>
      <c r="H187" s="127">
        <v>434555.1</v>
      </c>
      <c r="I187" s="127">
        <v>-53453</v>
      </c>
      <c r="J187" s="127">
        <v>-33064.26</v>
      </c>
      <c r="K187" s="127">
        <v>567</v>
      </c>
      <c r="L187" s="127">
        <v>494.38</v>
      </c>
      <c r="M187" s="127">
        <v>0</v>
      </c>
      <c r="N187" s="127">
        <v>0</v>
      </c>
      <c r="O187" s="127">
        <v>0</v>
      </c>
      <c r="P187" s="127">
        <v>0</v>
      </c>
      <c r="Q187" s="127">
        <v>-30</v>
      </c>
      <c r="R187" s="127">
        <v>-4.92</v>
      </c>
      <c r="S187" s="127">
        <v>0</v>
      </c>
      <c r="T187" s="127">
        <v>0</v>
      </c>
      <c r="U187" s="127">
        <v>0</v>
      </c>
      <c r="V187" s="127">
        <v>0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0</v>
      </c>
      <c r="AC187" s="127">
        <v>0</v>
      </c>
      <c r="AD187" s="127">
        <v>0</v>
      </c>
      <c r="AE187" s="127">
        <v>0</v>
      </c>
      <c r="AF187" s="127">
        <v>0</v>
      </c>
      <c r="AG187" s="127">
        <v>0</v>
      </c>
      <c r="AH187" s="127">
        <v>0</v>
      </c>
      <c r="AI187" s="127">
        <v>0</v>
      </c>
      <c r="AJ187" s="127">
        <v>0</v>
      </c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">
      <c r="A188" t="s">
        <v>149</v>
      </c>
      <c r="B188" t="s">
        <v>151</v>
      </c>
      <c r="C188">
        <v>25</v>
      </c>
      <c r="D188" t="s">
        <v>60</v>
      </c>
      <c r="E188" s="14">
        <v>0</v>
      </c>
      <c r="F188" s="14">
        <v>-16179147.109999999</v>
      </c>
      <c r="G188" s="127">
        <v>0</v>
      </c>
      <c r="H188" s="127">
        <v>252427.96</v>
      </c>
      <c r="I188" s="127">
        <v>0</v>
      </c>
      <c r="J188" s="127">
        <v>15902.45</v>
      </c>
      <c r="K188" s="127">
        <v>0</v>
      </c>
      <c r="L188" s="127">
        <v>-6916.23</v>
      </c>
      <c r="M188" s="127">
        <v>0</v>
      </c>
      <c r="N188" s="127">
        <v>-0.12</v>
      </c>
      <c r="O188" s="127">
        <v>0</v>
      </c>
      <c r="P188" s="127">
        <v>33.409999999999997</v>
      </c>
      <c r="Q188" s="127">
        <v>0</v>
      </c>
      <c r="R188" s="127">
        <v>0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0</v>
      </c>
      <c r="AE188" s="127">
        <v>0</v>
      </c>
      <c r="AF188" s="127">
        <v>0</v>
      </c>
      <c r="AG188" s="127">
        <v>0</v>
      </c>
      <c r="AH188" s="127">
        <v>0</v>
      </c>
      <c r="AI188" s="127">
        <v>0</v>
      </c>
      <c r="AJ188" s="127">
        <v>0</v>
      </c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">
      <c r="A189" t="s">
        <v>149</v>
      </c>
      <c r="B189" t="s">
        <v>151</v>
      </c>
      <c r="C189">
        <v>26</v>
      </c>
      <c r="D189" t="s">
        <v>141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>
        <v>0</v>
      </c>
      <c r="AJ189" s="127">
        <v>0</v>
      </c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">
      <c r="A190" t="s">
        <v>149</v>
      </c>
      <c r="B190" t="s">
        <v>151</v>
      </c>
      <c r="C190">
        <v>27</v>
      </c>
      <c r="D190" t="s">
        <v>142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>
        <v>0</v>
      </c>
      <c r="AH190" s="127">
        <v>0</v>
      </c>
      <c r="AI190" s="127">
        <v>0</v>
      </c>
      <c r="AJ190" s="127">
        <v>0</v>
      </c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">
      <c r="A191" t="s">
        <v>149</v>
      </c>
      <c r="B191" t="s">
        <v>151</v>
      </c>
      <c r="C191">
        <v>28</v>
      </c>
      <c r="D191" t="s">
        <v>143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>
        <v>0</v>
      </c>
      <c r="AH191" s="127">
        <v>0</v>
      </c>
      <c r="AI191" s="127">
        <v>0</v>
      </c>
      <c r="AJ191" s="127">
        <v>0</v>
      </c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">
      <c r="A192" t="s">
        <v>149</v>
      </c>
      <c r="B192" t="s">
        <v>151</v>
      </c>
      <c r="C192">
        <v>29</v>
      </c>
      <c r="D192" t="s">
        <v>144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>
        <v>0</v>
      </c>
      <c r="AH192" s="127">
        <v>0</v>
      </c>
      <c r="AI192" s="127">
        <v>0</v>
      </c>
      <c r="AJ192" s="127">
        <v>0</v>
      </c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">
      <c r="A193" t="s">
        <v>149</v>
      </c>
      <c r="B193" t="s">
        <v>151</v>
      </c>
      <c r="C193">
        <v>30</v>
      </c>
      <c r="D193" t="s">
        <v>145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>
        <v>0</v>
      </c>
      <c r="AH193" s="127">
        <v>0</v>
      </c>
      <c r="AI193" s="127">
        <v>0</v>
      </c>
      <c r="AJ193" s="127">
        <v>0</v>
      </c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">
      <c r="A194" t="s">
        <v>149</v>
      </c>
      <c r="B194" t="s">
        <v>151</v>
      </c>
      <c r="C194">
        <v>31</v>
      </c>
      <c r="D194" t="s">
        <v>146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>
        <v>0</v>
      </c>
      <c r="AH194" s="127">
        <v>0</v>
      </c>
      <c r="AI194" s="127">
        <v>0</v>
      </c>
      <c r="AJ194" s="127">
        <v>0</v>
      </c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">
      <c r="A195" t="s">
        <v>149</v>
      </c>
      <c r="B195" t="s">
        <v>151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>
        <v>0</v>
      </c>
      <c r="AH195" s="127">
        <v>0</v>
      </c>
      <c r="AI195" s="127">
        <v>0</v>
      </c>
      <c r="AJ195" s="127">
        <v>0</v>
      </c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">
      <c r="A196" t="s">
        <v>149</v>
      </c>
      <c r="B196" t="s">
        <v>151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>
        <v>0</v>
      </c>
      <c r="AH196" s="127">
        <v>0</v>
      </c>
      <c r="AI196" s="127">
        <v>0</v>
      </c>
      <c r="AJ196" s="127">
        <v>0</v>
      </c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">
      <c r="A197" t="s">
        <v>149</v>
      </c>
      <c r="B197" t="s">
        <v>151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>
        <v>0</v>
      </c>
      <c r="AH197" s="127">
        <v>0</v>
      </c>
      <c r="AI197" s="127">
        <v>0</v>
      </c>
      <c r="AJ197" s="127">
        <v>0</v>
      </c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">
      <c r="A198" t="s">
        <v>149</v>
      </c>
      <c r="B198" t="s">
        <v>151</v>
      </c>
      <c r="C198">
        <v>35</v>
      </c>
      <c r="D198" t="s">
        <v>77</v>
      </c>
      <c r="E198" s="14">
        <v>0</v>
      </c>
      <c r="F198" s="14">
        <v>-27984.82</v>
      </c>
      <c r="G198" s="127">
        <v>0</v>
      </c>
      <c r="H198" s="127">
        <v>-178732.49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>
        <v>0</v>
      </c>
      <c r="AH198" s="127">
        <v>0</v>
      </c>
      <c r="AI198" s="127">
        <v>0</v>
      </c>
      <c r="AJ198" s="127">
        <v>0</v>
      </c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">
      <c r="A199" t="s">
        <v>149</v>
      </c>
      <c r="B199" t="s">
        <v>151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>
        <v>0</v>
      </c>
      <c r="AH199" s="127">
        <v>0</v>
      </c>
      <c r="AI199" s="127">
        <v>0</v>
      </c>
      <c r="AJ199" s="127">
        <v>0</v>
      </c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">
      <c r="A200" t="s">
        <v>149</v>
      </c>
      <c r="B200" t="s">
        <v>151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>
        <v>0</v>
      </c>
      <c r="AH200" s="127">
        <v>0</v>
      </c>
      <c r="AI200" s="127">
        <v>0</v>
      </c>
      <c r="AJ200" s="127">
        <v>0</v>
      </c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">
      <c r="A201" t="s">
        <v>149</v>
      </c>
      <c r="B201" t="s">
        <v>151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>
        <v>0</v>
      </c>
      <c r="AH201" s="127">
        <v>0</v>
      </c>
      <c r="AI201" s="127">
        <v>0</v>
      </c>
      <c r="AJ201" s="127">
        <v>0</v>
      </c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">
      <c r="A202" t="s">
        <v>149</v>
      </c>
      <c r="B202" t="s">
        <v>151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>
        <v>0</v>
      </c>
      <c r="AJ202" s="127">
        <v>0</v>
      </c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">
      <c r="A203" t="s">
        <v>149</v>
      </c>
      <c r="B203" t="s">
        <v>151</v>
      </c>
      <c r="C203">
        <v>40</v>
      </c>
      <c r="D203" t="s">
        <v>82</v>
      </c>
      <c r="E203" s="14">
        <v>0</v>
      </c>
      <c r="F203" s="14">
        <v>1053029.19</v>
      </c>
      <c r="G203" s="127">
        <v>0</v>
      </c>
      <c r="H203" s="127">
        <v>45649.7</v>
      </c>
      <c r="I203" s="127">
        <v>0</v>
      </c>
      <c r="J203" s="127">
        <v>0</v>
      </c>
      <c r="K203" s="127">
        <v>0</v>
      </c>
      <c r="L203" s="127">
        <v>-100.95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>
        <v>0</v>
      </c>
      <c r="AH203" s="127">
        <v>0</v>
      </c>
      <c r="AI203" s="127">
        <v>0</v>
      </c>
      <c r="AJ203" s="127">
        <v>0</v>
      </c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">
      <c r="A204" t="s">
        <v>149</v>
      </c>
      <c r="B204" t="s">
        <v>148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>
        <v>0</v>
      </c>
      <c r="AH204" s="127">
        <v>0</v>
      </c>
      <c r="AI204" s="127">
        <v>0</v>
      </c>
      <c r="AJ204" s="127">
        <v>0</v>
      </c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">
      <c r="A205" t="s">
        <v>149</v>
      </c>
      <c r="B205" t="s">
        <v>148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>
        <v>0</v>
      </c>
      <c r="AH205" s="127">
        <v>0</v>
      </c>
      <c r="AI205" s="127">
        <v>0</v>
      </c>
      <c r="AJ205" s="127">
        <v>0</v>
      </c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">
      <c r="A206" t="s">
        <v>149</v>
      </c>
      <c r="B206" t="s">
        <v>148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>
        <v>0</v>
      </c>
      <c r="AH206" s="127">
        <v>0</v>
      </c>
      <c r="AI206" s="127">
        <v>0</v>
      </c>
      <c r="AJ206" s="127">
        <v>0</v>
      </c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">
      <c r="A207" t="s">
        <v>149</v>
      </c>
      <c r="B207" t="s">
        <v>148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>
        <v>0</v>
      </c>
      <c r="AH207" s="127">
        <v>0</v>
      </c>
      <c r="AI207" s="127">
        <v>0</v>
      </c>
      <c r="AJ207" s="127">
        <v>0</v>
      </c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">
      <c r="A208" t="s">
        <v>149</v>
      </c>
      <c r="B208" t="s">
        <v>148</v>
      </c>
      <c r="C208">
        <v>5</v>
      </c>
      <c r="D208" t="s">
        <v>134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>
        <v>0</v>
      </c>
      <c r="AH208" s="127">
        <v>0</v>
      </c>
      <c r="AI208" s="127">
        <v>0</v>
      </c>
      <c r="AJ208" s="127">
        <v>0</v>
      </c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">
      <c r="A209" t="s">
        <v>149</v>
      </c>
      <c r="B209" t="s">
        <v>148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>
        <v>0</v>
      </c>
      <c r="AJ209" s="127">
        <v>0</v>
      </c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">
      <c r="A210" t="s">
        <v>149</v>
      </c>
      <c r="B210" t="s">
        <v>148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>
        <v>0</v>
      </c>
      <c r="AH210" s="127">
        <v>0</v>
      </c>
      <c r="AI210" s="127">
        <v>0</v>
      </c>
      <c r="AJ210" s="127">
        <v>0</v>
      </c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">
      <c r="A211" t="s">
        <v>149</v>
      </c>
      <c r="B211" t="s">
        <v>148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>
        <v>0</v>
      </c>
      <c r="AH211" s="127">
        <v>0</v>
      </c>
      <c r="AI211" s="127">
        <v>0</v>
      </c>
      <c r="AJ211" s="127">
        <v>0</v>
      </c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">
      <c r="A212" t="s">
        <v>149</v>
      </c>
      <c r="B212" t="s">
        <v>148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>
        <v>0</v>
      </c>
      <c r="AH212" s="127">
        <v>0</v>
      </c>
      <c r="AI212" s="127">
        <v>0</v>
      </c>
      <c r="AJ212" s="127">
        <v>0</v>
      </c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">
      <c r="A213" t="s">
        <v>149</v>
      </c>
      <c r="B213" t="s">
        <v>148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>
        <v>0</v>
      </c>
      <c r="AH213" s="127">
        <v>0</v>
      </c>
      <c r="AI213" s="127">
        <v>0</v>
      </c>
      <c r="AJ213" s="127">
        <v>0</v>
      </c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">
      <c r="A214" t="s">
        <v>149</v>
      </c>
      <c r="B214" t="s">
        <v>148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>
        <v>0</v>
      </c>
      <c r="AH214" s="127">
        <v>0</v>
      </c>
      <c r="AI214" s="127">
        <v>0</v>
      </c>
      <c r="AJ214" s="127">
        <v>0</v>
      </c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">
      <c r="A215" t="s">
        <v>149</v>
      </c>
      <c r="B215" t="s">
        <v>148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>
        <v>0</v>
      </c>
      <c r="AH215" s="127">
        <v>0</v>
      </c>
      <c r="AI215" s="127">
        <v>0</v>
      </c>
      <c r="AJ215" s="127">
        <v>0</v>
      </c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">
      <c r="A216" t="s">
        <v>149</v>
      </c>
      <c r="B216" t="s">
        <v>148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>
        <v>0</v>
      </c>
      <c r="AH216" s="127">
        <v>0</v>
      </c>
      <c r="AI216" s="127">
        <v>0</v>
      </c>
      <c r="AJ216" s="127">
        <v>0</v>
      </c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">
      <c r="A217" t="s">
        <v>149</v>
      </c>
      <c r="B217" t="s">
        <v>148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>
        <v>0</v>
      </c>
      <c r="AH217" s="127">
        <v>0</v>
      </c>
      <c r="AI217" s="127">
        <v>0</v>
      </c>
      <c r="AJ217" s="127">
        <v>0</v>
      </c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">
      <c r="A218" t="s">
        <v>149</v>
      </c>
      <c r="B218" t="s">
        <v>148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>
        <v>0</v>
      </c>
      <c r="AH218" s="127">
        <v>0</v>
      </c>
      <c r="AI218" s="127">
        <v>0</v>
      </c>
      <c r="AJ218" s="127">
        <v>0</v>
      </c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">
      <c r="A219" t="s">
        <v>149</v>
      </c>
      <c r="B219" t="s">
        <v>148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>
        <v>0</v>
      </c>
      <c r="AH219" s="127">
        <v>0</v>
      </c>
      <c r="AI219" s="127">
        <v>0</v>
      </c>
      <c r="AJ219" s="127">
        <v>0</v>
      </c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">
      <c r="A220" t="s">
        <v>149</v>
      </c>
      <c r="B220" t="s">
        <v>148</v>
      </c>
      <c r="C220">
        <v>17</v>
      </c>
      <c r="D220" t="s">
        <v>135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>
        <v>0</v>
      </c>
      <c r="AH220" s="127">
        <v>0</v>
      </c>
      <c r="AI220" s="127">
        <v>0</v>
      </c>
      <c r="AJ220" s="127">
        <v>0</v>
      </c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">
      <c r="A221" t="s">
        <v>149</v>
      </c>
      <c r="B221" t="s">
        <v>148</v>
      </c>
      <c r="C221">
        <v>18</v>
      </c>
      <c r="D221" t="s">
        <v>136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>
        <v>0</v>
      </c>
      <c r="AH221" s="127">
        <v>0</v>
      </c>
      <c r="AI221" s="127">
        <v>0</v>
      </c>
      <c r="AJ221" s="127">
        <v>0</v>
      </c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">
      <c r="A222" t="s">
        <v>149</v>
      </c>
      <c r="B222" t="s">
        <v>148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>
        <v>0</v>
      </c>
      <c r="AH222" s="127">
        <v>0</v>
      </c>
      <c r="AI222" s="127">
        <v>0</v>
      </c>
      <c r="AJ222" s="127">
        <v>0</v>
      </c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">
      <c r="A223" t="s">
        <v>149</v>
      </c>
      <c r="B223" t="s">
        <v>148</v>
      </c>
      <c r="C223">
        <v>20</v>
      </c>
      <c r="D223" t="s">
        <v>137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>
        <v>0</v>
      </c>
      <c r="AH223" s="127">
        <v>0</v>
      </c>
      <c r="AI223" s="127">
        <v>0</v>
      </c>
      <c r="AJ223" s="127">
        <v>0</v>
      </c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">
      <c r="A224" t="s">
        <v>149</v>
      </c>
      <c r="B224" t="s">
        <v>148</v>
      </c>
      <c r="C224">
        <v>21</v>
      </c>
      <c r="D224" t="s">
        <v>138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>
        <v>0</v>
      </c>
      <c r="AH224" s="127">
        <v>0</v>
      </c>
      <c r="AI224" s="127">
        <v>0</v>
      </c>
      <c r="AJ224" s="127">
        <v>0</v>
      </c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">
      <c r="A225" t="s">
        <v>149</v>
      </c>
      <c r="B225" t="s">
        <v>148</v>
      </c>
      <c r="C225">
        <v>22</v>
      </c>
      <c r="D225" t="s">
        <v>139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>
        <v>0</v>
      </c>
      <c r="AH225" s="127">
        <v>0</v>
      </c>
      <c r="AI225" s="127">
        <v>0</v>
      </c>
      <c r="AJ225" s="127">
        <v>0</v>
      </c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">
      <c r="A226" t="s">
        <v>149</v>
      </c>
      <c r="B226" t="s">
        <v>148</v>
      </c>
      <c r="C226">
        <v>23</v>
      </c>
      <c r="D226" t="s">
        <v>140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>
        <v>0</v>
      </c>
      <c r="AH226" s="127">
        <v>0</v>
      </c>
      <c r="AI226" s="127">
        <v>0</v>
      </c>
      <c r="AJ226" s="127">
        <v>0</v>
      </c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">
      <c r="A227" t="s">
        <v>149</v>
      </c>
      <c r="B227" t="s">
        <v>148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>
        <v>0</v>
      </c>
      <c r="AH227" s="127">
        <v>0</v>
      </c>
      <c r="AI227" s="127">
        <v>0</v>
      </c>
      <c r="AJ227" s="127">
        <v>0</v>
      </c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">
      <c r="A228" t="s">
        <v>149</v>
      </c>
      <c r="B228" t="s">
        <v>148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>
        <v>0</v>
      </c>
      <c r="AH228" s="127">
        <v>0</v>
      </c>
      <c r="AI228" s="127">
        <v>0</v>
      </c>
      <c r="AJ228" s="127">
        <v>0</v>
      </c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">
      <c r="A229" t="s">
        <v>149</v>
      </c>
      <c r="B229" t="s">
        <v>148</v>
      </c>
      <c r="C229">
        <v>26</v>
      </c>
      <c r="D229" t="s">
        <v>141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>
        <v>0</v>
      </c>
      <c r="AH229" s="127">
        <v>0</v>
      </c>
      <c r="AI229" s="127">
        <v>0</v>
      </c>
      <c r="AJ229" s="127">
        <v>0</v>
      </c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">
      <c r="A230" t="s">
        <v>149</v>
      </c>
      <c r="B230" t="s">
        <v>148</v>
      </c>
      <c r="C230">
        <v>27</v>
      </c>
      <c r="D230" t="s">
        <v>142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>
        <v>0</v>
      </c>
      <c r="AH230" s="127">
        <v>0</v>
      </c>
      <c r="AI230" s="127">
        <v>0</v>
      </c>
      <c r="AJ230" s="127">
        <v>0</v>
      </c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">
      <c r="A231" t="s">
        <v>149</v>
      </c>
      <c r="B231" t="s">
        <v>148</v>
      </c>
      <c r="C231">
        <v>28</v>
      </c>
      <c r="D231" t="s">
        <v>143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>
        <v>0</v>
      </c>
      <c r="AH231" s="127">
        <v>0</v>
      </c>
      <c r="AI231" s="127">
        <v>0</v>
      </c>
      <c r="AJ231" s="127">
        <v>0</v>
      </c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">
      <c r="A232" t="s">
        <v>149</v>
      </c>
      <c r="B232" t="s">
        <v>148</v>
      </c>
      <c r="C232">
        <v>29</v>
      </c>
      <c r="D232" t="s">
        <v>144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>
        <v>0</v>
      </c>
      <c r="AH232" s="127">
        <v>0</v>
      </c>
      <c r="AI232" s="127">
        <v>0</v>
      </c>
      <c r="AJ232" s="127">
        <v>0</v>
      </c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">
      <c r="A233" t="s">
        <v>149</v>
      </c>
      <c r="B233" t="s">
        <v>148</v>
      </c>
      <c r="C233">
        <v>30</v>
      </c>
      <c r="D233" t="s">
        <v>145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>
        <v>0</v>
      </c>
      <c r="AH233" s="127">
        <v>0</v>
      </c>
      <c r="AI233" s="127">
        <v>0</v>
      </c>
      <c r="AJ233" s="127">
        <v>0</v>
      </c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">
      <c r="A234" t="s">
        <v>149</v>
      </c>
      <c r="B234" t="s">
        <v>148</v>
      </c>
      <c r="C234">
        <v>31</v>
      </c>
      <c r="D234" t="s">
        <v>146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>
        <v>0</v>
      </c>
      <c r="AH234" s="127">
        <v>0</v>
      </c>
      <c r="AI234" s="127">
        <v>0</v>
      </c>
      <c r="AJ234" s="127">
        <v>0</v>
      </c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">
      <c r="A235" t="s">
        <v>149</v>
      </c>
      <c r="B235" t="s">
        <v>148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0</v>
      </c>
      <c r="AI235" s="127">
        <v>0</v>
      </c>
      <c r="AJ235" s="127">
        <v>0</v>
      </c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">
      <c r="A236" t="s">
        <v>149</v>
      </c>
      <c r="B236" t="s">
        <v>148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>
        <v>0</v>
      </c>
      <c r="AH236" s="127">
        <v>0</v>
      </c>
      <c r="AI236" s="127">
        <v>0</v>
      </c>
      <c r="AJ236" s="127">
        <v>0</v>
      </c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">
      <c r="A237" t="s">
        <v>149</v>
      </c>
      <c r="B237" t="s">
        <v>148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>
        <v>0</v>
      </c>
      <c r="AH237" s="127">
        <v>0</v>
      </c>
      <c r="AI237" s="127">
        <v>0</v>
      </c>
      <c r="AJ237" s="127">
        <v>0</v>
      </c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">
      <c r="A238" t="s">
        <v>149</v>
      </c>
      <c r="B238" t="s">
        <v>148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>
        <v>0</v>
      </c>
      <c r="AH238" s="127">
        <v>0</v>
      </c>
      <c r="AI238" s="127">
        <v>0</v>
      </c>
      <c r="AJ238" s="127">
        <v>0</v>
      </c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">
      <c r="A239" t="s">
        <v>149</v>
      </c>
      <c r="B239" t="s">
        <v>148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>
        <v>0</v>
      </c>
      <c r="AH239" s="127">
        <v>0</v>
      </c>
      <c r="AI239" s="127">
        <v>0</v>
      </c>
      <c r="AJ239" s="127">
        <v>0</v>
      </c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">
      <c r="A240" t="s">
        <v>149</v>
      </c>
      <c r="B240" t="s">
        <v>148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>
        <v>0</v>
      </c>
      <c r="AH240" s="127">
        <v>0</v>
      </c>
      <c r="AI240" s="127">
        <v>0</v>
      </c>
      <c r="AJ240" s="127">
        <v>0</v>
      </c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">
      <c r="A241" t="s">
        <v>149</v>
      </c>
      <c r="B241" t="s">
        <v>148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>
        <v>0</v>
      </c>
      <c r="AH241" s="127">
        <v>0</v>
      </c>
      <c r="AI241" s="127">
        <v>0</v>
      </c>
      <c r="AJ241" s="127">
        <v>0</v>
      </c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">
      <c r="A242" t="s">
        <v>149</v>
      </c>
      <c r="B242" t="s">
        <v>148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>
        <v>0</v>
      </c>
      <c r="AH242" s="127">
        <v>0</v>
      </c>
      <c r="AI242" s="127">
        <v>0</v>
      </c>
      <c r="AJ242" s="127">
        <v>0</v>
      </c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">
      <c r="A243" t="s">
        <v>149</v>
      </c>
      <c r="B243" t="s">
        <v>148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>
        <v>0</v>
      </c>
      <c r="AH243" s="127">
        <v>0</v>
      </c>
      <c r="AI243" s="127">
        <v>0</v>
      </c>
      <c r="AJ243" s="127">
        <v>0</v>
      </c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">
      <c r="A244" t="s">
        <v>149</v>
      </c>
      <c r="B244" t="s">
        <v>152</v>
      </c>
      <c r="C244">
        <v>1</v>
      </c>
      <c r="D244" t="s">
        <v>29</v>
      </c>
      <c r="E244" s="14">
        <v>34884625</v>
      </c>
      <c r="F244" s="14">
        <v>64009223</v>
      </c>
      <c r="G244" s="127">
        <v>665031</v>
      </c>
      <c r="H244" s="127">
        <v>819568.33999999927</v>
      </c>
      <c r="I244" s="127">
        <v>-32494</v>
      </c>
      <c r="J244" s="127">
        <v>243100.53</v>
      </c>
      <c r="K244" s="127">
        <v>58090</v>
      </c>
      <c r="L244" s="127">
        <v>139576.76</v>
      </c>
      <c r="M244" s="127">
        <v>-50053</v>
      </c>
      <c r="N244" s="127">
        <v>-113411.9</v>
      </c>
      <c r="O244" s="127">
        <v>-809282</v>
      </c>
      <c r="P244" s="127">
        <v>-1834855.55</v>
      </c>
      <c r="Q244" s="127">
        <v>822590</v>
      </c>
      <c r="R244" s="127">
        <v>1894026.95</v>
      </c>
      <c r="S244" s="127">
        <v>-16936</v>
      </c>
      <c r="T244" s="127">
        <v>-31119.87</v>
      </c>
      <c r="U244" s="127">
        <v>83420</v>
      </c>
      <c r="V244" s="127">
        <v>118159.92</v>
      </c>
      <c r="W244" s="127">
        <v>127400</v>
      </c>
      <c r="X244" s="127">
        <v>209573</v>
      </c>
      <c r="Y244" s="127">
        <v>0</v>
      </c>
      <c r="Z244" s="127">
        <v>0</v>
      </c>
      <c r="AA244" s="127">
        <v>0</v>
      </c>
      <c r="AB244" s="127">
        <v>0</v>
      </c>
      <c r="AC244" s="127">
        <v>0</v>
      </c>
      <c r="AD244" s="127">
        <v>0</v>
      </c>
      <c r="AE244" s="127">
        <v>0</v>
      </c>
      <c r="AF244" s="127">
        <v>0</v>
      </c>
      <c r="AG244" s="127">
        <v>3214</v>
      </c>
      <c r="AH244" s="127">
        <v>9681.85</v>
      </c>
      <c r="AI244" s="127">
        <v>0</v>
      </c>
      <c r="AJ244" s="127">
        <v>-9554.6</v>
      </c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">
      <c r="A245" t="s">
        <v>149</v>
      </c>
      <c r="B245" t="s">
        <v>152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>
        <v>0</v>
      </c>
      <c r="AH245" s="127">
        <v>0</v>
      </c>
      <c r="AI245" s="127">
        <v>0</v>
      </c>
      <c r="AJ245" s="127">
        <v>0</v>
      </c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">
      <c r="A246" t="s">
        <v>149</v>
      </c>
      <c r="B246" t="s">
        <v>152</v>
      </c>
      <c r="C246">
        <v>3</v>
      </c>
      <c r="D246" t="s">
        <v>31</v>
      </c>
      <c r="E246" s="14">
        <v>32190862</v>
      </c>
      <c r="F246" s="14">
        <v>55723356</v>
      </c>
      <c r="G246" s="127">
        <v>-255812</v>
      </c>
      <c r="H246" s="127">
        <v>-438529</v>
      </c>
      <c r="I246" s="127">
        <v>0</v>
      </c>
      <c r="J246" s="127">
        <v>0</v>
      </c>
      <c r="K246" s="127">
        <v>0</v>
      </c>
      <c r="L246" s="127">
        <v>0</v>
      </c>
      <c r="M246" s="127">
        <v>0</v>
      </c>
      <c r="N246" s="127">
        <v>0</v>
      </c>
      <c r="O246" s="127">
        <v>0</v>
      </c>
      <c r="P246" s="127">
        <v>0</v>
      </c>
      <c r="Q246" s="127">
        <v>0</v>
      </c>
      <c r="R246" s="127">
        <v>0</v>
      </c>
      <c r="S246" s="127">
        <v>979321</v>
      </c>
      <c r="T246" s="127">
        <v>1699228</v>
      </c>
      <c r="U246" s="127">
        <v>979321</v>
      </c>
      <c r="V246" s="127">
        <v>1699228</v>
      </c>
      <c r="W246" s="127">
        <v>-1702830</v>
      </c>
      <c r="X246" s="127">
        <v>-2959927</v>
      </c>
      <c r="Y246" s="127">
        <v>1043939</v>
      </c>
      <c r="Z246" s="127">
        <v>1707378</v>
      </c>
      <c r="AA246" s="127">
        <v>0</v>
      </c>
      <c r="AB246" s="127">
        <v>0</v>
      </c>
      <c r="AC246" s="127">
        <v>-1043939</v>
      </c>
      <c r="AD246" s="127">
        <v>-1707378</v>
      </c>
      <c r="AE246" s="127">
        <v>0</v>
      </c>
      <c r="AF246" s="127">
        <v>0</v>
      </c>
      <c r="AG246" s="127">
        <v>0</v>
      </c>
      <c r="AH246" s="127">
        <v>0</v>
      </c>
      <c r="AI246" s="127">
        <v>0</v>
      </c>
      <c r="AJ246" s="127">
        <v>0</v>
      </c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">
      <c r="A247" t="s">
        <v>149</v>
      </c>
      <c r="B247" t="s">
        <v>152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>
        <v>0</v>
      </c>
      <c r="AH247" s="127">
        <v>0</v>
      </c>
      <c r="AI247" s="127">
        <v>0</v>
      </c>
      <c r="AJ247" s="127">
        <v>0</v>
      </c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">
      <c r="A248" t="s">
        <v>149</v>
      </c>
      <c r="B248" t="s">
        <v>152</v>
      </c>
      <c r="C248">
        <v>5</v>
      </c>
      <c r="D248" t="s">
        <v>134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>
        <v>0</v>
      </c>
      <c r="AH248" s="127">
        <v>0</v>
      </c>
      <c r="AI248" s="127">
        <v>0</v>
      </c>
      <c r="AJ248" s="127">
        <v>0</v>
      </c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">
      <c r="A249" t="s">
        <v>149</v>
      </c>
      <c r="B249" t="s">
        <v>152</v>
      </c>
      <c r="C249">
        <v>6</v>
      </c>
      <c r="D249" t="s">
        <v>29</v>
      </c>
      <c r="E249" s="14">
        <v>-25154705</v>
      </c>
      <c r="F249" s="14">
        <v>-41232310.310000002</v>
      </c>
      <c r="G249" s="127">
        <v>12955225</v>
      </c>
      <c r="H249" s="127">
        <v>21191967.199999999</v>
      </c>
      <c r="I249" s="127">
        <v>91169</v>
      </c>
      <c r="J249" s="127">
        <v>157861.92000000001</v>
      </c>
      <c r="K249" s="127">
        <v>-13061054</v>
      </c>
      <c r="L249" s="127">
        <v>-21371019.140000001</v>
      </c>
      <c r="M249" s="127">
        <v>-2036</v>
      </c>
      <c r="N249" s="127">
        <v>-1363.6</v>
      </c>
      <c r="O249" s="127">
        <v>6129</v>
      </c>
      <c r="P249" s="127">
        <v>22221.86</v>
      </c>
      <c r="Q249" s="127">
        <v>114228</v>
      </c>
      <c r="R249" s="127">
        <v>196549.83</v>
      </c>
      <c r="S249" s="127">
        <v>-17068</v>
      </c>
      <c r="T249" s="127">
        <v>-29783.49</v>
      </c>
      <c r="U249" s="127">
        <v>-139505</v>
      </c>
      <c r="V249" s="127">
        <v>-225738.71</v>
      </c>
      <c r="W249" s="127">
        <v>-39838</v>
      </c>
      <c r="X249" s="127">
        <v>-71493.87</v>
      </c>
      <c r="Y249" s="127">
        <v>0</v>
      </c>
      <c r="Z249" s="127">
        <v>0</v>
      </c>
      <c r="AA249" s="127">
        <v>0</v>
      </c>
      <c r="AB249" s="127">
        <v>0</v>
      </c>
      <c r="AC249" s="127">
        <v>0</v>
      </c>
      <c r="AD249" s="127">
        <v>0</v>
      </c>
      <c r="AE249" s="127">
        <v>0</v>
      </c>
      <c r="AF249" s="127">
        <v>0</v>
      </c>
      <c r="AG249" s="127">
        <v>-63</v>
      </c>
      <c r="AH249" s="127">
        <v>-180.92</v>
      </c>
      <c r="AI249" s="127">
        <v>0</v>
      </c>
      <c r="AJ249" s="127">
        <v>0</v>
      </c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">
      <c r="A250" t="s">
        <v>149</v>
      </c>
      <c r="B250" t="s">
        <v>152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0</v>
      </c>
      <c r="AI250" s="127">
        <v>0</v>
      </c>
      <c r="AJ250" s="127">
        <v>0</v>
      </c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">
      <c r="A251" t="s">
        <v>149</v>
      </c>
      <c r="B251" t="s">
        <v>152</v>
      </c>
      <c r="C251">
        <v>8</v>
      </c>
      <c r="D251" t="s">
        <v>31</v>
      </c>
      <c r="E251" s="14">
        <v>-32173461</v>
      </c>
      <c r="F251" s="14">
        <v>-55608735</v>
      </c>
      <c r="G251" s="127">
        <v>141625</v>
      </c>
      <c r="H251" s="127">
        <v>243254</v>
      </c>
      <c r="I251" s="127">
        <v>2264</v>
      </c>
      <c r="J251" s="127">
        <v>3588</v>
      </c>
      <c r="K251" s="127">
        <v>0</v>
      </c>
      <c r="L251" s="127">
        <v>0</v>
      </c>
      <c r="M251" s="127">
        <v>0</v>
      </c>
      <c r="N251" s="127">
        <v>0</v>
      </c>
      <c r="O251" s="127">
        <v>2343</v>
      </c>
      <c r="P251" s="127">
        <v>3713</v>
      </c>
      <c r="Q251" s="127">
        <v>0</v>
      </c>
      <c r="R251" s="127">
        <v>0</v>
      </c>
      <c r="S251" s="127">
        <v>-979321</v>
      </c>
      <c r="T251" s="127">
        <v>-1699228</v>
      </c>
      <c r="U251" s="127">
        <v>-979321</v>
      </c>
      <c r="V251" s="127">
        <v>-1699228</v>
      </c>
      <c r="W251" s="127">
        <v>1812410</v>
      </c>
      <c r="X251" s="127">
        <v>3147901</v>
      </c>
      <c r="Y251" s="127">
        <v>-769476</v>
      </c>
      <c r="Z251" s="127">
        <v>-1245654</v>
      </c>
      <c r="AA251" s="127">
        <v>0</v>
      </c>
      <c r="AB251" s="127">
        <v>0</v>
      </c>
      <c r="AC251" s="127">
        <v>769476</v>
      </c>
      <c r="AD251" s="127">
        <v>1245654</v>
      </c>
      <c r="AE251" s="127">
        <v>0</v>
      </c>
      <c r="AF251" s="127">
        <v>0</v>
      </c>
      <c r="AG251" s="127">
        <v>0</v>
      </c>
      <c r="AH251" s="127">
        <v>0</v>
      </c>
      <c r="AI251" s="127">
        <v>0</v>
      </c>
      <c r="AJ251" s="127">
        <v>0</v>
      </c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">
      <c r="A252" t="s">
        <v>149</v>
      </c>
      <c r="B252" t="s">
        <v>152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>
        <v>0</v>
      </c>
      <c r="AH252" s="127">
        <v>0</v>
      </c>
      <c r="AI252" s="127">
        <v>0</v>
      </c>
      <c r="AJ252" s="127">
        <v>0</v>
      </c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">
      <c r="A253" t="s">
        <v>149</v>
      </c>
      <c r="B253" t="s">
        <v>152</v>
      </c>
      <c r="C253">
        <v>10</v>
      </c>
      <c r="D253" t="s">
        <v>36</v>
      </c>
      <c r="E253" s="14">
        <v>-1904</v>
      </c>
      <c r="F253" s="14">
        <v>-2928</v>
      </c>
      <c r="G253" s="127">
        <v>4304</v>
      </c>
      <c r="H253" s="127">
        <v>6619.55</v>
      </c>
      <c r="I253" s="127">
        <v>0</v>
      </c>
      <c r="J253" s="127">
        <v>0</v>
      </c>
      <c r="K253" s="127">
        <v>0</v>
      </c>
      <c r="L253" s="127">
        <v>0</v>
      </c>
      <c r="M253" s="127">
        <v>0</v>
      </c>
      <c r="N253" s="127">
        <v>0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>
        <v>0</v>
      </c>
      <c r="AH253" s="127">
        <v>0</v>
      </c>
      <c r="AI253" s="127">
        <v>0</v>
      </c>
      <c r="AJ253" s="127">
        <v>0</v>
      </c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">
      <c r="A254" t="s">
        <v>149</v>
      </c>
      <c r="B254" t="s">
        <v>152</v>
      </c>
      <c r="C254">
        <v>11</v>
      </c>
      <c r="D254" t="s">
        <v>39</v>
      </c>
      <c r="E254" s="14">
        <v>7231771</v>
      </c>
      <c r="F254" s="14">
        <v>11926631.399999999</v>
      </c>
      <c r="G254" s="127">
        <v>967393</v>
      </c>
      <c r="H254" s="127">
        <v>1600471.2</v>
      </c>
      <c r="I254" s="127">
        <v>-74290</v>
      </c>
      <c r="J254" s="127">
        <v>-122578.5</v>
      </c>
      <c r="K254" s="127">
        <v>-7275</v>
      </c>
      <c r="L254" s="127">
        <v>-12003.75</v>
      </c>
      <c r="M254" s="127">
        <v>8339</v>
      </c>
      <c r="N254" s="127">
        <v>13759</v>
      </c>
      <c r="O254" s="127">
        <v>-37549</v>
      </c>
      <c r="P254" s="127">
        <v>-61955</v>
      </c>
      <c r="Q254" s="127">
        <v>0</v>
      </c>
      <c r="R254" s="127">
        <v>0</v>
      </c>
      <c r="S254" s="127">
        <v>17173</v>
      </c>
      <c r="T254" s="127">
        <v>28335.45</v>
      </c>
      <c r="U254" s="127">
        <v>46971</v>
      </c>
      <c r="V254" s="127">
        <v>77502.149999999994</v>
      </c>
      <c r="W254" s="127">
        <v>0</v>
      </c>
      <c r="X254" s="127">
        <v>0</v>
      </c>
      <c r="Y254" s="127">
        <v>0</v>
      </c>
      <c r="Z254" s="127">
        <v>0</v>
      </c>
      <c r="AA254" s="127">
        <v>0</v>
      </c>
      <c r="AB254" s="127">
        <v>0</v>
      </c>
      <c r="AC254" s="127">
        <v>0</v>
      </c>
      <c r="AD254" s="127">
        <v>0</v>
      </c>
      <c r="AE254" s="127">
        <v>0</v>
      </c>
      <c r="AF254" s="127">
        <v>0</v>
      </c>
      <c r="AG254" s="127">
        <v>0</v>
      </c>
      <c r="AH254" s="127">
        <v>0</v>
      </c>
      <c r="AI254" s="127">
        <v>0</v>
      </c>
      <c r="AJ254" s="127">
        <v>0</v>
      </c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">
      <c r="A255" t="s">
        <v>149</v>
      </c>
      <c r="B255" t="s">
        <v>152</v>
      </c>
      <c r="C255">
        <v>12</v>
      </c>
      <c r="D255" t="s">
        <v>40</v>
      </c>
      <c r="E255" s="14">
        <v>-12831867</v>
      </c>
      <c r="F255" s="14">
        <v>-20994637.219999999</v>
      </c>
      <c r="G255" s="127">
        <v>-12892558</v>
      </c>
      <c r="H255" s="127">
        <v>-21092735.219999999</v>
      </c>
      <c r="I255" s="127">
        <v>15748</v>
      </c>
      <c r="J255" s="127">
        <v>25368.560000000001</v>
      </c>
      <c r="K255" s="127">
        <v>12981830</v>
      </c>
      <c r="L255" s="127">
        <v>21240144.57</v>
      </c>
      <c r="M255" s="127">
        <v>-96581</v>
      </c>
      <c r="N255" s="127">
        <v>-159359</v>
      </c>
      <c r="O255" s="127">
        <v>-28517</v>
      </c>
      <c r="P255" s="127">
        <v>-47053</v>
      </c>
      <c r="Q255" s="127">
        <v>0</v>
      </c>
      <c r="R255" s="127">
        <v>0</v>
      </c>
      <c r="S255" s="127">
        <v>20116</v>
      </c>
      <c r="T255" s="127">
        <v>33191.4</v>
      </c>
      <c r="U255" s="127">
        <v>-22901</v>
      </c>
      <c r="V255" s="127">
        <v>-37786.65</v>
      </c>
      <c r="W255" s="127">
        <v>0</v>
      </c>
      <c r="X255" s="127">
        <v>0</v>
      </c>
      <c r="Y255" s="127">
        <v>0</v>
      </c>
      <c r="Z255" s="127">
        <v>0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>
        <v>0</v>
      </c>
      <c r="AH255" s="127">
        <v>0</v>
      </c>
      <c r="AI255" s="127">
        <v>0</v>
      </c>
      <c r="AJ255" s="127">
        <v>0</v>
      </c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">
      <c r="A256" t="s">
        <v>149</v>
      </c>
      <c r="B256" t="s">
        <v>152</v>
      </c>
      <c r="C256">
        <v>13</v>
      </c>
      <c r="D256" t="s">
        <v>43</v>
      </c>
      <c r="E256" s="14">
        <v>76102</v>
      </c>
      <c r="F256" s="14">
        <v>117045</v>
      </c>
      <c r="G256" s="127">
        <v>-88599</v>
      </c>
      <c r="H256" s="127">
        <v>-139764.54999999999</v>
      </c>
      <c r="I256" s="127">
        <v>-32911</v>
      </c>
      <c r="J256" s="127">
        <v>-47117.95</v>
      </c>
      <c r="K256" s="127">
        <v>-4308</v>
      </c>
      <c r="L256" s="127">
        <v>-38593.1</v>
      </c>
      <c r="M256" s="127">
        <v>5585</v>
      </c>
      <c r="N256" s="127">
        <v>12566.25</v>
      </c>
      <c r="O256" s="127">
        <v>32059</v>
      </c>
      <c r="P256" s="127">
        <v>124307.336</v>
      </c>
      <c r="Q256" s="127">
        <v>-50271</v>
      </c>
      <c r="R256" s="127">
        <v>-173088.27</v>
      </c>
      <c r="S256" s="127">
        <v>-13361</v>
      </c>
      <c r="T256" s="127">
        <v>-3755.42</v>
      </c>
      <c r="U256" s="127">
        <v>-492064</v>
      </c>
      <c r="V256" s="127">
        <v>-756794.43200000003</v>
      </c>
      <c r="W256" s="127">
        <v>0</v>
      </c>
      <c r="X256" s="127">
        <v>0</v>
      </c>
      <c r="Y256" s="127">
        <v>0</v>
      </c>
      <c r="Z256" s="127">
        <v>0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>
        <v>0</v>
      </c>
      <c r="AJ256" s="127">
        <v>0</v>
      </c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">
      <c r="A257" t="s">
        <v>149</v>
      </c>
      <c r="B257" t="s">
        <v>152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>
        <v>0</v>
      </c>
      <c r="AH257" s="127">
        <v>0</v>
      </c>
      <c r="AI257" s="127">
        <v>0</v>
      </c>
      <c r="AJ257" s="127">
        <v>0</v>
      </c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">
      <c r="A258" t="s">
        <v>149</v>
      </c>
      <c r="B258" t="s">
        <v>152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>
        <v>0</v>
      </c>
      <c r="AH258" s="127">
        <v>0</v>
      </c>
      <c r="AI258" s="127">
        <v>0</v>
      </c>
      <c r="AJ258" s="127">
        <v>0</v>
      </c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">
      <c r="A259" t="s">
        <v>149</v>
      </c>
      <c r="B259" t="s">
        <v>152</v>
      </c>
      <c r="C259">
        <v>16</v>
      </c>
      <c r="D259" t="s">
        <v>46</v>
      </c>
      <c r="E259" s="14">
        <v>0</v>
      </c>
      <c r="F259" s="14">
        <v>0.01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>
        <v>0</v>
      </c>
      <c r="AH259" s="127">
        <v>0</v>
      </c>
      <c r="AI259" s="127">
        <v>0</v>
      </c>
      <c r="AJ259" s="127">
        <v>0</v>
      </c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">
      <c r="A260" t="s">
        <v>149</v>
      </c>
      <c r="B260" t="s">
        <v>152</v>
      </c>
      <c r="C260">
        <v>17</v>
      </c>
      <c r="D260" t="s">
        <v>135</v>
      </c>
      <c r="E260" s="14">
        <v>0</v>
      </c>
      <c r="F260" s="14">
        <v>0</v>
      </c>
      <c r="G260" s="127">
        <v>0</v>
      </c>
      <c r="H260" s="127">
        <v>0</v>
      </c>
      <c r="I260" s="127">
        <v>0</v>
      </c>
      <c r="J260" s="127">
        <v>0</v>
      </c>
      <c r="K260" s="127">
        <v>0</v>
      </c>
      <c r="L260" s="127">
        <v>0</v>
      </c>
      <c r="M260" s="127">
        <v>0</v>
      </c>
      <c r="N260" s="127">
        <v>0</v>
      </c>
      <c r="O260" s="127">
        <v>0</v>
      </c>
      <c r="P260" s="127">
        <v>0</v>
      </c>
      <c r="Q260" s="127">
        <v>0</v>
      </c>
      <c r="R260" s="127">
        <v>0</v>
      </c>
      <c r="S260" s="127">
        <v>0</v>
      </c>
      <c r="T260" s="127">
        <v>0</v>
      </c>
      <c r="U260" s="127">
        <v>0</v>
      </c>
      <c r="V260" s="127">
        <v>0</v>
      </c>
      <c r="W260" s="127">
        <v>0</v>
      </c>
      <c r="X260" s="127">
        <v>0</v>
      </c>
      <c r="Y260" s="127">
        <v>0</v>
      </c>
      <c r="Z260" s="127">
        <v>0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>
        <v>0</v>
      </c>
      <c r="AH260" s="127">
        <v>0</v>
      </c>
      <c r="AI260" s="127">
        <v>0</v>
      </c>
      <c r="AJ260" s="127">
        <v>0</v>
      </c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">
      <c r="A261" t="s">
        <v>149</v>
      </c>
      <c r="B261" t="s">
        <v>152</v>
      </c>
      <c r="C261">
        <v>18</v>
      </c>
      <c r="D261" t="s">
        <v>136</v>
      </c>
      <c r="E261" s="14">
        <v>-4204391</v>
      </c>
      <c r="F261" s="14">
        <v>-7739576.7199999997</v>
      </c>
      <c r="G261" s="127">
        <v>-1157935</v>
      </c>
      <c r="H261" s="127">
        <v>-2121637.98</v>
      </c>
      <c r="I261" s="127">
        <v>-15400</v>
      </c>
      <c r="J261" s="127">
        <v>49295.4</v>
      </c>
      <c r="K261" s="127">
        <v>-56482</v>
      </c>
      <c r="L261" s="127">
        <v>-103489.71</v>
      </c>
      <c r="M261" s="127">
        <v>62233</v>
      </c>
      <c r="N261" s="127">
        <v>58231.67</v>
      </c>
      <c r="O261" s="127">
        <v>-31676</v>
      </c>
      <c r="P261" s="127">
        <v>-178367.79</v>
      </c>
      <c r="Q261" s="127">
        <v>-15392</v>
      </c>
      <c r="R261" s="127">
        <v>-28970.95</v>
      </c>
      <c r="S261" s="127">
        <v>20850</v>
      </c>
      <c r="T261" s="127">
        <v>39113.269999999997</v>
      </c>
      <c r="U261" s="127">
        <v>-16581</v>
      </c>
      <c r="V261" s="127">
        <v>-31093.53</v>
      </c>
      <c r="W261" s="127">
        <v>53486</v>
      </c>
      <c r="X261" s="127">
        <v>428996.82</v>
      </c>
      <c r="Y261" s="127">
        <v>0</v>
      </c>
      <c r="Z261" s="127">
        <v>0</v>
      </c>
      <c r="AA261" s="127">
        <v>0</v>
      </c>
      <c r="AB261" s="127">
        <v>0</v>
      </c>
      <c r="AC261" s="127">
        <v>0</v>
      </c>
      <c r="AD261" s="127">
        <v>0</v>
      </c>
      <c r="AE261" s="127">
        <v>0</v>
      </c>
      <c r="AF261" s="127">
        <v>0</v>
      </c>
      <c r="AG261" s="127">
        <v>0</v>
      </c>
      <c r="AH261" s="127">
        <v>0</v>
      </c>
      <c r="AI261" s="127">
        <v>0</v>
      </c>
      <c r="AJ261" s="127">
        <v>0</v>
      </c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">
      <c r="A262" t="s">
        <v>149</v>
      </c>
      <c r="B262" t="s">
        <v>152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>
        <v>0</v>
      </c>
      <c r="AH262" s="127">
        <v>0</v>
      </c>
      <c r="AI262" s="127">
        <v>0</v>
      </c>
      <c r="AJ262" s="127">
        <v>0</v>
      </c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">
      <c r="A263" t="s">
        <v>149</v>
      </c>
      <c r="B263" t="s">
        <v>152</v>
      </c>
      <c r="C263">
        <v>20</v>
      </c>
      <c r="D263" t="s">
        <v>137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>
        <v>0</v>
      </c>
      <c r="AH263" s="127">
        <v>0</v>
      </c>
      <c r="AI263" s="127">
        <v>0</v>
      </c>
      <c r="AJ263" s="127">
        <v>0</v>
      </c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">
      <c r="A264" t="s">
        <v>149</v>
      </c>
      <c r="B264" t="s">
        <v>152</v>
      </c>
      <c r="C264">
        <v>21</v>
      </c>
      <c r="D264" t="s">
        <v>138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>
        <v>0</v>
      </c>
      <c r="AH264" s="127">
        <v>0</v>
      </c>
      <c r="AI264" s="127">
        <v>0</v>
      </c>
      <c r="AJ264" s="127">
        <v>0</v>
      </c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">
      <c r="A265" t="s">
        <v>149</v>
      </c>
      <c r="B265" t="s">
        <v>152</v>
      </c>
      <c r="C265">
        <v>22</v>
      </c>
      <c r="D265" t="s">
        <v>139</v>
      </c>
      <c r="E265" s="14">
        <v>-17032</v>
      </c>
      <c r="F265" s="14">
        <v>-26195.216</v>
      </c>
      <c r="G265" s="127">
        <v>-338674</v>
      </c>
      <c r="H265" s="127">
        <v>-520880.61199999996</v>
      </c>
      <c r="I265" s="127">
        <v>45914</v>
      </c>
      <c r="J265" s="127">
        <v>70615.732000000004</v>
      </c>
      <c r="K265" s="127">
        <v>89199</v>
      </c>
      <c r="L265" s="127">
        <v>137188.06200000001</v>
      </c>
      <c r="M265" s="127">
        <v>72513</v>
      </c>
      <c r="N265" s="127">
        <v>111524.99400000001</v>
      </c>
      <c r="O265" s="127">
        <v>866493</v>
      </c>
      <c r="P265" s="127">
        <v>1332666.2339999999</v>
      </c>
      <c r="Q265" s="127">
        <v>-871155</v>
      </c>
      <c r="R265" s="127">
        <v>-1339836.3899999999</v>
      </c>
      <c r="S265" s="127">
        <v>-10774</v>
      </c>
      <c r="T265" s="127">
        <v>-16570.412</v>
      </c>
      <c r="U265" s="127">
        <v>540660</v>
      </c>
      <c r="V265" s="127">
        <v>831535.08</v>
      </c>
      <c r="W265" s="127">
        <v>-250628</v>
      </c>
      <c r="X265" s="127">
        <v>-385465.864</v>
      </c>
      <c r="Y265" s="127">
        <v>-274463</v>
      </c>
      <c r="Z265" s="127">
        <v>-443532.20799999998</v>
      </c>
      <c r="AA265" s="127">
        <v>0</v>
      </c>
      <c r="AB265" s="127">
        <v>0</v>
      </c>
      <c r="AC265" s="127">
        <v>274463</v>
      </c>
      <c r="AD265" s="127">
        <v>443532.20799999998</v>
      </c>
      <c r="AE265" s="127">
        <v>0</v>
      </c>
      <c r="AF265" s="127">
        <v>0</v>
      </c>
      <c r="AG265" s="127">
        <v>-3151</v>
      </c>
      <c r="AH265" s="127">
        <v>-5092.0159999999996</v>
      </c>
      <c r="AI265" s="127">
        <v>0</v>
      </c>
      <c r="AJ265" s="127">
        <v>0</v>
      </c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">
      <c r="A266" t="s">
        <v>149</v>
      </c>
      <c r="B266" t="s">
        <v>152</v>
      </c>
      <c r="C266">
        <v>23</v>
      </c>
      <c r="D266" t="s">
        <v>140</v>
      </c>
      <c r="E266" s="14">
        <v>1904</v>
      </c>
      <c r="F266" s="14">
        <v>2928</v>
      </c>
      <c r="G266" s="127">
        <v>-4304</v>
      </c>
      <c r="H266" s="127">
        <v>-6619.55</v>
      </c>
      <c r="I266" s="127">
        <v>0</v>
      </c>
      <c r="J266" s="127">
        <v>0</v>
      </c>
      <c r="K266" s="127">
        <v>0</v>
      </c>
      <c r="L266" s="127">
        <v>0</v>
      </c>
      <c r="M266" s="127">
        <v>0</v>
      </c>
      <c r="N266" s="127">
        <v>0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>
        <v>0</v>
      </c>
      <c r="AH266" s="127">
        <v>0</v>
      </c>
      <c r="AI266" s="127">
        <v>0</v>
      </c>
      <c r="AJ266" s="127">
        <v>0</v>
      </c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">
      <c r="A267" t="s">
        <v>149</v>
      </c>
      <c r="B267" t="s">
        <v>152</v>
      </c>
      <c r="C267">
        <v>24</v>
      </c>
      <c r="D267" t="s">
        <v>59</v>
      </c>
      <c r="E267" s="14">
        <v>-32728540</v>
      </c>
      <c r="F267" s="14">
        <v>-212789.79</v>
      </c>
      <c r="G267" s="127">
        <v>52687885</v>
      </c>
      <c r="H267" s="127">
        <v>467752.29</v>
      </c>
      <c r="I267" s="127">
        <v>-463618</v>
      </c>
      <c r="J267" s="127">
        <v>-109322.85</v>
      </c>
      <c r="K267" s="127">
        <v>144367</v>
      </c>
      <c r="L267" s="127">
        <v>6046.8</v>
      </c>
      <c r="M267" s="127">
        <v>0</v>
      </c>
      <c r="N267" s="127">
        <v>984</v>
      </c>
      <c r="O267" s="127">
        <v>0</v>
      </c>
      <c r="P267" s="127">
        <v>0</v>
      </c>
      <c r="Q267" s="127">
        <v>28062</v>
      </c>
      <c r="R267" s="127">
        <v>592.48</v>
      </c>
      <c r="S267" s="127">
        <v>-252477</v>
      </c>
      <c r="T267" s="127">
        <v>-46.05</v>
      </c>
      <c r="U267" s="127">
        <v>-61537</v>
      </c>
      <c r="V267" s="127">
        <v>90.15</v>
      </c>
      <c r="W267" s="127">
        <v>-100678</v>
      </c>
      <c r="X267" s="127">
        <v>-35.03</v>
      </c>
      <c r="Y267" s="127">
        <v>0</v>
      </c>
      <c r="Z267" s="127">
        <v>0</v>
      </c>
      <c r="AA267" s="127">
        <v>0</v>
      </c>
      <c r="AB267" s="127">
        <v>0</v>
      </c>
      <c r="AC267" s="127">
        <v>0</v>
      </c>
      <c r="AD267" s="127">
        <v>0</v>
      </c>
      <c r="AE267" s="127">
        <v>0</v>
      </c>
      <c r="AF267" s="127">
        <v>0</v>
      </c>
      <c r="AG267" s="127">
        <v>0</v>
      </c>
      <c r="AH267" s="127">
        <v>-79488.78</v>
      </c>
      <c r="AI267" s="127">
        <v>0</v>
      </c>
      <c r="AJ267" s="127">
        <v>0</v>
      </c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">
      <c r="A268" t="s">
        <v>149</v>
      </c>
      <c r="B268" t="s">
        <v>152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>
        <v>0</v>
      </c>
      <c r="AH268" s="127">
        <v>0</v>
      </c>
      <c r="AI268" s="127">
        <v>0</v>
      </c>
      <c r="AJ268" s="127">
        <v>0</v>
      </c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">
      <c r="A269" t="s">
        <v>149</v>
      </c>
      <c r="B269" t="s">
        <v>152</v>
      </c>
      <c r="C269">
        <v>26</v>
      </c>
      <c r="D269" t="s">
        <v>141</v>
      </c>
      <c r="E269" s="14">
        <v>0</v>
      </c>
      <c r="F269" s="14">
        <v>0</v>
      </c>
      <c r="G269" s="127">
        <v>0</v>
      </c>
      <c r="H269" s="127">
        <v>35000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200</v>
      </c>
      <c r="Q269" s="127">
        <v>0</v>
      </c>
      <c r="R269" s="127">
        <v>0</v>
      </c>
      <c r="S269" s="127">
        <v>0</v>
      </c>
      <c r="T269" s="127">
        <v>0</v>
      </c>
      <c r="U269" s="127">
        <v>0</v>
      </c>
      <c r="V269" s="127">
        <v>0</v>
      </c>
      <c r="W269" s="127">
        <v>0</v>
      </c>
      <c r="X269" s="127">
        <v>269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>
        <v>0</v>
      </c>
      <c r="AH269" s="127">
        <v>0</v>
      </c>
      <c r="AI269" s="127">
        <v>0</v>
      </c>
      <c r="AJ269" s="127">
        <v>0</v>
      </c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">
      <c r="A270" t="s">
        <v>149</v>
      </c>
      <c r="B270" t="s">
        <v>152</v>
      </c>
      <c r="C270">
        <v>27</v>
      </c>
      <c r="D270" t="s">
        <v>142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>
        <v>0</v>
      </c>
      <c r="AH270" s="127">
        <v>0</v>
      </c>
      <c r="AI270" s="127">
        <v>0</v>
      </c>
      <c r="AJ270" s="127">
        <v>0</v>
      </c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">
      <c r="A271" t="s">
        <v>149</v>
      </c>
      <c r="B271" t="s">
        <v>152</v>
      </c>
      <c r="C271">
        <v>28</v>
      </c>
      <c r="D271" t="s">
        <v>143</v>
      </c>
      <c r="E271" s="14">
        <v>-21189895</v>
      </c>
      <c r="F271" s="14">
        <v>-379643.33</v>
      </c>
      <c r="G271" s="127">
        <v>-29365243</v>
      </c>
      <c r="H271" s="127">
        <v>-417596.08</v>
      </c>
      <c r="I271" s="127">
        <v>96468</v>
      </c>
      <c r="J271" s="127">
        <v>-64382.45</v>
      </c>
      <c r="K271" s="127">
        <v>-526396</v>
      </c>
      <c r="L271" s="127">
        <v>-501.04</v>
      </c>
      <c r="M271" s="127">
        <v>-75490</v>
      </c>
      <c r="N271" s="127">
        <v>39</v>
      </c>
      <c r="O271" s="127">
        <v>12037</v>
      </c>
      <c r="P271" s="127">
        <v>68589</v>
      </c>
      <c r="Q271" s="127">
        <v>175973</v>
      </c>
      <c r="R271" s="127">
        <v>2.4700000000000002</v>
      </c>
      <c r="S271" s="127">
        <v>-5048</v>
      </c>
      <c r="T271" s="127">
        <v>0</v>
      </c>
      <c r="U271" s="127">
        <v>0</v>
      </c>
      <c r="V271" s="127">
        <v>0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>
        <v>0</v>
      </c>
      <c r="AH271" s="127">
        <v>0</v>
      </c>
      <c r="AI271" s="127">
        <v>0</v>
      </c>
      <c r="AJ271" s="127">
        <v>0</v>
      </c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">
      <c r="A272" t="s">
        <v>149</v>
      </c>
      <c r="B272" t="s">
        <v>152</v>
      </c>
      <c r="C272">
        <v>29</v>
      </c>
      <c r="D272" t="s">
        <v>144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>
        <v>0</v>
      </c>
      <c r="AH272" s="127">
        <v>0</v>
      </c>
      <c r="AI272" s="127">
        <v>0</v>
      </c>
      <c r="AJ272" s="127">
        <v>0</v>
      </c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">
      <c r="A273" t="s">
        <v>149</v>
      </c>
      <c r="B273" t="s">
        <v>152</v>
      </c>
      <c r="C273">
        <v>30</v>
      </c>
      <c r="D273" t="s">
        <v>145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>
        <v>0</v>
      </c>
      <c r="AH273" s="127">
        <v>0</v>
      </c>
      <c r="AI273" s="127">
        <v>0</v>
      </c>
      <c r="AJ273" s="127">
        <v>0</v>
      </c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">
      <c r="A274" t="s">
        <v>149</v>
      </c>
      <c r="B274" t="s">
        <v>152</v>
      </c>
      <c r="C274">
        <v>31</v>
      </c>
      <c r="D274" t="s">
        <v>146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>
        <v>0</v>
      </c>
      <c r="AH274" s="127">
        <v>0</v>
      </c>
      <c r="AI274" s="127">
        <v>0</v>
      </c>
      <c r="AJ274" s="127">
        <v>0</v>
      </c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">
      <c r="A275" t="s">
        <v>149</v>
      </c>
      <c r="B275" t="s">
        <v>152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>
        <v>0</v>
      </c>
      <c r="AH275" s="127">
        <v>0</v>
      </c>
      <c r="AI275" s="127">
        <v>0</v>
      </c>
      <c r="AJ275" s="127">
        <v>0</v>
      </c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">
      <c r="A276" t="s">
        <v>149</v>
      </c>
      <c r="B276" t="s">
        <v>152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>
        <v>0</v>
      </c>
      <c r="AH276" s="127">
        <v>0</v>
      </c>
      <c r="AI276" s="127">
        <v>0</v>
      </c>
      <c r="AJ276" s="127">
        <v>0</v>
      </c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">
      <c r="A277" t="s">
        <v>149</v>
      </c>
      <c r="B277" t="s">
        <v>152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>
        <v>0</v>
      </c>
      <c r="AH277" s="127">
        <v>0</v>
      </c>
      <c r="AI277" s="127">
        <v>0</v>
      </c>
      <c r="AJ277" s="127">
        <v>0</v>
      </c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">
      <c r="A278" t="s">
        <v>149</v>
      </c>
      <c r="B278" t="s">
        <v>152</v>
      </c>
      <c r="C278">
        <v>35</v>
      </c>
      <c r="D278" t="s">
        <v>77</v>
      </c>
      <c r="E278" s="14">
        <v>0</v>
      </c>
      <c r="F278" s="14">
        <v>-7855</v>
      </c>
      <c r="G278" s="127">
        <v>0</v>
      </c>
      <c r="H278" s="127">
        <v>0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>
        <v>0</v>
      </c>
      <c r="AH278" s="127">
        <v>0</v>
      </c>
      <c r="AI278" s="127">
        <v>0</v>
      </c>
      <c r="AJ278" s="127">
        <v>0</v>
      </c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">
      <c r="A279" t="s">
        <v>149</v>
      </c>
      <c r="B279" t="s">
        <v>152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>
        <v>0</v>
      </c>
      <c r="AH279" s="127">
        <v>0</v>
      </c>
      <c r="AI279" s="127">
        <v>0</v>
      </c>
      <c r="AJ279" s="127">
        <v>0</v>
      </c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">
      <c r="A280" t="s">
        <v>149</v>
      </c>
      <c r="B280" t="s">
        <v>152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>
        <v>0</v>
      </c>
      <c r="AH280" s="127">
        <v>0</v>
      </c>
      <c r="AI280" s="127">
        <v>0</v>
      </c>
      <c r="AJ280" s="127">
        <v>0</v>
      </c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">
      <c r="A281" t="s">
        <v>149</v>
      </c>
      <c r="B281" t="s">
        <v>152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>
        <v>0</v>
      </c>
      <c r="AH281" s="127">
        <v>0</v>
      </c>
      <c r="AI281" s="127">
        <v>0</v>
      </c>
      <c r="AJ281" s="127">
        <v>0</v>
      </c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">
      <c r="A282" t="s">
        <v>149</v>
      </c>
      <c r="B282" t="s">
        <v>152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>
        <v>0</v>
      </c>
      <c r="AH282" s="127">
        <v>0</v>
      </c>
      <c r="AI282" s="127">
        <v>0</v>
      </c>
      <c r="AJ282" s="127">
        <v>0</v>
      </c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">
      <c r="A283" t="s">
        <v>149</v>
      </c>
      <c r="B283" t="s">
        <v>152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>
        <v>0</v>
      </c>
      <c r="AH283" s="127">
        <v>0</v>
      </c>
      <c r="AI283" s="127">
        <v>0</v>
      </c>
      <c r="AJ283" s="127">
        <v>0</v>
      </c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">
      <c r="A284" t="s">
        <v>149</v>
      </c>
      <c r="B284" t="s">
        <v>153</v>
      </c>
      <c r="C284">
        <v>1</v>
      </c>
      <c r="D284" t="s">
        <v>29</v>
      </c>
      <c r="E284" s="14">
        <v>28983303</v>
      </c>
      <c r="F284" s="14">
        <v>48283754.689999998</v>
      </c>
      <c r="G284" s="127">
        <v>2462685</v>
      </c>
      <c r="H284" s="127">
        <v>2936027.86</v>
      </c>
      <c r="I284" s="127">
        <v>20019</v>
      </c>
      <c r="J284" s="127">
        <v>425254.37</v>
      </c>
      <c r="K284" s="127">
        <v>-15816</v>
      </c>
      <c r="L284" s="127">
        <v>4634.72</v>
      </c>
      <c r="M284" s="127">
        <v>0</v>
      </c>
      <c r="N284" s="127">
        <v>0</v>
      </c>
      <c r="O284" s="127">
        <v>0</v>
      </c>
      <c r="P284" s="127">
        <v>0</v>
      </c>
      <c r="Q284" s="127">
        <v>0</v>
      </c>
      <c r="R284" s="127">
        <v>0</v>
      </c>
      <c r="S284" s="127">
        <v>0</v>
      </c>
      <c r="T284" s="127">
        <v>0</v>
      </c>
      <c r="U284" s="127">
        <v>0</v>
      </c>
      <c r="V284" s="127">
        <v>0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>
        <v>0</v>
      </c>
      <c r="AH284" s="127">
        <v>0</v>
      </c>
      <c r="AI284" s="127">
        <v>0</v>
      </c>
      <c r="AJ284" s="127">
        <v>0</v>
      </c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">
      <c r="A285" t="s">
        <v>149</v>
      </c>
      <c r="B285" t="s">
        <v>153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>
        <v>0</v>
      </c>
      <c r="AH285" s="127">
        <v>0</v>
      </c>
      <c r="AI285" s="127">
        <v>0</v>
      </c>
      <c r="AJ285" s="127">
        <v>0</v>
      </c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">
      <c r="A286" t="s">
        <v>149</v>
      </c>
      <c r="B286" t="s">
        <v>153</v>
      </c>
      <c r="C286">
        <v>3</v>
      </c>
      <c r="D286" t="s">
        <v>31</v>
      </c>
      <c r="E286" s="14">
        <v>20321454</v>
      </c>
      <c r="F286" s="14">
        <v>33639475</v>
      </c>
      <c r="G286" s="127">
        <v>-116302</v>
      </c>
      <c r="H286" s="127">
        <v>-191086</v>
      </c>
      <c r="I286" s="127">
        <v>0</v>
      </c>
      <c r="J286" s="127">
        <v>0</v>
      </c>
      <c r="K286" s="127">
        <v>0</v>
      </c>
      <c r="L286" s="127">
        <v>0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519779</v>
      </c>
      <c r="T286" s="127">
        <v>863613</v>
      </c>
      <c r="U286" s="127">
        <v>537792</v>
      </c>
      <c r="V286" s="127">
        <v>889893</v>
      </c>
      <c r="W286" s="127">
        <v>-941269</v>
      </c>
      <c r="X286" s="127">
        <v>-1562420</v>
      </c>
      <c r="Y286" s="127">
        <v>0</v>
      </c>
      <c r="Z286" s="127">
        <v>0</v>
      </c>
      <c r="AA286" s="127">
        <v>0</v>
      </c>
      <c r="AB286" s="127">
        <v>0</v>
      </c>
      <c r="AC286" s="127">
        <v>0</v>
      </c>
      <c r="AD286" s="127">
        <v>0</v>
      </c>
      <c r="AE286" s="127">
        <v>0</v>
      </c>
      <c r="AF286" s="127">
        <v>0</v>
      </c>
      <c r="AG286" s="127">
        <v>0</v>
      </c>
      <c r="AH286" s="127">
        <v>0</v>
      </c>
      <c r="AI286" s="127">
        <v>0</v>
      </c>
      <c r="AJ286" s="127">
        <v>0</v>
      </c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">
      <c r="A287" t="s">
        <v>149</v>
      </c>
      <c r="B287" t="s">
        <v>153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>
        <v>0</v>
      </c>
      <c r="AH287" s="127">
        <v>0</v>
      </c>
      <c r="AI287" s="127">
        <v>0</v>
      </c>
      <c r="AJ287" s="127">
        <v>0</v>
      </c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">
      <c r="A288" t="s">
        <v>149</v>
      </c>
      <c r="B288" t="s">
        <v>153</v>
      </c>
      <c r="C288">
        <v>5</v>
      </c>
      <c r="D288" t="s">
        <v>134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>
        <v>0</v>
      </c>
      <c r="AH288" s="127">
        <v>0</v>
      </c>
      <c r="AI288" s="127">
        <v>0</v>
      </c>
      <c r="AJ288" s="127">
        <v>0</v>
      </c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">
      <c r="A289" t="s">
        <v>149</v>
      </c>
      <c r="B289" t="s">
        <v>153</v>
      </c>
      <c r="C289">
        <v>6</v>
      </c>
      <c r="D289" t="s">
        <v>29</v>
      </c>
      <c r="E289" s="14">
        <v>-33689662</v>
      </c>
      <c r="F289" s="14">
        <v>-52009118.25</v>
      </c>
      <c r="G289" s="127">
        <v>-582309</v>
      </c>
      <c r="H289" s="127">
        <v>-649111.67000000004</v>
      </c>
      <c r="I289" s="127">
        <v>-2139</v>
      </c>
      <c r="J289" s="127">
        <v>-4818.92</v>
      </c>
      <c r="K289" s="127">
        <v>0</v>
      </c>
      <c r="L289" s="127">
        <v>-159586.64000000001</v>
      </c>
      <c r="M289" s="127">
        <v>0</v>
      </c>
      <c r="N289" s="127">
        <v>-74400</v>
      </c>
      <c r="O289" s="127">
        <v>0</v>
      </c>
      <c r="P289" s="127">
        <v>0</v>
      </c>
      <c r="Q289" s="127">
        <v>-2528</v>
      </c>
      <c r="R289" s="127">
        <v>-4373.4399999999996</v>
      </c>
      <c r="S289" s="127">
        <v>-12500</v>
      </c>
      <c r="T289" s="127">
        <v>-251640.12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>
        <v>0</v>
      </c>
      <c r="AH289" s="127">
        <v>0</v>
      </c>
      <c r="AI289" s="127">
        <v>0</v>
      </c>
      <c r="AJ289" s="127">
        <v>0</v>
      </c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">
      <c r="A290" t="s">
        <v>149</v>
      </c>
      <c r="B290" t="s">
        <v>153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>
        <v>0</v>
      </c>
      <c r="AH290" s="127">
        <v>0</v>
      </c>
      <c r="AI290" s="127">
        <v>0</v>
      </c>
      <c r="AJ290" s="127">
        <v>0</v>
      </c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">
      <c r="A291" t="s">
        <v>149</v>
      </c>
      <c r="B291" t="s">
        <v>153</v>
      </c>
      <c r="C291">
        <v>8</v>
      </c>
      <c r="D291" t="s">
        <v>31</v>
      </c>
      <c r="E291" s="14">
        <v>-18513313</v>
      </c>
      <c r="F291" s="14">
        <v>-30700043</v>
      </c>
      <c r="G291" s="127">
        <v>0</v>
      </c>
      <c r="H291" s="127">
        <v>0</v>
      </c>
      <c r="I291" s="127">
        <v>0</v>
      </c>
      <c r="J291" s="127">
        <v>0</v>
      </c>
      <c r="K291" s="127">
        <v>0</v>
      </c>
      <c r="L291" s="127">
        <v>0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-519779</v>
      </c>
      <c r="T291" s="127">
        <v>-863613</v>
      </c>
      <c r="U291" s="127">
        <v>-537792</v>
      </c>
      <c r="V291" s="127">
        <v>-889893</v>
      </c>
      <c r="W291" s="127">
        <v>1057571</v>
      </c>
      <c r="X291" s="127">
        <v>1753506</v>
      </c>
      <c r="Y291" s="127">
        <v>0</v>
      </c>
      <c r="Z291" s="127">
        <v>0</v>
      </c>
      <c r="AA291" s="127">
        <v>0</v>
      </c>
      <c r="AB291" s="127">
        <v>0</v>
      </c>
      <c r="AC291" s="127">
        <v>0</v>
      </c>
      <c r="AD291" s="127">
        <v>0</v>
      </c>
      <c r="AE291" s="127">
        <v>0</v>
      </c>
      <c r="AF291" s="127">
        <v>0</v>
      </c>
      <c r="AG291" s="127">
        <v>0</v>
      </c>
      <c r="AH291" s="127">
        <v>0</v>
      </c>
      <c r="AI291" s="127">
        <v>0</v>
      </c>
      <c r="AJ291" s="127">
        <v>0</v>
      </c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">
      <c r="A292" t="s">
        <v>149</v>
      </c>
      <c r="B292" t="s">
        <v>153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>
        <v>0</v>
      </c>
      <c r="AH292" s="127">
        <v>0</v>
      </c>
      <c r="AI292" s="127">
        <v>0</v>
      </c>
      <c r="AJ292" s="127">
        <v>0</v>
      </c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">
      <c r="A293" t="s">
        <v>149</v>
      </c>
      <c r="B293" t="s">
        <v>153</v>
      </c>
      <c r="C293">
        <v>10</v>
      </c>
      <c r="D293" t="s">
        <v>36</v>
      </c>
      <c r="E293" s="14">
        <v>282538</v>
      </c>
      <c r="F293" s="14">
        <v>426914.92</v>
      </c>
      <c r="G293" s="127">
        <v>4741</v>
      </c>
      <c r="H293" s="127">
        <v>7163.6509999999998</v>
      </c>
      <c r="I293" s="127">
        <v>-1</v>
      </c>
      <c r="J293" s="127">
        <v>-1.5109999999999999</v>
      </c>
      <c r="K293" s="127">
        <v>0</v>
      </c>
      <c r="L293" s="127">
        <v>0</v>
      </c>
      <c r="M293" s="127">
        <v>-3</v>
      </c>
      <c r="N293" s="127">
        <v>-4.5330000000000004</v>
      </c>
      <c r="O293" s="127">
        <v>0</v>
      </c>
      <c r="P293" s="127">
        <v>0</v>
      </c>
      <c r="Q293" s="127">
        <v>0</v>
      </c>
      <c r="R293" s="127">
        <v>0</v>
      </c>
      <c r="S293" s="127">
        <v>0</v>
      </c>
      <c r="T293" s="127">
        <v>0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>
        <v>0</v>
      </c>
      <c r="AH293" s="127">
        <v>0</v>
      </c>
      <c r="AI293" s="127">
        <v>0</v>
      </c>
      <c r="AJ293" s="127">
        <v>0</v>
      </c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">
      <c r="A294" t="s">
        <v>149</v>
      </c>
      <c r="B294" t="s">
        <v>153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>
        <v>0</v>
      </c>
      <c r="AH294" s="127">
        <v>0</v>
      </c>
      <c r="AI294" s="127">
        <v>0</v>
      </c>
      <c r="AJ294" s="127">
        <v>0</v>
      </c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">
      <c r="A295" t="s">
        <v>149</v>
      </c>
      <c r="B295" t="s">
        <v>153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>
        <v>0</v>
      </c>
      <c r="AH295" s="127">
        <v>0</v>
      </c>
      <c r="AI295" s="127">
        <v>0</v>
      </c>
      <c r="AJ295" s="127">
        <v>0</v>
      </c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">
      <c r="A296" t="s">
        <v>149</v>
      </c>
      <c r="B296" t="s">
        <v>153</v>
      </c>
      <c r="C296">
        <v>13</v>
      </c>
      <c r="D296" t="s">
        <v>43</v>
      </c>
      <c r="E296" s="14">
        <v>-7781</v>
      </c>
      <c r="F296" s="14">
        <v>-11757.09</v>
      </c>
      <c r="G296" s="127">
        <v>39565</v>
      </c>
      <c r="H296" s="127">
        <v>62516.137999999999</v>
      </c>
      <c r="I296" s="127">
        <v>14877</v>
      </c>
      <c r="J296" s="127">
        <v>46295.832000000002</v>
      </c>
      <c r="K296" s="127">
        <v>0</v>
      </c>
      <c r="L296" s="127">
        <v>0</v>
      </c>
      <c r="M296" s="127">
        <v>0</v>
      </c>
      <c r="N296" s="127">
        <v>326.62700000000001</v>
      </c>
      <c r="O296" s="127">
        <v>0</v>
      </c>
      <c r="P296" s="127">
        <v>47967.508000000002</v>
      </c>
      <c r="Q296" s="127">
        <v>3</v>
      </c>
      <c r="R296" s="127">
        <v>-22342.589</v>
      </c>
      <c r="S296" s="127">
        <v>0</v>
      </c>
      <c r="T296" s="127">
        <v>-1495329.344</v>
      </c>
      <c r="U296" s="127">
        <v>0</v>
      </c>
      <c r="V296" s="127">
        <v>0</v>
      </c>
      <c r="W296" s="127">
        <v>0</v>
      </c>
      <c r="X296" s="127">
        <v>0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>
        <v>0</v>
      </c>
      <c r="AH296" s="127">
        <v>0</v>
      </c>
      <c r="AI296" s="127">
        <v>0</v>
      </c>
      <c r="AJ296" s="127">
        <v>0</v>
      </c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">
      <c r="A297" t="s">
        <v>149</v>
      </c>
      <c r="B297" t="s">
        <v>153</v>
      </c>
      <c r="C297">
        <v>14</v>
      </c>
      <c r="D297" t="s">
        <v>44</v>
      </c>
      <c r="E297" s="14">
        <v>0</v>
      </c>
      <c r="F297" s="14">
        <v>0</v>
      </c>
      <c r="G297" s="127">
        <v>-7796</v>
      </c>
      <c r="H297" s="127">
        <v>-15837.2</v>
      </c>
      <c r="I297" s="127">
        <v>0</v>
      </c>
      <c r="J297" s="127">
        <v>0</v>
      </c>
      <c r="K297" s="127">
        <v>0</v>
      </c>
      <c r="L297" s="127">
        <v>0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>
        <v>0</v>
      </c>
      <c r="AH297" s="127">
        <v>0</v>
      </c>
      <c r="AI297" s="127">
        <v>0</v>
      </c>
      <c r="AJ297" s="127">
        <v>0</v>
      </c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">
      <c r="A298" t="s">
        <v>149</v>
      </c>
      <c r="B298" t="s">
        <v>153</v>
      </c>
      <c r="C298">
        <v>15</v>
      </c>
      <c r="D298" t="s">
        <v>45</v>
      </c>
      <c r="E298" s="14">
        <v>0</v>
      </c>
      <c r="F298" s="14">
        <v>0</v>
      </c>
      <c r="G298" s="127">
        <v>0</v>
      </c>
      <c r="H298" s="127">
        <v>0</v>
      </c>
      <c r="I298" s="127">
        <v>-6862</v>
      </c>
      <c r="J298" s="127">
        <v>0</v>
      </c>
      <c r="K298" s="127">
        <v>0</v>
      </c>
      <c r="L298" s="127">
        <v>0</v>
      </c>
      <c r="M298" s="127">
        <v>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0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>
        <v>0</v>
      </c>
      <c r="AH298" s="127">
        <v>0</v>
      </c>
      <c r="AI298" s="127">
        <v>0</v>
      </c>
      <c r="AJ298" s="127">
        <v>0</v>
      </c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">
      <c r="A299" t="s">
        <v>149</v>
      </c>
      <c r="B299" t="s">
        <v>153</v>
      </c>
      <c r="C299">
        <v>16</v>
      </c>
      <c r="D299" t="s">
        <v>46</v>
      </c>
      <c r="E299" s="14">
        <v>751432</v>
      </c>
      <c r="F299" s="14">
        <v>0.01</v>
      </c>
      <c r="G299" s="127">
        <v>-4152</v>
      </c>
      <c r="H299" s="127">
        <v>0</v>
      </c>
      <c r="I299" s="127">
        <v>642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0</v>
      </c>
      <c r="P299" s="127">
        <v>1130110</v>
      </c>
      <c r="Q299" s="127">
        <v>0</v>
      </c>
      <c r="R299" s="127">
        <v>0</v>
      </c>
      <c r="S299" s="127">
        <v>0</v>
      </c>
      <c r="T299" s="127">
        <v>0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>
        <v>0</v>
      </c>
      <c r="AH299" s="127">
        <v>0</v>
      </c>
      <c r="AI299" s="127">
        <v>0</v>
      </c>
      <c r="AJ299" s="127">
        <v>0</v>
      </c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">
      <c r="A300" t="s">
        <v>149</v>
      </c>
      <c r="B300" t="s">
        <v>153</v>
      </c>
      <c r="C300">
        <v>17</v>
      </c>
      <c r="D300" t="s">
        <v>135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>
        <v>0</v>
      </c>
      <c r="AH300" s="127">
        <v>0</v>
      </c>
      <c r="AI300" s="127">
        <v>0</v>
      </c>
      <c r="AJ300" s="127">
        <v>0</v>
      </c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">
      <c r="A301" t="s">
        <v>149</v>
      </c>
      <c r="B301" t="s">
        <v>153</v>
      </c>
      <c r="C301">
        <v>18</v>
      </c>
      <c r="D301" t="s">
        <v>136</v>
      </c>
      <c r="E301" s="14">
        <v>-17701</v>
      </c>
      <c r="F301" s="14">
        <v>-29573.67</v>
      </c>
      <c r="G301" s="127">
        <v>-3291</v>
      </c>
      <c r="H301" s="127">
        <v>-5906.3</v>
      </c>
      <c r="I301" s="127">
        <v>0</v>
      </c>
      <c r="J301" s="127">
        <v>0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>
        <v>0</v>
      </c>
      <c r="AH301" s="127">
        <v>0</v>
      </c>
      <c r="AI301" s="127">
        <v>0</v>
      </c>
      <c r="AJ301" s="127">
        <v>0</v>
      </c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">
      <c r="A302" t="s">
        <v>149</v>
      </c>
      <c r="B302" t="s">
        <v>153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>
        <v>0</v>
      </c>
      <c r="AH302" s="127">
        <v>0</v>
      </c>
      <c r="AI302" s="127">
        <v>0</v>
      </c>
      <c r="AJ302" s="127">
        <v>0</v>
      </c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">
      <c r="A303" t="s">
        <v>149</v>
      </c>
      <c r="B303" t="s">
        <v>153</v>
      </c>
      <c r="C303">
        <v>20</v>
      </c>
      <c r="D303" t="s">
        <v>137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>
        <v>0</v>
      </c>
      <c r="AH303" s="127">
        <v>0</v>
      </c>
      <c r="AI303" s="127">
        <v>0</v>
      </c>
      <c r="AJ303" s="127">
        <v>0</v>
      </c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">
      <c r="A304" t="s">
        <v>149</v>
      </c>
      <c r="B304" t="s">
        <v>153</v>
      </c>
      <c r="C304">
        <v>21</v>
      </c>
      <c r="D304" t="s">
        <v>138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>
        <v>0</v>
      </c>
      <c r="AH304" s="127">
        <v>0</v>
      </c>
      <c r="AI304" s="127">
        <v>0</v>
      </c>
      <c r="AJ304" s="127">
        <v>0</v>
      </c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">
      <c r="A305" t="s">
        <v>149</v>
      </c>
      <c r="B305" t="s">
        <v>153</v>
      </c>
      <c r="C305">
        <v>22</v>
      </c>
      <c r="D305" t="s">
        <v>139</v>
      </c>
      <c r="E305" s="14">
        <v>1889730</v>
      </c>
      <c r="F305" s="14">
        <v>2855382.03</v>
      </c>
      <c r="G305" s="127">
        <v>-1793141</v>
      </c>
      <c r="H305" s="127">
        <v>-2709436.051</v>
      </c>
      <c r="I305" s="127">
        <v>-26536</v>
      </c>
      <c r="J305" s="127">
        <v>-40095.896000000001</v>
      </c>
      <c r="K305" s="127">
        <v>15816</v>
      </c>
      <c r="L305" s="127">
        <v>23897.975999999999</v>
      </c>
      <c r="M305" s="127">
        <v>3</v>
      </c>
      <c r="N305" s="127">
        <v>4.5330000000000004</v>
      </c>
      <c r="O305" s="127">
        <v>0</v>
      </c>
      <c r="P305" s="127">
        <v>0</v>
      </c>
      <c r="Q305" s="127">
        <v>2525</v>
      </c>
      <c r="R305" s="127">
        <v>3815.2750000000001</v>
      </c>
      <c r="S305" s="127">
        <v>12500</v>
      </c>
      <c r="T305" s="127">
        <v>18887.5</v>
      </c>
      <c r="U305" s="127">
        <v>0</v>
      </c>
      <c r="V305" s="127">
        <v>0</v>
      </c>
      <c r="W305" s="127">
        <v>-116302</v>
      </c>
      <c r="X305" s="127">
        <v>-175732.32199999999</v>
      </c>
      <c r="Y305" s="127">
        <v>0</v>
      </c>
      <c r="Z305" s="127">
        <v>0</v>
      </c>
      <c r="AA305" s="127">
        <v>0</v>
      </c>
      <c r="AB305" s="127">
        <v>0</v>
      </c>
      <c r="AC305" s="127">
        <v>0</v>
      </c>
      <c r="AD305" s="127">
        <v>0</v>
      </c>
      <c r="AE305" s="127">
        <v>0</v>
      </c>
      <c r="AF305" s="127">
        <v>0</v>
      </c>
      <c r="AG305" s="127">
        <v>0</v>
      </c>
      <c r="AH305" s="127">
        <v>0</v>
      </c>
      <c r="AI305" s="127">
        <v>0</v>
      </c>
      <c r="AJ305" s="127">
        <v>0</v>
      </c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">
      <c r="A306" t="s">
        <v>149</v>
      </c>
      <c r="B306" t="s">
        <v>153</v>
      </c>
      <c r="C306">
        <v>23</v>
      </c>
      <c r="D306" t="s">
        <v>140</v>
      </c>
      <c r="E306" s="14">
        <v>-282538</v>
      </c>
      <c r="F306" s="14">
        <v>-426914.92</v>
      </c>
      <c r="G306" s="127">
        <v>-4741</v>
      </c>
      <c r="H306" s="127">
        <v>-7163.6509999999998</v>
      </c>
      <c r="I306" s="127">
        <v>1</v>
      </c>
      <c r="J306" s="127">
        <v>1.5109999999999999</v>
      </c>
      <c r="K306" s="127">
        <v>0</v>
      </c>
      <c r="L306" s="127">
        <v>0</v>
      </c>
      <c r="M306" s="127">
        <v>3</v>
      </c>
      <c r="N306" s="127">
        <v>4.5330000000000004</v>
      </c>
      <c r="O306" s="127">
        <v>0</v>
      </c>
      <c r="P306" s="127">
        <v>0</v>
      </c>
      <c r="Q306" s="127">
        <v>0</v>
      </c>
      <c r="R306" s="127">
        <v>0</v>
      </c>
      <c r="S306" s="127">
        <v>0</v>
      </c>
      <c r="T306" s="127">
        <v>0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>
        <v>0</v>
      </c>
      <c r="AH306" s="127">
        <v>0</v>
      </c>
      <c r="AI306" s="127">
        <v>0</v>
      </c>
      <c r="AJ306" s="127">
        <v>0</v>
      </c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">
      <c r="A307" t="s">
        <v>149</v>
      </c>
      <c r="B307" t="s">
        <v>153</v>
      </c>
      <c r="C307">
        <v>24</v>
      </c>
      <c r="D307" t="s">
        <v>59</v>
      </c>
      <c r="E307" s="14">
        <v>-11980567</v>
      </c>
      <c r="F307" s="14">
        <v>-87437.68</v>
      </c>
      <c r="G307" s="127">
        <v>-1076255</v>
      </c>
      <c r="H307" s="127">
        <v>-55093.32</v>
      </c>
      <c r="I307" s="127">
        <v>0</v>
      </c>
      <c r="J307" s="127">
        <v>0</v>
      </c>
      <c r="K307" s="127">
        <v>0</v>
      </c>
      <c r="L307" s="127">
        <v>0</v>
      </c>
      <c r="M307" s="127">
        <v>0</v>
      </c>
      <c r="N307" s="127">
        <v>0</v>
      </c>
      <c r="O307" s="127">
        <v>0</v>
      </c>
      <c r="P307" s="127">
        <v>0</v>
      </c>
      <c r="Q307" s="127">
        <v>0</v>
      </c>
      <c r="R307" s="127">
        <v>0</v>
      </c>
      <c r="S307" s="127">
        <v>0</v>
      </c>
      <c r="T307" s="127">
        <v>0</v>
      </c>
      <c r="U307" s="127">
        <v>0</v>
      </c>
      <c r="V307" s="127">
        <v>0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>
        <v>0</v>
      </c>
      <c r="AH307" s="127">
        <v>0</v>
      </c>
      <c r="AI307" s="127">
        <v>0</v>
      </c>
      <c r="AJ307" s="127">
        <v>0</v>
      </c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">
      <c r="A308" t="s">
        <v>149</v>
      </c>
      <c r="B308" t="s">
        <v>153</v>
      </c>
      <c r="C308">
        <v>25</v>
      </c>
      <c r="D308" t="s">
        <v>60</v>
      </c>
      <c r="E308" s="14">
        <v>0</v>
      </c>
      <c r="F308" s="14">
        <v>-2734378.38</v>
      </c>
      <c r="G308" s="127">
        <v>0</v>
      </c>
      <c r="H308" s="127">
        <v>36019.800000000003</v>
      </c>
      <c r="I308" s="127">
        <v>0</v>
      </c>
      <c r="J308" s="127">
        <v>0.55000000000000004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>
        <v>0</v>
      </c>
      <c r="AH308" s="127">
        <v>0</v>
      </c>
      <c r="AI308" s="127">
        <v>0</v>
      </c>
      <c r="AJ308" s="127">
        <v>0</v>
      </c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">
      <c r="A309" t="s">
        <v>149</v>
      </c>
      <c r="B309" t="s">
        <v>153</v>
      </c>
      <c r="C309">
        <v>26</v>
      </c>
      <c r="D309" t="s">
        <v>141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>
        <v>0</v>
      </c>
      <c r="AH309" s="127">
        <v>0</v>
      </c>
      <c r="AI309" s="127">
        <v>0</v>
      </c>
      <c r="AJ309" s="127">
        <v>0</v>
      </c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">
      <c r="A310" t="s">
        <v>149</v>
      </c>
      <c r="B310" t="s">
        <v>153</v>
      </c>
      <c r="C310">
        <v>27</v>
      </c>
      <c r="D310" t="s">
        <v>142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>
        <v>0</v>
      </c>
      <c r="AH310" s="127">
        <v>0</v>
      </c>
      <c r="AI310" s="127">
        <v>0</v>
      </c>
      <c r="AJ310" s="127">
        <v>0</v>
      </c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">
      <c r="A311" t="s">
        <v>149</v>
      </c>
      <c r="B311" t="s">
        <v>153</v>
      </c>
      <c r="C311">
        <v>28</v>
      </c>
      <c r="D311" t="s">
        <v>143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>
        <v>0</v>
      </c>
      <c r="AH311" s="127">
        <v>0</v>
      </c>
      <c r="AI311" s="127">
        <v>0</v>
      </c>
      <c r="AJ311" s="127">
        <v>0</v>
      </c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">
      <c r="A312" t="s">
        <v>149</v>
      </c>
      <c r="B312" t="s">
        <v>153</v>
      </c>
      <c r="C312">
        <v>29</v>
      </c>
      <c r="D312" t="s">
        <v>144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>
        <v>0</v>
      </c>
      <c r="AH312" s="127">
        <v>0</v>
      </c>
      <c r="AI312" s="127">
        <v>0</v>
      </c>
      <c r="AJ312" s="127">
        <v>0</v>
      </c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">
      <c r="A313" t="s">
        <v>149</v>
      </c>
      <c r="B313" t="s">
        <v>153</v>
      </c>
      <c r="C313">
        <v>30</v>
      </c>
      <c r="D313" t="s">
        <v>145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>
        <v>0</v>
      </c>
      <c r="AH313" s="127">
        <v>0</v>
      </c>
      <c r="AI313" s="127">
        <v>0</v>
      </c>
      <c r="AJ313" s="127">
        <v>0</v>
      </c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">
      <c r="A314" t="s">
        <v>149</v>
      </c>
      <c r="B314" t="s">
        <v>153</v>
      </c>
      <c r="C314">
        <v>31</v>
      </c>
      <c r="D314" t="s">
        <v>146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>
        <v>0</v>
      </c>
      <c r="AH314" s="127">
        <v>0</v>
      </c>
      <c r="AI314" s="127">
        <v>0</v>
      </c>
      <c r="AJ314" s="127">
        <v>0</v>
      </c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">
      <c r="A315" t="s">
        <v>149</v>
      </c>
      <c r="B315" t="s">
        <v>153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>
        <v>0</v>
      </c>
      <c r="AH315" s="127">
        <v>0</v>
      </c>
      <c r="AI315" s="127">
        <v>0</v>
      </c>
      <c r="AJ315" s="127">
        <v>0</v>
      </c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">
      <c r="A316" t="s">
        <v>149</v>
      </c>
      <c r="B316" t="s">
        <v>153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>
        <v>0</v>
      </c>
      <c r="AH316" s="127">
        <v>0</v>
      </c>
      <c r="AI316" s="127">
        <v>0</v>
      </c>
      <c r="AJ316" s="127">
        <v>0</v>
      </c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">
      <c r="A317" t="s">
        <v>149</v>
      </c>
      <c r="B317" t="s">
        <v>153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>
        <v>0</v>
      </c>
      <c r="AH317" s="127">
        <v>0</v>
      </c>
      <c r="AI317" s="127">
        <v>0</v>
      </c>
      <c r="AJ317" s="127">
        <v>0</v>
      </c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">
      <c r="A318" t="s">
        <v>149</v>
      </c>
      <c r="B318" t="s">
        <v>153</v>
      </c>
      <c r="C318">
        <v>35</v>
      </c>
      <c r="D318" t="s">
        <v>77</v>
      </c>
      <c r="E318" s="14">
        <v>0</v>
      </c>
      <c r="F318" s="14">
        <v>-13105.01</v>
      </c>
      <c r="G318" s="127">
        <v>0</v>
      </c>
      <c r="H318" s="127">
        <v>-150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>
        <v>0</v>
      </c>
      <c r="AH318" s="127">
        <v>0</v>
      </c>
      <c r="AI318" s="127">
        <v>0</v>
      </c>
      <c r="AJ318" s="127">
        <v>0</v>
      </c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">
      <c r="A319" t="s">
        <v>149</v>
      </c>
      <c r="B319" t="s">
        <v>153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>
        <v>0</v>
      </c>
      <c r="AH319" s="127">
        <v>0</v>
      </c>
      <c r="AI319" s="127">
        <v>0</v>
      </c>
      <c r="AJ319" s="127">
        <v>0</v>
      </c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">
      <c r="A320" t="s">
        <v>149</v>
      </c>
      <c r="B320" t="s">
        <v>153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>
        <v>0</v>
      </c>
      <c r="AH320" s="127">
        <v>0</v>
      </c>
      <c r="AI320" s="127">
        <v>0</v>
      </c>
      <c r="AJ320" s="127">
        <v>0</v>
      </c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">
      <c r="A321" t="s">
        <v>149</v>
      </c>
      <c r="B321" t="s">
        <v>153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>
        <v>0</v>
      </c>
      <c r="AH321" s="127">
        <v>0</v>
      </c>
      <c r="AI321" s="127">
        <v>0</v>
      </c>
      <c r="AJ321" s="127">
        <v>0</v>
      </c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">
      <c r="A322" t="s">
        <v>149</v>
      </c>
      <c r="B322" t="s">
        <v>153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>
        <v>0</v>
      </c>
      <c r="AH322" s="127">
        <v>0</v>
      </c>
      <c r="AI322" s="127">
        <v>0</v>
      </c>
      <c r="AJ322" s="127">
        <v>0</v>
      </c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">
      <c r="A323" t="s">
        <v>149</v>
      </c>
      <c r="B323" t="s">
        <v>153</v>
      </c>
      <c r="C323">
        <v>40</v>
      </c>
      <c r="D323" t="s">
        <v>82</v>
      </c>
      <c r="E323" s="14">
        <v>0</v>
      </c>
      <c r="F323" s="14">
        <v>61394.86</v>
      </c>
      <c r="G323" s="127">
        <v>0</v>
      </c>
      <c r="H323" s="127">
        <v>-3132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>
        <v>0</v>
      </c>
      <c r="AH323" s="127">
        <v>0</v>
      </c>
      <c r="AI323" s="127">
        <v>0</v>
      </c>
      <c r="AJ323" s="127">
        <v>0</v>
      </c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">
      <c r="A324" t="s">
        <v>154</v>
      </c>
      <c r="B324" t="s">
        <v>155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>
        <v>0</v>
      </c>
      <c r="AH324" s="127">
        <v>0</v>
      </c>
      <c r="AI324" s="127">
        <v>0</v>
      </c>
      <c r="AJ324" s="127">
        <v>0</v>
      </c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">
      <c r="A325" t="s">
        <v>154</v>
      </c>
      <c r="B325" t="s">
        <v>155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>
        <v>0</v>
      </c>
      <c r="AH325" s="127">
        <v>0</v>
      </c>
      <c r="AI325" s="127">
        <v>0</v>
      </c>
      <c r="AJ325" s="127">
        <v>0</v>
      </c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">
      <c r="A326" t="s">
        <v>154</v>
      </c>
      <c r="B326" t="s">
        <v>155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>
        <v>0</v>
      </c>
      <c r="AH326" s="127">
        <v>0</v>
      </c>
      <c r="AI326" s="127">
        <v>0</v>
      </c>
      <c r="AJ326" s="127">
        <v>0</v>
      </c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">
      <c r="A327" t="s">
        <v>154</v>
      </c>
      <c r="B327" t="s">
        <v>155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>
        <v>0</v>
      </c>
      <c r="AH327" s="127">
        <v>0</v>
      </c>
      <c r="AI327" s="127">
        <v>0</v>
      </c>
      <c r="AJ327" s="127">
        <v>0</v>
      </c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">
      <c r="A328" t="s">
        <v>154</v>
      </c>
      <c r="B328" t="s">
        <v>155</v>
      </c>
      <c r="C328">
        <v>5</v>
      </c>
      <c r="D328" t="s">
        <v>134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>
        <v>0</v>
      </c>
      <c r="AH328" s="127">
        <v>0</v>
      </c>
      <c r="AI328" s="127">
        <v>0</v>
      </c>
      <c r="AJ328" s="127">
        <v>0</v>
      </c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">
      <c r="A329" t="s">
        <v>154</v>
      </c>
      <c r="B329" t="s">
        <v>155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>
        <v>0</v>
      </c>
      <c r="AH329" s="127">
        <v>0</v>
      </c>
      <c r="AI329" s="127">
        <v>0</v>
      </c>
      <c r="AJ329" s="127">
        <v>0</v>
      </c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">
      <c r="A330" t="s">
        <v>154</v>
      </c>
      <c r="B330" t="s">
        <v>155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>
        <v>0</v>
      </c>
      <c r="AH330" s="127">
        <v>0</v>
      </c>
      <c r="AI330" s="127">
        <v>0</v>
      </c>
      <c r="AJ330" s="127">
        <v>0</v>
      </c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">
      <c r="A331" t="s">
        <v>154</v>
      </c>
      <c r="B331" t="s">
        <v>155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>
        <v>0</v>
      </c>
      <c r="AH331" s="127">
        <v>0</v>
      </c>
      <c r="AI331" s="127">
        <v>0</v>
      </c>
      <c r="AJ331" s="127">
        <v>0</v>
      </c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">
      <c r="A332" t="s">
        <v>154</v>
      </c>
      <c r="B332" t="s">
        <v>155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>
        <v>0</v>
      </c>
      <c r="AH332" s="127">
        <v>0</v>
      </c>
      <c r="AI332" s="127">
        <v>0</v>
      </c>
      <c r="AJ332" s="127">
        <v>0</v>
      </c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">
      <c r="A333" t="s">
        <v>154</v>
      </c>
      <c r="B333" t="s">
        <v>155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>
        <v>0</v>
      </c>
      <c r="AH333" s="127">
        <v>0</v>
      </c>
      <c r="AI333" s="127">
        <v>0</v>
      </c>
      <c r="AJ333" s="127">
        <v>0</v>
      </c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">
      <c r="A334" t="s">
        <v>154</v>
      </c>
      <c r="B334" t="s">
        <v>155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>
        <v>0</v>
      </c>
      <c r="AH334" s="127">
        <v>0</v>
      </c>
      <c r="AI334" s="127">
        <v>0</v>
      </c>
      <c r="AJ334" s="127">
        <v>0</v>
      </c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">
      <c r="A335" t="s">
        <v>154</v>
      </c>
      <c r="B335" t="s">
        <v>155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>
        <v>0</v>
      </c>
      <c r="AH335" s="127">
        <v>0</v>
      </c>
      <c r="AI335" s="127">
        <v>0</v>
      </c>
      <c r="AJ335" s="127">
        <v>0</v>
      </c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">
      <c r="A336" t="s">
        <v>154</v>
      </c>
      <c r="B336" t="s">
        <v>155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>
        <v>0</v>
      </c>
      <c r="AH336" s="127">
        <v>0</v>
      </c>
      <c r="AI336" s="127">
        <v>0</v>
      </c>
      <c r="AJ336" s="127">
        <v>0</v>
      </c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">
      <c r="A337" t="s">
        <v>154</v>
      </c>
      <c r="B337" t="s">
        <v>155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>
        <v>0</v>
      </c>
      <c r="AH337" s="127">
        <v>0</v>
      </c>
      <c r="AI337" s="127">
        <v>0</v>
      </c>
      <c r="AJ337" s="127">
        <v>0</v>
      </c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">
      <c r="A338" t="s">
        <v>154</v>
      </c>
      <c r="B338" t="s">
        <v>155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>
        <v>0</v>
      </c>
      <c r="AH338" s="127">
        <v>0</v>
      </c>
      <c r="AI338" s="127">
        <v>0</v>
      </c>
      <c r="AJ338" s="127">
        <v>0</v>
      </c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">
      <c r="A339" t="s">
        <v>154</v>
      </c>
      <c r="B339" t="s">
        <v>155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>
        <v>0</v>
      </c>
      <c r="AH339" s="127">
        <v>0</v>
      </c>
      <c r="AI339" s="127">
        <v>0</v>
      </c>
      <c r="AJ339" s="127">
        <v>0</v>
      </c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">
      <c r="A340" t="s">
        <v>154</v>
      </c>
      <c r="B340" t="s">
        <v>155</v>
      </c>
      <c r="C340">
        <v>17</v>
      </c>
      <c r="D340" t="s">
        <v>135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>
        <v>0</v>
      </c>
      <c r="AH340" s="127">
        <v>0</v>
      </c>
      <c r="AI340" s="127">
        <v>0</v>
      </c>
      <c r="AJ340" s="127">
        <v>0</v>
      </c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">
      <c r="A341" s="129" t="s">
        <v>154</v>
      </c>
      <c r="B341" s="129" t="s">
        <v>155</v>
      </c>
      <c r="C341" s="129">
        <v>18</v>
      </c>
      <c r="D341" s="129" t="s">
        <v>136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>
        <v>0</v>
      </c>
      <c r="AH341" s="130">
        <v>0</v>
      </c>
      <c r="AI341" s="130">
        <v>0</v>
      </c>
      <c r="AJ341" s="130">
        <v>0</v>
      </c>
      <c r="AK341" s="130"/>
      <c r="AL341" s="130"/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">
      <c r="A342" t="s">
        <v>154</v>
      </c>
      <c r="B342" t="s">
        <v>155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>
        <v>0</v>
      </c>
      <c r="AH342" s="127">
        <v>0</v>
      </c>
      <c r="AI342" s="127">
        <v>0</v>
      </c>
      <c r="AJ342" s="127">
        <v>0</v>
      </c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">
      <c r="A343" t="s">
        <v>154</v>
      </c>
      <c r="B343" t="s">
        <v>155</v>
      </c>
      <c r="C343">
        <v>20</v>
      </c>
      <c r="D343" t="s">
        <v>137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>
        <v>0</v>
      </c>
      <c r="AH343" s="127">
        <v>0</v>
      </c>
      <c r="AI343" s="127">
        <v>0</v>
      </c>
      <c r="AJ343" s="127">
        <v>0</v>
      </c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">
      <c r="A344" t="s">
        <v>154</v>
      </c>
      <c r="B344" t="s">
        <v>155</v>
      </c>
      <c r="C344">
        <v>21</v>
      </c>
      <c r="D344" t="s">
        <v>138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>
        <v>0</v>
      </c>
      <c r="AH344" s="127">
        <v>0</v>
      </c>
      <c r="AI344" s="127">
        <v>0</v>
      </c>
      <c r="AJ344" s="127">
        <v>0</v>
      </c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">
      <c r="A345" t="s">
        <v>154</v>
      </c>
      <c r="B345" t="s">
        <v>155</v>
      </c>
      <c r="C345">
        <v>22</v>
      </c>
      <c r="D345" t="s">
        <v>139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>
        <v>0</v>
      </c>
      <c r="AH345" s="127">
        <v>0</v>
      </c>
      <c r="AI345" s="127">
        <v>0</v>
      </c>
      <c r="AJ345" s="127">
        <v>0</v>
      </c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">
      <c r="A346" t="s">
        <v>154</v>
      </c>
      <c r="B346" t="s">
        <v>155</v>
      </c>
      <c r="C346">
        <v>23</v>
      </c>
      <c r="D346" t="s">
        <v>140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>
        <v>0</v>
      </c>
      <c r="AH346" s="127">
        <v>0</v>
      </c>
      <c r="AI346" s="127">
        <v>0</v>
      </c>
      <c r="AJ346" s="127">
        <v>0</v>
      </c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">
      <c r="A347" t="s">
        <v>154</v>
      </c>
      <c r="B347" t="s">
        <v>155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>
        <v>0</v>
      </c>
      <c r="AH347" s="127">
        <v>0</v>
      </c>
      <c r="AI347" s="127">
        <v>0</v>
      </c>
      <c r="AJ347" s="127">
        <v>0</v>
      </c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">
      <c r="A348" t="s">
        <v>154</v>
      </c>
      <c r="B348" t="s">
        <v>155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>
        <v>0</v>
      </c>
      <c r="AH348" s="127">
        <v>0</v>
      </c>
      <c r="AI348" s="127">
        <v>0</v>
      </c>
      <c r="AJ348" s="127">
        <v>0</v>
      </c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">
      <c r="A349" t="s">
        <v>154</v>
      </c>
      <c r="B349" t="s">
        <v>155</v>
      </c>
      <c r="C349">
        <v>26</v>
      </c>
      <c r="D349" t="s">
        <v>141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>
        <v>0</v>
      </c>
      <c r="AH349" s="127">
        <v>0</v>
      </c>
      <c r="AI349" s="127">
        <v>0</v>
      </c>
      <c r="AJ349" s="127">
        <v>0</v>
      </c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">
      <c r="A350" t="s">
        <v>154</v>
      </c>
      <c r="B350" t="s">
        <v>155</v>
      </c>
      <c r="C350">
        <v>27</v>
      </c>
      <c r="D350" t="s">
        <v>142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>
        <v>0</v>
      </c>
      <c r="AH350" s="127">
        <v>0</v>
      </c>
      <c r="AI350" s="127">
        <v>0</v>
      </c>
      <c r="AJ350" s="127">
        <v>0</v>
      </c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">
      <c r="A351" t="s">
        <v>154</v>
      </c>
      <c r="B351" t="s">
        <v>155</v>
      </c>
      <c r="C351">
        <v>28</v>
      </c>
      <c r="D351" t="s">
        <v>143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>
        <v>0</v>
      </c>
      <c r="AH351" s="127">
        <v>0</v>
      </c>
      <c r="AI351" s="127">
        <v>0</v>
      </c>
      <c r="AJ351" s="127">
        <v>0</v>
      </c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">
      <c r="A352" t="s">
        <v>154</v>
      </c>
      <c r="B352" t="s">
        <v>155</v>
      </c>
      <c r="C352">
        <v>29</v>
      </c>
      <c r="D352" t="s">
        <v>144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>
        <v>0</v>
      </c>
      <c r="AH352" s="127">
        <v>0</v>
      </c>
      <c r="AI352" s="127">
        <v>0</v>
      </c>
      <c r="AJ352" s="127">
        <v>0</v>
      </c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">
      <c r="A353" t="s">
        <v>154</v>
      </c>
      <c r="B353" t="s">
        <v>155</v>
      </c>
      <c r="C353">
        <v>30</v>
      </c>
      <c r="D353" t="s">
        <v>145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>
        <v>0</v>
      </c>
      <c r="AH353" s="127">
        <v>0</v>
      </c>
      <c r="AI353" s="127">
        <v>0</v>
      </c>
      <c r="AJ353" s="127">
        <v>0</v>
      </c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">
      <c r="A354" t="s">
        <v>154</v>
      </c>
      <c r="B354" t="s">
        <v>155</v>
      </c>
      <c r="C354">
        <v>31</v>
      </c>
      <c r="D354" t="s">
        <v>146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>
        <v>0</v>
      </c>
      <c r="AH354" s="127">
        <v>0</v>
      </c>
      <c r="AI354" s="127">
        <v>0</v>
      </c>
      <c r="AJ354" s="127">
        <v>0</v>
      </c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">
      <c r="A355" t="s">
        <v>154</v>
      </c>
      <c r="B355" t="s">
        <v>155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>
        <v>0</v>
      </c>
      <c r="AH355" s="127">
        <v>0</v>
      </c>
      <c r="AI355" s="127">
        <v>0</v>
      </c>
      <c r="AJ355" s="127">
        <v>0</v>
      </c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">
      <c r="A356" t="s">
        <v>154</v>
      </c>
      <c r="B356" t="s">
        <v>155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>
        <v>0</v>
      </c>
      <c r="AH356" s="127">
        <v>0</v>
      </c>
      <c r="AI356" s="127">
        <v>0</v>
      </c>
      <c r="AJ356" s="127">
        <v>0</v>
      </c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">
      <c r="A357" t="s">
        <v>154</v>
      </c>
      <c r="B357" t="s">
        <v>155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>
        <v>0</v>
      </c>
      <c r="AH357" s="127">
        <v>0</v>
      </c>
      <c r="AI357" s="127">
        <v>0</v>
      </c>
      <c r="AJ357" s="127">
        <v>0</v>
      </c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">
      <c r="A358" t="s">
        <v>154</v>
      </c>
      <c r="B358" t="s">
        <v>155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>
        <v>0</v>
      </c>
      <c r="AH358" s="127">
        <v>0</v>
      </c>
      <c r="AI358" s="127">
        <v>0</v>
      </c>
      <c r="AJ358" s="127">
        <v>0</v>
      </c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">
      <c r="A359" t="s">
        <v>154</v>
      </c>
      <c r="B359" t="s">
        <v>155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>
        <v>0</v>
      </c>
      <c r="AH359" s="127">
        <v>0</v>
      </c>
      <c r="AI359" s="127">
        <v>0</v>
      </c>
      <c r="AJ359" s="127">
        <v>0</v>
      </c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">
      <c r="A360" t="s">
        <v>154</v>
      </c>
      <c r="B360" t="s">
        <v>155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>
        <v>0</v>
      </c>
      <c r="AH360" s="127">
        <v>0</v>
      </c>
      <c r="AI360" s="127">
        <v>0</v>
      </c>
      <c r="AJ360" s="127">
        <v>0</v>
      </c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">
      <c r="A361" t="s">
        <v>154</v>
      </c>
      <c r="B361" t="s">
        <v>155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>
        <v>0</v>
      </c>
      <c r="AH361" s="127">
        <v>0</v>
      </c>
      <c r="AI361" s="127">
        <v>0</v>
      </c>
      <c r="AJ361" s="127">
        <v>0</v>
      </c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">
      <c r="A362" t="s">
        <v>154</v>
      </c>
      <c r="B362" t="s">
        <v>155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>
        <v>0</v>
      </c>
      <c r="AH362" s="127">
        <v>0</v>
      </c>
      <c r="AI362" s="127">
        <v>0</v>
      </c>
      <c r="AJ362" s="127">
        <v>0</v>
      </c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">
      <c r="A363" t="s">
        <v>154</v>
      </c>
      <c r="B363" t="s">
        <v>155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>
        <v>0</v>
      </c>
      <c r="AH363" s="127">
        <v>0</v>
      </c>
      <c r="AI363" s="127">
        <v>0</v>
      </c>
      <c r="AJ363" s="127">
        <v>0</v>
      </c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">
      <c r="A364" t="s">
        <v>156</v>
      </c>
      <c r="B364" t="s">
        <v>157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>
        <v>0</v>
      </c>
      <c r="AH364" s="127">
        <v>0</v>
      </c>
      <c r="AI364" s="127">
        <v>0</v>
      </c>
      <c r="AJ364" s="127">
        <v>0</v>
      </c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">
      <c r="A365" t="s">
        <v>156</v>
      </c>
      <c r="B365" t="s">
        <v>157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>
        <v>0</v>
      </c>
      <c r="AH365" s="127">
        <v>0</v>
      </c>
      <c r="AI365" s="127">
        <v>0</v>
      </c>
      <c r="AJ365" s="127">
        <v>0</v>
      </c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">
      <c r="A366" t="s">
        <v>156</v>
      </c>
      <c r="B366" t="s">
        <v>157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>
        <v>0</v>
      </c>
      <c r="AH366" s="127">
        <v>0</v>
      </c>
      <c r="AI366" s="127">
        <v>0</v>
      </c>
      <c r="AJ366" s="127">
        <v>0</v>
      </c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">
      <c r="A367" t="s">
        <v>156</v>
      </c>
      <c r="B367" t="s">
        <v>157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>
        <v>0</v>
      </c>
      <c r="AH367" s="127">
        <v>0</v>
      </c>
      <c r="AI367" s="127">
        <v>0</v>
      </c>
      <c r="AJ367" s="127">
        <v>0</v>
      </c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">
      <c r="A368" t="s">
        <v>156</v>
      </c>
      <c r="B368" t="s">
        <v>157</v>
      </c>
      <c r="C368">
        <v>5</v>
      </c>
      <c r="D368" t="s">
        <v>134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>
        <v>0</v>
      </c>
      <c r="AH368" s="127">
        <v>0</v>
      </c>
      <c r="AI368" s="127">
        <v>0</v>
      </c>
      <c r="AJ368" s="127">
        <v>0</v>
      </c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">
      <c r="A369" t="s">
        <v>156</v>
      </c>
      <c r="B369" t="s">
        <v>157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>
        <v>0</v>
      </c>
      <c r="AH369" s="127">
        <v>0</v>
      </c>
      <c r="AI369" s="127">
        <v>0</v>
      </c>
      <c r="AJ369" s="127">
        <v>0</v>
      </c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">
      <c r="A370" t="s">
        <v>156</v>
      </c>
      <c r="B370" t="s">
        <v>157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>
        <v>0</v>
      </c>
      <c r="AH370" s="127">
        <v>0</v>
      </c>
      <c r="AI370" s="127">
        <v>0</v>
      </c>
      <c r="AJ370" s="127">
        <v>0</v>
      </c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">
      <c r="A371" t="s">
        <v>156</v>
      </c>
      <c r="B371" t="s">
        <v>157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>
        <v>0</v>
      </c>
      <c r="AH371" s="127">
        <v>0</v>
      </c>
      <c r="AI371" s="127">
        <v>0</v>
      </c>
      <c r="AJ371" s="127">
        <v>0</v>
      </c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">
      <c r="A372" t="s">
        <v>156</v>
      </c>
      <c r="B372" t="s">
        <v>157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>
        <v>0</v>
      </c>
      <c r="AH372" s="127">
        <v>0</v>
      </c>
      <c r="AI372" s="127">
        <v>0</v>
      </c>
      <c r="AJ372" s="127">
        <v>0</v>
      </c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">
      <c r="A373" t="s">
        <v>156</v>
      </c>
      <c r="B373" t="s">
        <v>157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>
        <v>0</v>
      </c>
      <c r="AH373" s="127">
        <v>0</v>
      </c>
      <c r="AI373" s="127">
        <v>0</v>
      </c>
      <c r="AJ373" s="127">
        <v>0</v>
      </c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">
      <c r="A374" t="s">
        <v>156</v>
      </c>
      <c r="B374" t="s">
        <v>157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>
        <v>0</v>
      </c>
      <c r="AH374" s="127">
        <v>0</v>
      </c>
      <c r="AI374" s="127">
        <v>0</v>
      </c>
      <c r="AJ374" s="127">
        <v>0</v>
      </c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">
      <c r="A375" t="s">
        <v>156</v>
      </c>
      <c r="B375" t="s">
        <v>157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>
        <v>0</v>
      </c>
      <c r="AH375" s="127">
        <v>0</v>
      </c>
      <c r="AI375" s="127">
        <v>0</v>
      </c>
      <c r="AJ375" s="127">
        <v>0</v>
      </c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">
      <c r="A376" t="s">
        <v>156</v>
      </c>
      <c r="B376" t="s">
        <v>157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>
        <v>0</v>
      </c>
      <c r="AH376" s="127">
        <v>0</v>
      </c>
      <c r="AI376" s="127">
        <v>0</v>
      </c>
      <c r="AJ376" s="127">
        <v>0</v>
      </c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">
      <c r="A377" t="s">
        <v>156</v>
      </c>
      <c r="B377" t="s">
        <v>157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>
        <v>0</v>
      </c>
      <c r="AH377" s="127">
        <v>0</v>
      </c>
      <c r="AI377" s="127">
        <v>0</v>
      </c>
      <c r="AJ377" s="127">
        <v>0</v>
      </c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">
      <c r="A378" t="s">
        <v>156</v>
      </c>
      <c r="B378" t="s">
        <v>157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>
        <v>0</v>
      </c>
      <c r="AH378" s="127">
        <v>0</v>
      </c>
      <c r="AI378" s="127">
        <v>0</v>
      </c>
      <c r="AJ378" s="127">
        <v>0</v>
      </c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">
      <c r="A379" t="s">
        <v>156</v>
      </c>
      <c r="B379" t="s">
        <v>157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>
        <v>0</v>
      </c>
      <c r="AH379" s="127">
        <v>0</v>
      </c>
      <c r="AI379" s="127">
        <v>0</v>
      </c>
      <c r="AJ379" s="127">
        <v>0</v>
      </c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">
      <c r="A380" t="s">
        <v>156</v>
      </c>
      <c r="B380" t="s">
        <v>157</v>
      </c>
      <c r="C380">
        <v>17</v>
      </c>
      <c r="D380" t="s">
        <v>135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>
        <v>0</v>
      </c>
      <c r="AH380" s="127">
        <v>0</v>
      </c>
      <c r="AI380" s="127">
        <v>0</v>
      </c>
      <c r="AJ380" s="127">
        <v>0</v>
      </c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">
      <c r="A381" t="s">
        <v>156</v>
      </c>
      <c r="B381" t="s">
        <v>157</v>
      </c>
      <c r="C381">
        <v>18</v>
      </c>
      <c r="D381" t="s">
        <v>136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>
        <v>0</v>
      </c>
      <c r="AH381" s="127">
        <v>0</v>
      </c>
      <c r="AI381" s="127">
        <v>0</v>
      </c>
      <c r="AJ381" s="127">
        <v>0</v>
      </c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">
      <c r="A382" t="s">
        <v>156</v>
      </c>
      <c r="B382" t="s">
        <v>157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>
        <v>0</v>
      </c>
      <c r="AH382" s="127">
        <v>0</v>
      </c>
      <c r="AI382" s="127">
        <v>0</v>
      </c>
      <c r="AJ382" s="127">
        <v>0</v>
      </c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">
      <c r="A383" t="s">
        <v>156</v>
      </c>
      <c r="B383" t="s">
        <v>157</v>
      </c>
      <c r="C383">
        <v>20</v>
      </c>
      <c r="D383" t="s">
        <v>137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>
        <v>0</v>
      </c>
      <c r="AH383" s="127">
        <v>0</v>
      </c>
      <c r="AI383" s="127">
        <v>0</v>
      </c>
      <c r="AJ383" s="127">
        <v>0</v>
      </c>
      <c r="AK383" s="127"/>
      <c r="AL383" s="12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">
      <c r="A384" t="s">
        <v>156</v>
      </c>
      <c r="B384" t="s">
        <v>157</v>
      </c>
      <c r="C384">
        <v>21</v>
      </c>
      <c r="D384" t="s">
        <v>138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>
        <v>0</v>
      </c>
      <c r="AH384" s="127">
        <v>0</v>
      </c>
      <c r="AI384" s="127">
        <v>0</v>
      </c>
      <c r="AJ384" s="127">
        <v>0</v>
      </c>
      <c r="AK384" s="127"/>
      <c r="AL384" s="12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">
      <c r="A385" t="s">
        <v>156</v>
      </c>
      <c r="B385" t="s">
        <v>157</v>
      </c>
      <c r="C385">
        <v>22</v>
      </c>
      <c r="D385" t="s">
        <v>139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>
        <v>0</v>
      </c>
      <c r="AH385" s="127">
        <v>0</v>
      </c>
      <c r="AI385" s="127">
        <v>0</v>
      </c>
      <c r="AJ385" s="127">
        <v>0</v>
      </c>
      <c r="AK385" s="127"/>
      <c r="AL385" s="12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">
      <c r="A386" t="s">
        <v>156</v>
      </c>
      <c r="B386" t="s">
        <v>157</v>
      </c>
      <c r="C386">
        <v>23</v>
      </c>
      <c r="D386" t="s">
        <v>140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>
        <v>0</v>
      </c>
      <c r="AH386" s="127">
        <v>0</v>
      </c>
      <c r="AI386" s="127">
        <v>0</v>
      </c>
      <c r="AJ386" s="127">
        <v>0</v>
      </c>
      <c r="AK386" s="127"/>
      <c r="AL386" s="12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">
      <c r="A387" t="s">
        <v>156</v>
      </c>
      <c r="B387" t="s">
        <v>157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>
        <v>0</v>
      </c>
      <c r="AH387" s="127">
        <v>0</v>
      </c>
      <c r="AI387" s="127">
        <v>0</v>
      </c>
      <c r="AJ387" s="127">
        <v>0</v>
      </c>
      <c r="AK387" s="127"/>
      <c r="AL387" s="12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">
      <c r="A388" t="s">
        <v>156</v>
      </c>
      <c r="B388" t="s">
        <v>157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>
        <v>0</v>
      </c>
      <c r="AH388" s="127">
        <v>0</v>
      </c>
      <c r="AI388" s="127">
        <v>0</v>
      </c>
      <c r="AJ388" s="127">
        <v>0</v>
      </c>
      <c r="AK388" s="127"/>
      <c r="AL388" s="12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">
      <c r="A389" t="s">
        <v>156</v>
      </c>
      <c r="B389" t="s">
        <v>157</v>
      </c>
      <c r="C389">
        <v>26</v>
      </c>
      <c r="D389" t="s">
        <v>141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>
        <v>0</v>
      </c>
      <c r="AH389" s="127">
        <v>0</v>
      </c>
      <c r="AI389" s="127">
        <v>0</v>
      </c>
      <c r="AJ389" s="127">
        <v>0</v>
      </c>
      <c r="AK389" s="127"/>
      <c r="AL389" s="12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">
      <c r="A390" t="s">
        <v>156</v>
      </c>
      <c r="B390" t="s">
        <v>157</v>
      </c>
      <c r="C390">
        <v>27</v>
      </c>
      <c r="D390" t="s">
        <v>142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>
        <v>0</v>
      </c>
      <c r="AH390" s="127">
        <v>0</v>
      </c>
      <c r="AI390" s="127">
        <v>0</v>
      </c>
      <c r="AJ390" s="127">
        <v>0</v>
      </c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">
      <c r="A391" t="s">
        <v>156</v>
      </c>
      <c r="B391" t="s">
        <v>157</v>
      </c>
      <c r="C391">
        <v>28</v>
      </c>
      <c r="D391" t="s">
        <v>143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>
        <v>0</v>
      </c>
      <c r="AH391" s="127">
        <v>0</v>
      </c>
      <c r="AI391" s="127">
        <v>0</v>
      </c>
      <c r="AJ391" s="127">
        <v>0</v>
      </c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">
      <c r="A392" t="s">
        <v>156</v>
      </c>
      <c r="B392" t="s">
        <v>157</v>
      </c>
      <c r="C392">
        <v>29</v>
      </c>
      <c r="D392" t="s">
        <v>144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>
        <v>0</v>
      </c>
      <c r="AH392" s="127">
        <v>0</v>
      </c>
      <c r="AI392" s="127">
        <v>0</v>
      </c>
      <c r="AJ392" s="127">
        <v>0</v>
      </c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">
      <c r="A393" t="s">
        <v>156</v>
      </c>
      <c r="B393" t="s">
        <v>157</v>
      </c>
      <c r="C393">
        <v>30</v>
      </c>
      <c r="D393" t="s">
        <v>145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>
        <v>0</v>
      </c>
      <c r="AH393" s="127">
        <v>0</v>
      </c>
      <c r="AI393" s="127">
        <v>0</v>
      </c>
      <c r="AJ393" s="127">
        <v>0</v>
      </c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">
      <c r="A394" t="s">
        <v>156</v>
      </c>
      <c r="B394" t="s">
        <v>157</v>
      </c>
      <c r="C394">
        <v>31</v>
      </c>
      <c r="D394" t="s">
        <v>146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>
        <v>0</v>
      </c>
      <c r="AH394" s="127">
        <v>0</v>
      </c>
      <c r="AI394" s="127">
        <v>0</v>
      </c>
      <c r="AJ394" s="127">
        <v>0</v>
      </c>
      <c r="AK394" s="127"/>
      <c r="AL394" s="12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">
      <c r="A395" t="s">
        <v>156</v>
      </c>
      <c r="B395" t="s">
        <v>157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>
        <v>0</v>
      </c>
      <c r="AH395" s="127">
        <v>0</v>
      </c>
      <c r="AI395" s="127">
        <v>0</v>
      </c>
      <c r="AJ395" s="127">
        <v>0</v>
      </c>
      <c r="AK395" s="127"/>
      <c r="AL395" s="12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">
      <c r="A396" t="s">
        <v>156</v>
      </c>
      <c r="B396" t="s">
        <v>157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>
        <v>0</v>
      </c>
      <c r="AH396" s="127">
        <v>0</v>
      </c>
      <c r="AI396" s="127">
        <v>0</v>
      </c>
      <c r="AJ396" s="127">
        <v>0</v>
      </c>
      <c r="AK396" s="127"/>
      <c r="AL396" s="12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">
      <c r="A397" t="s">
        <v>156</v>
      </c>
      <c r="B397" t="s">
        <v>157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>
        <v>0</v>
      </c>
      <c r="AH397" s="127">
        <v>0</v>
      </c>
      <c r="AI397" s="127">
        <v>0</v>
      </c>
      <c r="AJ397" s="127">
        <v>0</v>
      </c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">
      <c r="A398" t="s">
        <v>156</v>
      </c>
      <c r="B398" t="s">
        <v>157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>
        <v>0</v>
      </c>
      <c r="AH398" s="127">
        <v>0</v>
      </c>
      <c r="AI398" s="127">
        <v>0</v>
      </c>
      <c r="AJ398" s="127">
        <v>0</v>
      </c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">
      <c r="A399" t="s">
        <v>156</v>
      </c>
      <c r="B399" t="s">
        <v>157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>
        <v>0</v>
      </c>
      <c r="AH399" s="127">
        <v>0</v>
      </c>
      <c r="AI399" s="127">
        <v>0</v>
      </c>
      <c r="AJ399" s="127">
        <v>0</v>
      </c>
      <c r="AK399" s="127"/>
      <c r="AL399" s="12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">
      <c r="A400" t="s">
        <v>156</v>
      </c>
      <c r="B400" t="s">
        <v>157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>
        <v>0</v>
      </c>
      <c r="AH400" s="127">
        <v>0</v>
      </c>
      <c r="AI400" s="127">
        <v>0</v>
      </c>
      <c r="AJ400" s="127">
        <v>0</v>
      </c>
      <c r="AK400" s="127"/>
      <c r="AL400" s="12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">
      <c r="A401" t="s">
        <v>156</v>
      </c>
      <c r="B401" t="s">
        <v>157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>
        <v>0</v>
      </c>
      <c r="AH401" s="127">
        <v>0</v>
      </c>
      <c r="AI401" s="127">
        <v>0</v>
      </c>
      <c r="AJ401" s="127">
        <v>0</v>
      </c>
      <c r="AK401" s="127"/>
      <c r="AL401" s="12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">
      <c r="A402" t="s">
        <v>156</v>
      </c>
      <c r="B402" t="s">
        <v>157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>
        <v>0</v>
      </c>
      <c r="AH402" s="127">
        <v>0</v>
      </c>
      <c r="AI402" s="127">
        <v>0</v>
      </c>
      <c r="AJ402" s="127">
        <v>0</v>
      </c>
      <c r="AK402" s="127"/>
      <c r="AL402" s="12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">
      <c r="A403" t="s">
        <v>156</v>
      </c>
      <c r="B403" t="s">
        <v>157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>
        <v>0</v>
      </c>
      <c r="AH403" s="127">
        <v>0</v>
      </c>
      <c r="AI403" s="127">
        <v>0</v>
      </c>
      <c r="AJ403" s="127">
        <v>0</v>
      </c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"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118" x14ac:dyDescent="0.2"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118" x14ac:dyDescent="0.2"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118" x14ac:dyDescent="0.2"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118" x14ac:dyDescent="0.2"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118" x14ac:dyDescent="0.2"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</row>
    <row r="410" spans="1:118" x14ac:dyDescent="0.2"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118" x14ac:dyDescent="0.2"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118" x14ac:dyDescent="0.2"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118" x14ac:dyDescent="0.2"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</row>
    <row r="414" spans="1:118" x14ac:dyDescent="0.2"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118" x14ac:dyDescent="0.2">
      <c r="I415" s="45"/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118" x14ac:dyDescent="0.2"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25:36" x14ac:dyDescent="0.2"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25:36" x14ac:dyDescent="0.2"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25:36" x14ac:dyDescent="0.2"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25:36" x14ac:dyDescent="0.2"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25:36" x14ac:dyDescent="0.2"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25:36" x14ac:dyDescent="0.2"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25:36" x14ac:dyDescent="0.2"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25:36" x14ac:dyDescent="0.2"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25:36" x14ac:dyDescent="0.2"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25:36" x14ac:dyDescent="0.2"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25:36" x14ac:dyDescent="0.2"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25:36" x14ac:dyDescent="0.2"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25:36" x14ac:dyDescent="0.2"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25:36" x14ac:dyDescent="0.2"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25:36" x14ac:dyDescent="0.2"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25:36" x14ac:dyDescent="0.2"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25:36" x14ac:dyDescent="0.2"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25:36" x14ac:dyDescent="0.2"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25:36" x14ac:dyDescent="0.2"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25:36" x14ac:dyDescent="0.2"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25:36" x14ac:dyDescent="0.2"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25:36" x14ac:dyDescent="0.2"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25:36" x14ac:dyDescent="0.2"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25:36" x14ac:dyDescent="0.2"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25:36" x14ac:dyDescent="0.2"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25:36" x14ac:dyDescent="0.2"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25:36" x14ac:dyDescent="0.2"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25:36" x14ac:dyDescent="0.2">
      <c r="Y444">
        <v>-127400</v>
      </c>
      <c r="Z444">
        <v>-209573</v>
      </c>
      <c r="AA444">
        <v>0</v>
      </c>
      <c r="AB444">
        <v>0</v>
      </c>
      <c r="AC444">
        <v>5957</v>
      </c>
      <c r="AD444">
        <v>10914.32</v>
      </c>
      <c r="AE444">
        <v>-6376</v>
      </c>
      <c r="AF444">
        <v>17980.16</v>
      </c>
      <c r="AG444">
        <v>263905</v>
      </c>
      <c r="AH444">
        <v>409186.79</v>
      </c>
      <c r="AI444">
        <v>-40051</v>
      </c>
      <c r="AJ444">
        <v>-72273.53</v>
      </c>
    </row>
    <row r="445" spans="25:36" x14ac:dyDescent="0.2"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25:36" x14ac:dyDescent="0.2">
      <c r="Y446">
        <v>1702830</v>
      </c>
      <c r="Z446">
        <v>2959927</v>
      </c>
      <c r="AA446">
        <v>0</v>
      </c>
      <c r="AB446">
        <v>0</v>
      </c>
      <c r="AC446">
        <v>-1702830</v>
      </c>
      <c r="AD446">
        <v>-2959927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25:36" x14ac:dyDescent="0.2"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25:36" x14ac:dyDescent="0.2"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25:36" x14ac:dyDescent="0.2">
      <c r="Y449">
        <v>0</v>
      </c>
      <c r="Z449">
        <v>0</v>
      </c>
      <c r="AA449">
        <v>0</v>
      </c>
      <c r="AB449">
        <v>0</v>
      </c>
      <c r="AC449">
        <v>-5957</v>
      </c>
      <c r="AD449">
        <v>-9114.2099999999991</v>
      </c>
      <c r="AE449">
        <v>6376</v>
      </c>
      <c r="AF449">
        <v>10105.959999999999</v>
      </c>
      <c r="AG449">
        <v>0</v>
      </c>
      <c r="AH449">
        <v>0</v>
      </c>
      <c r="AI449">
        <v>39474</v>
      </c>
      <c r="AJ449">
        <v>69054.36</v>
      </c>
    </row>
    <row r="450" spans="25:36" x14ac:dyDescent="0.2"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25:36" x14ac:dyDescent="0.2">
      <c r="Y451">
        <v>-1812410</v>
      </c>
      <c r="Z451">
        <v>-3147901</v>
      </c>
      <c r="AA451">
        <v>0</v>
      </c>
      <c r="AB451">
        <v>0</v>
      </c>
      <c r="AC451">
        <v>1812410</v>
      </c>
      <c r="AD451">
        <v>3147901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25:36" x14ac:dyDescent="0.2"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25:36" x14ac:dyDescent="0.2"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25:36" x14ac:dyDescent="0.2">
      <c r="Y454">
        <v>0</v>
      </c>
      <c r="Z454">
        <v>0</v>
      </c>
      <c r="AA454">
        <v>0</v>
      </c>
      <c r="AB454">
        <v>0</v>
      </c>
      <c r="AC454">
        <v>4261</v>
      </c>
      <c r="AD454">
        <v>7030.65</v>
      </c>
      <c r="AE454">
        <v>0</v>
      </c>
      <c r="AF454">
        <v>0</v>
      </c>
      <c r="AG454">
        <v>10574</v>
      </c>
      <c r="AH454">
        <v>17447.099999999999</v>
      </c>
      <c r="AI454">
        <v>0</v>
      </c>
      <c r="AJ454">
        <v>0</v>
      </c>
    </row>
    <row r="455" spans="25:36" x14ac:dyDescent="0.2"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25:36" x14ac:dyDescent="0.2">
      <c r="Y456">
        <v>0</v>
      </c>
      <c r="Z456">
        <v>0</v>
      </c>
      <c r="AA456">
        <v>49716</v>
      </c>
      <c r="AB456">
        <v>108430.6</v>
      </c>
      <c r="AC456">
        <v>12</v>
      </c>
      <c r="AD456">
        <v>18.456</v>
      </c>
      <c r="AE456">
        <v>6571</v>
      </c>
      <c r="AF456">
        <v>10106.198</v>
      </c>
      <c r="AG456">
        <v>-23164</v>
      </c>
      <c r="AH456">
        <v>-35626.232000000004</v>
      </c>
      <c r="AI456">
        <v>0</v>
      </c>
      <c r="AJ456">
        <v>0</v>
      </c>
    </row>
    <row r="457" spans="25:36" x14ac:dyDescent="0.2"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25:36" x14ac:dyDescent="0.2"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25:36" x14ac:dyDescent="0.2"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25:36" x14ac:dyDescent="0.2"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25:36" x14ac:dyDescent="0.2">
      <c r="Y461">
        <v>0</v>
      </c>
      <c r="Z461">
        <v>0</v>
      </c>
      <c r="AA461">
        <v>0</v>
      </c>
      <c r="AB461">
        <v>0</v>
      </c>
      <c r="AC461">
        <v>-522</v>
      </c>
      <c r="AD461">
        <v>-1036.17</v>
      </c>
      <c r="AE461">
        <v>-10832</v>
      </c>
      <c r="AF461">
        <v>-62114.53</v>
      </c>
      <c r="AG461">
        <v>-251965</v>
      </c>
      <c r="AH461">
        <v>-535592.51</v>
      </c>
      <c r="AI461">
        <v>0</v>
      </c>
      <c r="AJ461">
        <v>0</v>
      </c>
    </row>
    <row r="462" spans="25:36" x14ac:dyDescent="0.2"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25:36" x14ac:dyDescent="0.2"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25:36" x14ac:dyDescent="0.2"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25:36" x14ac:dyDescent="0.2">
      <c r="Y465">
        <v>236980</v>
      </c>
      <c r="Z465">
        <v>364475.24</v>
      </c>
      <c r="AA465">
        <v>-49716</v>
      </c>
      <c r="AB465">
        <v>-76463.207999999999</v>
      </c>
      <c r="AC465">
        <v>-113331</v>
      </c>
      <c r="AD465">
        <v>-174303.07800000001</v>
      </c>
      <c r="AE465">
        <v>4261</v>
      </c>
      <c r="AF465">
        <v>6553.4179999999997</v>
      </c>
      <c r="AG465">
        <v>650</v>
      </c>
      <c r="AH465">
        <v>999.7</v>
      </c>
      <c r="AI465">
        <v>577</v>
      </c>
      <c r="AJ465">
        <v>887.42600000000004</v>
      </c>
    </row>
    <row r="466" spans="25:36" x14ac:dyDescent="0.2"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25:36" x14ac:dyDescent="0.2">
      <c r="Y467">
        <v>-6294</v>
      </c>
      <c r="Z467">
        <v>-1258.8</v>
      </c>
      <c r="AA467">
        <v>0</v>
      </c>
      <c r="AB467">
        <v>0</v>
      </c>
      <c r="AC467">
        <v>-55651</v>
      </c>
      <c r="AD467">
        <v>-3793.3</v>
      </c>
      <c r="AE467">
        <v>-57284</v>
      </c>
      <c r="AF467">
        <v>-1193.82</v>
      </c>
      <c r="AG467">
        <v>1300</v>
      </c>
      <c r="AH467">
        <v>-367.95</v>
      </c>
      <c r="AI467">
        <v>232813</v>
      </c>
      <c r="AJ467">
        <v>-1414.84</v>
      </c>
    </row>
    <row r="468" spans="25:36" x14ac:dyDescent="0.2"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25:36" x14ac:dyDescent="0.2">
      <c r="Y469">
        <v>0</v>
      </c>
      <c r="Z469">
        <v>-200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25:36" x14ac:dyDescent="0.2"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25:36" x14ac:dyDescent="0.2"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-1.84</v>
      </c>
      <c r="AI471">
        <v>0</v>
      </c>
      <c r="AJ471">
        <v>0</v>
      </c>
    </row>
    <row r="472" spans="25:36" x14ac:dyDescent="0.2"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25:36" x14ac:dyDescent="0.2"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</row>
    <row r="474" spans="25:36" x14ac:dyDescent="0.2"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</row>
    <row r="475" spans="25:36" x14ac:dyDescent="0.2"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</row>
    <row r="476" spans="25:36" x14ac:dyDescent="0.2"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</row>
    <row r="477" spans="25:36" x14ac:dyDescent="0.2"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</row>
    <row r="478" spans="25:36" x14ac:dyDescent="0.2"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</row>
    <row r="479" spans="25:36" x14ac:dyDescent="0.2"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</row>
    <row r="480" spans="25:36" x14ac:dyDescent="0.2"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</row>
    <row r="481" spans="25:36" x14ac:dyDescent="0.2"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</row>
    <row r="482" spans="25:36" x14ac:dyDescent="0.2"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</row>
    <row r="483" spans="25:36" x14ac:dyDescent="0.2"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</row>
    <row r="484" spans="25:36" x14ac:dyDescent="0.2"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</row>
    <row r="485" spans="25:36" x14ac:dyDescent="0.2"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</row>
    <row r="486" spans="25:36" x14ac:dyDescent="0.2">
      <c r="Y486">
        <v>941269</v>
      </c>
      <c r="Z486">
        <v>1562420</v>
      </c>
      <c r="AA486">
        <v>0</v>
      </c>
      <c r="AB486">
        <v>0</v>
      </c>
      <c r="AC486">
        <v>-941269</v>
      </c>
      <c r="AD486">
        <v>-1562420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</row>
    <row r="487" spans="25:36" x14ac:dyDescent="0.2"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</row>
    <row r="488" spans="25:36" x14ac:dyDescent="0.2"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</row>
    <row r="489" spans="25:36" x14ac:dyDescent="0.2"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</row>
    <row r="490" spans="25:36" x14ac:dyDescent="0.2"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</row>
    <row r="491" spans="25:36" x14ac:dyDescent="0.2">
      <c r="Y491">
        <v>-1057571</v>
      </c>
      <c r="Z491">
        <v>-1753506</v>
      </c>
      <c r="AA491">
        <v>0</v>
      </c>
      <c r="AB491">
        <v>0</v>
      </c>
      <c r="AC491">
        <v>1057571</v>
      </c>
      <c r="AD491">
        <v>1753506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</row>
    <row r="492" spans="25:36" x14ac:dyDescent="0.2"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</row>
    <row r="493" spans="25:36" x14ac:dyDescent="0.2"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25:36" x14ac:dyDescent="0.2"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25:36" x14ac:dyDescent="0.2"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25:36" x14ac:dyDescent="0.2"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25:36" x14ac:dyDescent="0.2"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25:36" x14ac:dyDescent="0.2"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25:36" x14ac:dyDescent="0.2"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25:36" x14ac:dyDescent="0.2"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25:36" x14ac:dyDescent="0.2"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25:36" x14ac:dyDescent="0.2"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</row>
    <row r="503" spans="25:36" x14ac:dyDescent="0.2"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25:36" x14ac:dyDescent="0.2"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25:36" x14ac:dyDescent="0.2">
      <c r="Y505">
        <v>116302</v>
      </c>
      <c r="Z505">
        <v>175732.32199999999</v>
      </c>
      <c r="AA505">
        <v>0</v>
      </c>
      <c r="AB505">
        <v>0</v>
      </c>
      <c r="AC505">
        <v>-116302</v>
      </c>
      <c r="AD505">
        <v>-175732.32199999999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25:36" x14ac:dyDescent="0.2"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25:36" x14ac:dyDescent="0.2">
      <c r="Y507">
        <v>0</v>
      </c>
      <c r="Z507">
        <v>0</v>
      </c>
      <c r="AA507">
        <v>0</v>
      </c>
      <c r="AB507">
        <v>1251.93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25:36" x14ac:dyDescent="0.2">
      <c r="Y508">
        <v>0</v>
      </c>
      <c r="Z508">
        <v>0</v>
      </c>
      <c r="AA508">
        <v>0</v>
      </c>
      <c r="AB508">
        <v>-9501.6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25:36" x14ac:dyDescent="0.2"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25:36" x14ac:dyDescent="0.2"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25:36" x14ac:dyDescent="0.2"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25:36" x14ac:dyDescent="0.2"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25:36" x14ac:dyDescent="0.2"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25:36" x14ac:dyDescent="0.2"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25:36" x14ac:dyDescent="0.2"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25:36" x14ac:dyDescent="0.2"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25:36" x14ac:dyDescent="0.2"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25:36" x14ac:dyDescent="0.2"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</row>
    <row r="519" spans="25:36" x14ac:dyDescent="0.2"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25:36" x14ac:dyDescent="0.2"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25:36" x14ac:dyDescent="0.2"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</row>
    <row r="522" spans="25:36" x14ac:dyDescent="0.2"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25:36" x14ac:dyDescent="0.2"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25:36" x14ac:dyDescent="0.2"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25:36" x14ac:dyDescent="0.2"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25:36" x14ac:dyDescent="0.2"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25:36" x14ac:dyDescent="0.2"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25:36" x14ac:dyDescent="0.2"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25:36" x14ac:dyDescent="0.2"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25:36" x14ac:dyDescent="0.2"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25:36" x14ac:dyDescent="0.2"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25:36" x14ac:dyDescent="0.2"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25:36" x14ac:dyDescent="0.2"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25:36" x14ac:dyDescent="0.2"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</row>
    <row r="535" spans="25:36" x14ac:dyDescent="0.2"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25:36" x14ac:dyDescent="0.2"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25:36" x14ac:dyDescent="0.2"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25:36" x14ac:dyDescent="0.2"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25:36" x14ac:dyDescent="0.2"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25:36" x14ac:dyDescent="0.2"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25:36" x14ac:dyDescent="0.2"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25:36" x14ac:dyDescent="0.2"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</row>
    <row r="543" spans="25:36" x14ac:dyDescent="0.2"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25:36" x14ac:dyDescent="0.2"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25:36" x14ac:dyDescent="0.2"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25:36" x14ac:dyDescent="0.2"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25:36" x14ac:dyDescent="0.2"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25:36" x14ac:dyDescent="0.2"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25:36" x14ac:dyDescent="0.2"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25:36" x14ac:dyDescent="0.2"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25:36" x14ac:dyDescent="0.2"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</row>
    <row r="552" spans="25:36" x14ac:dyDescent="0.2"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25:36" x14ac:dyDescent="0.2"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25:36" x14ac:dyDescent="0.2"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</row>
    <row r="555" spans="25:36" x14ac:dyDescent="0.2"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25:36" x14ac:dyDescent="0.2"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</row>
    <row r="557" spans="25:36" x14ac:dyDescent="0.2"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25:36" x14ac:dyDescent="0.2"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</row>
    <row r="559" spans="25:36" x14ac:dyDescent="0.2"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25:36" x14ac:dyDescent="0.2"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</row>
    <row r="561" spans="25:36" x14ac:dyDescent="0.2"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</row>
    <row r="562" spans="25:36" x14ac:dyDescent="0.2"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25:36" x14ac:dyDescent="0.2"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</row>
    <row r="564" spans="25:36" x14ac:dyDescent="0.2"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25:36" x14ac:dyDescent="0.2"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25:36" x14ac:dyDescent="0.2"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25:36" x14ac:dyDescent="0.2"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25:36" x14ac:dyDescent="0.2"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25:36" x14ac:dyDescent="0.2"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25:36" x14ac:dyDescent="0.2"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25:36" x14ac:dyDescent="0.2"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25:36" x14ac:dyDescent="0.2"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25:36" x14ac:dyDescent="0.2"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25:36" x14ac:dyDescent="0.2"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25:36" x14ac:dyDescent="0.2"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25:36" x14ac:dyDescent="0.2"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25:36" x14ac:dyDescent="0.2"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25:36" x14ac:dyDescent="0.2"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25:36" x14ac:dyDescent="0.2"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25:36" x14ac:dyDescent="0.2"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25:36" x14ac:dyDescent="0.2"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25:36" x14ac:dyDescent="0.2"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25:36" x14ac:dyDescent="0.2"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25:36" x14ac:dyDescent="0.2"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25:36" x14ac:dyDescent="0.2"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25:36" x14ac:dyDescent="0.2"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</row>
    <row r="587" spans="25:36" x14ac:dyDescent="0.2"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25:36" x14ac:dyDescent="0.2"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25:36" x14ac:dyDescent="0.2"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25:36" x14ac:dyDescent="0.2"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25:36" x14ac:dyDescent="0.2"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25:36" x14ac:dyDescent="0.2"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</row>
    <row r="593" spans="25:36" x14ac:dyDescent="0.2"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25:36" x14ac:dyDescent="0.2"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</row>
    <row r="595" spans="25:36" x14ac:dyDescent="0.2"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25:36" x14ac:dyDescent="0.2"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25:36" x14ac:dyDescent="0.2"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25:36" x14ac:dyDescent="0.2"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</row>
    <row r="599" spans="25:36" x14ac:dyDescent="0.2"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25:36" x14ac:dyDescent="0.2"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</row>
    <row r="601" spans="25:36" x14ac:dyDescent="0.2"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</row>
    <row r="602" spans="25:36" x14ac:dyDescent="0.2"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25:36" x14ac:dyDescent="0.2"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39" spans="6:43" x14ac:dyDescent="0.2">
      <c r="F639" s="209">
        <v>36220</v>
      </c>
      <c r="G639" s="210"/>
      <c r="H639" s="205">
        <f>+F639+31</f>
        <v>36251</v>
      </c>
      <c r="I639" s="206"/>
      <c r="J639" s="205">
        <f>+H639+31</f>
        <v>36282</v>
      </c>
      <c r="K639" s="206"/>
      <c r="L639" s="205">
        <f>+J639+31</f>
        <v>36313</v>
      </c>
      <c r="M639" s="206"/>
      <c r="N639" s="205">
        <f>+L639+31</f>
        <v>36344</v>
      </c>
      <c r="O639" s="206"/>
      <c r="P639" s="205">
        <f>+N639+31</f>
        <v>36375</v>
      </c>
      <c r="Q639" s="206"/>
      <c r="R639" s="205">
        <f>+P639+31</f>
        <v>36406</v>
      </c>
      <c r="S639" s="206"/>
      <c r="T639" s="205">
        <f>+R639+31</f>
        <v>36437</v>
      </c>
      <c r="U639" s="206"/>
      <c r="V639" s="205">
        <f>+T639+31</f>
        <v>36468</v>
      </c>
      <c r="W639" s="206"/>
      <c r="X639" s="205">
        <f>+V639+31</f>
        <v>36499</v>
      </c>
      <c r="Y639" s="206"/>
      <c r="Z639" s="205">
        <f>+X639+31</f>
        <v>36530</v>
      </c>
      <c r="AA639" s="206"/>
      <c r="AB639" s="205">
        <f>+Z639+31</f>
        <v>36561</v>
      </c>
      <c r="AC639" s="206"/>
      <c r="AD639" s="205">
        <f>+AB639+31</f>
        <v>36592</v>
      </c>
      <c r="AE639" s="206"/>
      <c r="AF639" s="205">
        <f>+AD639+31</f>
        <v>36623</v>
      </c>
      <c r="AG639" s="206"/>
      <c r="AH639" s="205">
        <f>+AF639+31</f>
        <v>36654</v>
      </c>
      <c r="AI639" s="206"/>
      <c r="AJ639" s="205">
        <f>+AH639+31</f>
        <v>36685</v>
      </c>
      <c r="AK639" s="206"/>
      <c r="AL639" s="205">
        <f>+AJ639+31</f>
        <v>36716</v>
      </c>
      <c r="AM639" s="206"/>
      <c r="AN639" s="205">
        <f>+AL639+31</f>
        <v>36747</v>
      </c>
      <c r="AO639" s="206"/>
      <c r="AP639" s="205">
        <f>+AN639+31</f>
        <v>36778</v>
      </c>
      <c r="AQ639" s="206"/>
    </row>
    <row r="640" spans="6:43" x14ac:dyDescent="0.2">
      <c r="F640" s="138" t="s">
        <v>26</v>
      </c>
      <c r="G640" s="138" t="s">
        <v>158</v>
      </c>
      <c r="H640" s="138" t="s">
        <v>26</v>
      </c>
      <c r="I640" s="138" t="s">
        <v>158</v>
      </c>
      <c r="J640" s="138" t="s">
        <v>26</v>
      </c>
      <c r="K640" s="138" t="s">
        <v>158</v>
      </c>
      <c r="L640" s="138" t="s">
        <v>26</v>
      </c>
      <c r="M640" s="138" t="s">
        <v>158</v>
      </c>
      <c r="N640" s="138" t="s">
        <v>26</v>
      </c>
      <c r="O640" s="138" t="s">
        <v>158</v>
      </c>
      <c r="P640" s="138" t="s">
        <v>26</v>
      </c>
      <c r="Q640" s="138" t="s">
        <v>158</v>
      </c>
      <c r="R640" s="138" t="s">
        <v>26</v>
      </c>
      <c r="S640" s="138" t="s">
        <v>158</v>
      </c>
      <c r="T640" s="138" t="s">
        <v>26</v>
      </c>
      <c r="U640" s="138" t="s">
        <v>158</v>
      </c>
      <c r="V640" s="138" t="s">
        <v>26</v>
      </c>
      <c r="W640" s="138" t="s">
        <v>158</v>
      </c>
      <c r="X640" s="138" t="s">
        <v>26</v>
      </c>
      <c r="Y640" s="138" t="s">
        <v>158</v>
      </c>
      <c r="Z640" s="138" t="s">
        <v>26</v>
      </c>
      <c r="AA640" s="138" t="s">
        <v>158</v>
      </c>
      <c r="AB640" s="138" t="s">
        <v>26</v>
      </c>
      <c r="AC640" s="138" t="s">
        <v>158</v>
      </c>
      <c r="AD640" s="138" t="s">
        <v>26</v>
      </c>
      <c r="AE640" s="138" t="s">
        <v>158</v>
      </c>
      <c r="AF640" s="138" t="s">
        <v>26</v>
      </c>
      <c r="AG640" s="138" t="s">
        <v>158</v>
      </c>
      <c r="AH640" s="138" t="s">
        <v>26</v>
      </c>
      <c r="AI640" s="138" t="s">
        <v>158</v>
      </c>
      <c r="AJ640" s="138" t="s">
        <v>26</v>
      </c>
      <c r="AK640" s="138" t="s">
        <v>158</v>
      </c>
      <c r="AL640" s="138" t="s">
        <v>26</v>
      </c>
      <c r="AM640" s="138" t="s">
        <v>158</v>
      </c>
      <c r="AN640" s="138" t="s">
        <v>26</v>
      </c>
      <c r="AO640" s="138" t="s">
        <v>158</v>
      </c>
      <c r="AP640" s="138" t="s">
        <v>26</v>
      </c>
      <c r="AQ640" s="138" t="s">
        <v>158</v>
      </c>
    </row>
    <row r="641" spans="4:43" x14ac:dyDescent="0.2">
      <c r="D641" s="139" t="s">
        <v>175</v>
      </c>
      <c r="E641" s="140"/>
      <c r="F641" s="141">
        <f>BGC_GL!H82</f>
        <v>0</v>
      </c>
      <c r="G641" s="142">
        <f>BGC_GL!I82</f>
        <v>3659696.0319999992</v>
      </c>
      <c r="H641" s="141">
        <f>BGC_GL!J82</f>
        <v>0</v>
      </c>
      <c r="I641" s="142">
        <f>BGC_GL!K82</f>
        <v>-1604212.8399999999</v>
      </c>
      <c r="J641" s="141">
        <f>BGC_GL!L82</f>
        <v>0</v>
      </c>
      <c r="K641" s="142">
        <f>BGC_GL!M82</f>
        <v>1497272.4759999998</v>
      </c>
      <c r="L641" s="141">
        <f>BGC_GL!N82</f>
        <v>0</v>
      </c>
      <c r="M641" s="141">
        <f>BGC_GL!O82</f>
        <v>19307</v>
      </c>
      <c r="N641" s="141">
        <f>BGC_GL!P82</f>
        <v>0</v>
      </c>
      <c r="O641" s="141">
        <f>BGC_GL!Q82</f>
        <v>0</v>
      </c>
      <c r="P641" s="141">
        <f>BGC_GL!R82</f>
        <v>0</v>
      </c>
      <c r="Q641" s="141">
        <f>BGC_GL!S82</f>
        <v>0</v>
      </c>
      <c r="R641" s="141">
        <f>BGC_GL!T82</f>
        <v>0</v>
      </c>
      <c r="S641" s="141">
        <f>BGC_GL!U82</f>
        <v>0</v>
      </c>
      <c r="T641" s="141">
        <f>BGC_GL!V82</f>
        <v>0</v>
      </c>
      <c r="U641" s="203">
        <f>BGC_GL!W82</f>
        <v>-3066873.5179999997</v>
      </c>
      <c r="V641" s="141">
        <f>BGC_GL!X82</f>
        <v>0</v>
      </c>
      <c r="W641" s="141">
        <f>BGC_GL!Y82</f>
        <v>0</v>
      </c>
      <c r="X641" s="141">
        <f>BGC_GL!Z82</f>
        <v>0</v>
      </c>
      <c r="Y641" s="141">
        <f>BGC_GL!AA82</f>
        <v>0</v>
      </c>
      <c r="Z641" s="141">
        <f>BGC_GL!AB82</f>
        <v>0</v>
      </c>
      <c r="AA641" s="141">
        <f>BGC_GL!AC82</f>
        <v>0</v>
      </c>
      <c r="AB641" s="141">
        <f>BGC_GL!AD82</f>
        <v>0</v>
      </c>
      <c r="AC641" s="143">
        <f>BGC_GL!AE82</f>
        <v>0</v>
      </c>
      <c r="AD641" s="141">
        <f>BGC_GL!AF82</f>
        <v>0</v>
      </c>
      <c r="AE641" s="143">
        <f>BGC_GL!AG82</f>
        <v>0</v>
      </c>
      <c r="AF641" s="141">
        <f>BGC_GL!AH82</f>
        <v>0</v>
      </c>
      <c r="AG641" s="143">
        <f>BGC_GL!AI82</f>
        <v>0</v>
      </c>
      <c r="AH641" s="141">
        <f>BGC_GL!AJ82</f>
        <v>0</v>
      </c>
      <c r="AI641" s="143">
        <f>BGC_GL!AK82</f>
        <v>0</v>
      </c>
      <c r="AJ641" s="141">
        <f>BGC_GL!AL82</f>
        <v>0</v>
      </c>
      <c r="AK641" s="143">
        <f>BGC_GL!AM82</f>
        <v>0</v>
      </c>
      <c r="AL641" s="141">
        <f>BGC_GL!AN82</f>
        <v>0</v>
      </c>
      <c r="AM641" s="143">
        <f>BGC_GL!AO82</f>
        <v>0</v>
      </c>
      <c r="AN641" s="141">
        <f>BGC_GL!AP82</f>
        <v>0</v>
      </c>
      <c r="AO641" s="143">
        <f>BGC_GL!AQ82</f>
        <v>0</v>
      </c>
      <c r="AP641" s="141">
        <f>BGC_GL!AR82</f>
        <v>0</v>
      </c>
      <c r="AQ641" s="143">
        <f>BGC_GL!AS82</f>
        <v>0</v>
      </c>
    </row>
    <row r="642" spans="4:43" x14ac:dyDescent="0.2">
      <c r="D642" s="139" t="s">
        <v>150</v>
      </c>
      <c r="E642" s="140"/>
      <c r="F642" s="141">
        <f>CE_GL!H82</f>
        <v>0</v>
      </c>
      <c r="G642" s="179">
        <f>CE_GL!I82</f>
        <v>12129783.123999998</v>
      </c>
      <c r="H642" s="141">
        <f>CE_GL!J82</f>
        <v>0</v>
      </c>
      <c r="I642" s="142">
        <f>CE_GL!K82</f>
        <v>295760.94099999865</v>
      </c>
      <c r="J642" s="141">
        <f>CE_GL!L82</f>
        <v>0</v>
      </c>
      <c r="K642" s="142">
        <f>CE_GL!M82</f>
        <v>675312.26500000001</v>
      </c>
      <c r="L642" s="141">
        <f>CE_GL!N82</f>
        <v>0</v>
      </c>
      <c r="M642" s="141">
        <f>CE_GL!O82</f>
        <v>-275494.37719999999</v>
      </c>
      <c r="N642" s="141">
        <f>CE_GL!P82</f>
        <v>0</v>
      </c>
      <c r="O642" s="141">
        <f>CE_GL!Q82</f>
        <v>-1803472.1088</v>
      </c>
      <c r="P642" s="141">
        <f>CE_GL!R82</f>
        <v>0</v>
      </c>
      <c r="Q642" s="142">
        <f>CE_GL!S82</f>
        <v>3641550.7080000001</v>
      </c>
      <c r="R642" s="141">
        <f>CE_GL!T82</f>
        <v>0</v>
      </c>
      <c r="S642" s="141">
        <f>CE_GL!U82</f>
        <v>641184.88300000015</v>
      </c>
      <c r="T642" s="141">
        <f>CE_GL!V82</f>
        <v>0</v>
      </c>
      <c r="U642" s="142">
        <f>CE_GL!W82</f>
        <v>-65487.154999999999</v>
      </c>
      <c r="V642" s="141">
        <f>CE_GL!X82</f>
        <v>0</v>
      </c>
      <c r="W642" s="141">
        <f>CE_GL!Y82</f>
        <v>0</v>
      </c>
      <c r="X642" s="141">
        <f>CE_GL!Z82</f>
        <v>0</v>
      </c>
      <c r="Y642" s="141">
        <f>CE_GL!AA82</f>
        <v>4837.2379999999976</v>
      </c>
      <c r="Z642" s="141">
        <f>CE_GL!AB82</f>
        <v>0</v>
      </c>
      <c r="AA642" s="141">
        <f>CE_GL!AC82</f>
        <v>144084.08199999999</v>
      </c>
      <c r="AB642" s="141">
        <f>CE_GL!AD82</f>
        <v>0</v>
      </c>
      <c r="AC642" s="143">
        <f>CE_GL!AE82</f>
        <v>0</v>
      </c>
      <c r="AD642" s="141">
        <f>CE_GL!AF82</f>
        <v>0</v>
      </c>
      <c r="AE642" s="204">
        <f>CE_GL!AG82</f>
        <v>4837.2379999999976</v>
      </c>
      <c r="AF642" s="141">
        <f>CE_GL!AH82</f>
        <v>0</v>
      </c>
      <c r="AG642" s="204">
        <f>CE_GL!AI82</f>
        <v>0</v>
      </c>
      <c r="AH642" s="141">
        <f>CE_GL!AJ82</f>
        <v>0</v>
      </c>
      <c r="AI642" s="204">
        <f>CE_GL!AK82</f>
        <v>456668.35</v>
      </c>
      <c r="AJ642" s="141">
        <f>CE_GL!AL82</f>
        <v>0</v>
      </c>
      <c r="AK642" s="204">
        <f>CE_GL!AM82</f>
        <v>0</v>
      </c>
      <c r="AL642" s="141">
        <f>CE_GL!AN82</f>
        <v>0</v>
      </c>
      <c r="AM642" s="204">
        <f>CE_GL!AO82</f>
        <v>0</v>
      </c>
      <c r="AN642" s="141">
        <f>CE_GL!AP82</f>
        <v>0</v>
      </c>
      <c r="AO642" s="204">
        <f>CE_GL!AQ82</f>
        <v>0</v>
      </c>
      <c r="AP642" s="141">
        <f>CE_GL!AR82</f>
        <v>0</v>
      </c>
      <c r="AQ642" s="204">
        <f>CE_GL!AS82</f>
        <v>0</v>
      </c>
    </row>
    <row r="643" spans="4:43" x14ac:dyDescent="0.2">
      <c r="D643" s="139" t="s">
        <v>151</v>
      </c>
      <c r="E643" s="140"/>
      <c r="F643" s="141">
        <f>+NE_GL!H82</f>
        <v>0</v>
      </c>
      <c r="G643" s="142">
        <f>+NE_GL!I82</f>
        <v>-8447907.1300000064</v>
      </c>
      <c r="H643" s="141">
        <f>+NE_GL!J82</f>
        <v>0</v>
      </c>
      <c r="I643" s="179">
        <f>+NE_GL!K82</f>
        <v>-5521813.904000001</v>
      </c>
      <c r="J643" s="141">
        <f>+NE_GL!L82</f>
        <v>0</v>
      </c>
      <c r="K643" s="142">
        <f>+NE_GL!M82</f>
        <v>15249868.804999998</v>
      </c>
      <c r="L643" s="141">
        <f>+NE_GL!N82</f>
        <v>0</v>
      </c>
      <c r="M643" s="141">
        <f>+NE_GL!O82</f>
        <v>-109498.76699999993</v>
      </c>
      <c r="N643" s="141">
        <f>+NE_GL!P82</f>
        <v>0</v>
      </c>
      <c r="O643" s="141">
        <f>+NE_GL!Q82</f>
        <v>10327.519</v>
      </c>
      <c r="P643" s="141">
        <f>+NE_GL!R82</f>
        <v>0</v>
      </c>
      <c r="Q643" s="142">
        <f>+NE_GL!S82</f>
        <v>713632.96700000006</v>
      </c>
      <c r="R643" s="141">
        <f>+NE_GL!T82</f>
        <v>0</v>
      </c>
      <c r="S643" s="141">
        <f>+NE_GL!U82</f>
        <v>-516900.03199999995</v>
      </c>
      <c r="T643" s="141">
        <f>+NE_GL!V82</f>
        <v>0</v>
      </c>
      <c r="U643" s="141">
        <f>+NE_GL!W82</f>
        <v>2887043.7949999999</v>
      </c>
      <c r="V643" s="141">
        <f>+NE_GL!X82</f>
        <v>0</v>
      </c>
      <c r="W643" s="141">
        <f>+NE_GL!Y82</f>
        <v>52463.400000000023</v>
      </c>
      <c r="X643" s="141">
        <f>+NE_GL!Z82</f>
        <v>0</v>
      </c>
      <c r="Y643" s="141">
        <f>+NE_GL!AA82</f>
        <v>-18191.792000000016</v>
      </c>
      <c r="Z643" s="141">
        <f>+NE_GL!AB82</f>
        <v>0</v>
      </c>
      <c r="AA643" s="141">
        <f>+NE_GL!AC82</f>
        <v>18191.792000000016</v>
      </c>
      <c r="AB643" s="141">
        <f>+NE_GL!AD82</f>
        <v>0</v>
      </c>
      <c r="AC643" s="143">
        <f>+NE_GL!AE82</f>
        <v>0</v>
      </c>
      <c r="AD643" s="141">
        <f>+NE_GL!AF82</f>
        <v>0</v>
      </c>
      <c r="AE643" s="204">
        <f>+NE_GL!AG82</f>
        <v>-18191.792000000016</v>
      </c>
      <c r="AF643" s="141">
        <f>+NE_GL!AH82</f>
        <v>0</v>
      </c>
      <c r="AG643" s="204">
        <f>+NE_GL!AI82</f>
        <v>0</v>
      </c>
      <c r="AH643" s="141">
        <f>+NE_GL!AJ82</f>
        <v>0</v>
      </c>
      <c r="AI643" s="204">
        <f>+NE_GL!AK82</f>
        <v>680199.13399999996</v>
      </c>
      <c r="AJ643" s="141">
        <f>+NE_GL!AL82</f>
        <v>0</v>
      </c>
      <c r="AK643" s="204">
        <f>+NE_GL!AM82</f>
        <v>-764833.6</v>
      </c>
      <c r="AL643" s="141">
        <f>+NE_GL!AN82</f>
        <v>0</v>
      </c>
      <c r="AM643" s="204">
        <f>+NE_GL!AO82</f>
        <v>0</v>
      </c>
      <c r="AN643" s="141">
        <f>+NE_GL!AP82</f>
        <v>0</v>
      </c>
      <c r="AO643" s="204">
        <f>+NE_GL!AQ82</f>
        <v>-380.25</v>
      </c>
      <c r="AP643" s="141">
        <f>+NE_GL!AR82</f>
        <v>0</v>
      </c>
      <c r="AQ643" s="204">
        <f>+NE_GL!AS82</f>
        <v>-30.059999999999945</v>
      </c>
    </row>
    <row r="644" spans="4:43" x14ac:dyDescent="0.2">
      <c r="D644" s="139" t="s">
        <v>159</v>
      </c>
      <c r="E644" s="140"/>
      <c r="F644" s="141">
        <f>+'SE-LRC-GL'!H82</f>
        <v>0</v>
      </c>
      <c r="G644" s="179">
        <f>+'SE-LRC-GL'!I82</f>
        <v>1230244.8360000046</v>
      </c>
      <c r="H644" s="141">
        <f>+'SE-LRC-GL'!J82</f>
        <v>0</v>
      </c>
      <c r="I644" s="142">
        <f>+'SE-LRC-GL'!K82</f>
        <v>-1246942.71</v>
      </c>
      <c r="J644" s="141">
        <f>+'SE-LRC-GL'!L82</f>
        <v>0</v>
      </c>
      <c r="K644" s="142">
        <f>+'SE-LRC-GL'!M82</f>
        <v>481835.11399999983</v>
      </c>
      <c r="L644" s="141">
        <f>+'SE-LRC-GL'!N82</f>
        <v>0</v>
      </c>
      <c r="M644" s="141">
        <f>+'SE-LRC-GL'!O82</f>
        <v>148920.728</v>
      </c>
      <c r="N644" s="141">
        <f>+'SE-LRC-GL'!P82</f>
        <v>0</v>
      </c>
      <c r="O644" s="141">
        <f>+'SE-LRC-GL'!Q82</f>
        <v>126235.442</v>
      </c>
      <c r="P644" s="141">
        <f>+'SE-LRC-GL'!R82</f>
        <v>0</v>
      </c>
      <c r="Q644" s="142">
        <f>+'SE-LRC-GL'!S82</f>
        <v>-70143.365000000005</v>
      </c>
      <c r="R644" s="141">
        <f>+'SE-LRC-GL'!T82</f>
        <v>0</v>
      </c>
      <c r="S644" s="141">
        <f>+'SE-LRC-GL'!U82</f>
        <v>-52925.089999999989</v>
      </c>
      <c r="T644" s="141">
        <f>+'SE-LRC-GL'!V82</f>
        <v>0</v>
      </c>
      <c r="U644" s="141">
        <f>+'SE-LRC-GL'!W82</f>
        <v>-24492.434000000034</v>
      </c>
      <c r="V644" s="141">
        <f>+'SE-LRC-GL'!X82</f>
        <v>0</v>
      </c>
      <c r="W644" s="141">
        <f>+'SE-LRC-GL'!Y82</f>
        <v>106211.618</v>
      </c>
      <c r="X644" s="141">
        <f>+'SE-LRC-GL'!Z82</f>
        <v>0</v>
      </c>
      <c r="Y644" s="141">
        <f>+'SE-LRC-GL'!AA82</f>
        <v>3.000000001884473E-2</v>
      </c>
      <c r="Z644" s="141">
        <f>+'SE-LRC-GL'!AB82</f>
        <v>0</v>
      </c>
      <c r="AA644" s="141">
        <f>+'SE-LRC-GL'!AC82</f>
        <v>36.104000000000042</v>
      </c>
      <c r="AB644" s="141">
        <f>+'SE-LRC-GL'!AD82</f>
        <v>0</v>
      </c>
      <c r="AC644" s="143">
        <f>+'SE-LRC-GL'!AE82</f>
        <v>653.08999999999855</v>
      </c>
      <c r="AD644" s="141">
        <f>+'SE-LRC-GL'!AF82</f>
        <v>0</v>
      </c>
      <c r="AE644" s="204">
        <f>+'SE-LRC-GL'!AG82</f>
        <v>-4068.7400000000143</v>
      </c>
      <c r="AF644" s="141">
        <f>+'SE-LRC-GL'!AH82</f>
        <v>0</v>
      </c>
      <c r="AG644" s="204">
        <f>+'SE-LRC-GL'!AI82</f>
        <v>-0.97999999999592546</v>
      </c>
      <c r="AH644" s="141">
        <f>+'SE-LRC-GL'!AJ82</f>
        <v>0</v>
      </c>
      <c r="AI644" s="204">
        <f>+'SE-LRC-GL'!AK82</f>
        <v>-2053.8200000000002</v>
      </c>
      <c r="AJ644" s="141">
        <f>+'SE-LRC-GL'!AL82</f>
        <v>0</v>
      </c>
      <c r="AK644" s="204">
        <f>+'SE-LRC-GL'!AM82</f>
        <v>2418.8000000000002</v>
      </c>
      <c r="AL644" s="141">
        <f>+'SE-LRC-GL'!AN82</f>
        <v>0</v>
      </c>
      <c r="AM644" s="204">
        <f>+'SE-LRC-GL'!AO82</f>
        <v>0</v>
      </c>
      <c r="AN644" s="141">
        <f>+'SE-LRC-GL'!AP82</f>
        <v>0</v>
      </c>
      <c r="AO644" s="204">
        <f>+'SE-LRC-GL'!AQ82</f>
        <v>0</v>
      </c>
      <c r="AP644" s="141">
        <f>+'SE-LRC-GL'!AR82</f>
        <v>0</v>
      </c>
      <c r="AQ644" s="204">
        <f>+'SE-LRC-GL'!AS82</f>
        <v>0</v>
      </c>
    </row>
    <row r="645" spans="4:43" x14ac:dyDescent="0.2">
      <c r="D645" s="139" t="s">
        <v>160</v>
      </c>
      <c r="E645" s="140"/>
      <c r="F645" s="141">
        <f>+'SE-EGM-GL'!H82</f>
        <v>0</v>
      </c>
      <c r="G645" s="179">
        <f>+'SE-EGM-GL'!I82</f>
        <v>0</v>
      </c>
      <c r="H645" s="141">
        <f>+'SE-EGM-GL'!J82</f>
        <v>0</v>
      </c>
      <c r="I645" s="179">
        <f>+'SE-EGM-GL'!K82</f>
        <v>0</v>
      </c>
      <c r="J645" s="141">
        <f>+'SE-EGM-GL'!L82</f>
        <v>0</v>
      </c>
      <c r="K645" s="141">
        <f>+'SE-EGM-GL'!M82</f>
        <v>0</v>
      </c>
      <c r="L645" s="141">
        <f>+'SE-EGM-GL'!N82</f>
        <v>0</v>
      </c>
      <c r="M645" s="141">
        <f>+'SE-EGM-GL'!O82</f>
        <v>0</v>
      </c>
      <c r="N645" s="141">
        <f>+'SE-EGM-GL'!P82</f>
        <v>0</v>
      </c>
      <c r="O645" s="141">
        <f>+'SE-EGM-GL'!Q82</f>
        <v>0</v>
      </c>
      <c r="P645" s="141">
        <f>+'SE-EGM-GL'!R82</f>
        <v>0</v>
      </c>
      <c r="Q645" s="141">
        <f>+'SE-EGM-GL'!S82</f>
        <v>0</v>
      </c>
      <c r="R645" s="141">
        <f>+'SE-EGM-GL'!T82</f>
        <v>0</v>
      </c>
      <c r="S645" s="141">
        <f>+'SE-EGM-GL'!U82</f>
        <v>0</v>
      </c>
      <c r="T645" s="141">
        <f>+'SE-EGM-GL'!V82</f>
        <v>0</v>
      </c>
      <c r="U645" s="141">
        <f>+'SE-EGM-GL'!W82</f>
        <v>0</v>
      </c>
      <c r="V645" s="141">
        <f>+'SE-EGM-GL'!X82</f>
        <v>0</v>
      </c>
      <c r="W645" s="141">
        <f>+'SE-EGM-GL'!Y82</f>
        <v>0</v>
      </c>
      <c r="X645" s="141">
        <f>+'SE-EGM-GL'!Z82</f>
        <v>0</v>
      </c>
      <c r="Y645" s="141">
        <f>+'SE-EGM-GL'!AA82</f>
        <v>0</v>
      </c>
      <c r="Z645" s="141">
        <f>+'SE-EGM-GL'!AB82</f>
        <v>0</v>
      </c>
      <c r="AA645" s="141">
        <f>+'SE-EGM-GL'!AC82</f>
        <v>0</v>
      </c>
      <c r="AB645" s="141">
        <f>+'SE-EGM-GL'!AD82</f>
        <v>0</v>
      </c>
      <c r="AC645" s="143">
        <f>+'SE-EGM-GL'!AE82</f>
        <v>0</v>
      </c>
      <c r="AD645" s="141">
        <f>+'SE-EGM-GL'!AF82</f>
        <v>0</v>
      </c>
      <c r="AE645" s="143">
        <f>+'SE-EGM-GL'!AG82</f>
        <v>0</v>
      </c>
      <c r="AF645" s="141">
        <f>+'SE-EGM-GL'!AH82</f>
        <v>0</v>
      </c>
      <c r="AG645" s="143">
        <f>+'SE-EGM-GL'!AI82</f>
        <v>0</v>
      </c>
      <c r="AH645" s="141">
        <f>+'SE-EGM-GL'!AJ82</f>
        <v>0</v>
      </c>
      <c r="AI645" s="143">
        <f>+'SE-EGM-GL'!AK82</f>
        <v>0</v>
      </c>
      <c r="AJ645" s="141">
        <f>+'SE-EGM-GL'!AL82</f>
        <v>0</v>
      </c>
      <c r="AK645" s="143">
        <f>+'SE-EGM-GL'!AM82</f>
        <v>0</v>
      </c>
      <c r="AL645" s="141">
        <f>+'SE-EGM-GL'!AN82</f>
        <v>0</v>
      </c>
      <c r="AM645" s="143">
        <f>+'SE-EGM-GL'!AO82</f>
        <v>0</v>
      </c>
      <c r="AN645" s="141">
        <f>+'SE-EGM-GL'!AP82</f>
        <v>0</v>
      </c>
      <c r="AO645" s="143">
        <f>+'SE-EGM-GL'!AQ82</f>
        <v>0</v>
      </c>
      <c r="AP645" s="141">
        <f>+'SE-EGM-GL'!AR82</f>
        <v>0</v>
      </c>
      <c r="AQ645" s="143">
        <f>+'SE-EGM-GL'!AS82</f>
        <v>0</v>
      </c>
    </row>
    <row r="646" spans="4:43" x14ac:dyDescent="0.2">
      <c r="D646" s="139" t="s">
        <v>161</v>
      </c>
      <c r="E646" s="140"/>
      <c r="F646" s="141">
        <f>+'SE-CON-GL '!H82</f>
        <v>0</v>
      </c>
      <c r="G646" s="179">
        <f>+'SE-CON-GL '!I82</f>
        <v>1230244.8360000046</v>
      </c>
      <c r="H646" s="141">
        <f>+'SE-CON-GL '!J82</f>
        <v>0</v>
      </c>
      <c r="I646" s="179">
        <f>+'SE-CON-GL '!K82</f>
        <v>-1246942.71</v>
      </c>
      <c r="J646" s="141">
        <f>+'SE-CON-GL '!L82</f>
        <v>0</v>
      </c>
      <c r="K646" s="141">
        <f>+'SE-CON-GL '!M82</f>
        <v>481886.04399999982</v>
      </c>
      <c r="L646" s="141">
        <f>+'SE-CON-GL '!N82</f>
        <v>0</v>
      </c>
      <c r="M646" s="141">
        <f>+'SE-CON-GL '!O82</f>
        <v>-56547.342000000011</v>
      </c>
      <c r="N646" s="141">
        <f>+'SE-CON-GL '!P82</f>
        <v>0</v>
      </c>
      <c r="O646" s="141">
        <f>+'SE-CON-GL '!Q82</f>
        <v>122050.89199999999</v>
      </c>
      <c r="P646" s="141">
        <f>+'SE-CON-GL '!R82</f>
        <v>0</v>
      </c>
      <c r="Q646" s="141">
        <f>+'SE-CON-GL '!S82</f>
        <v>-70143.35500000001</v>
      </c>
      <c r="R646" s="141">
        <f>+'SE-CON-GL '!T82</f>
        <v>0</v>
      </c>
      <c r="S646" s="141">
        <f>+'SE-CON-GL '!U82</f>
        <v>-52925.089999999989</v>
      </c>
      <c r="T646" s="141">
        <f>+'SE-CON-GL '!V82</f>
        <v>0</v>
      </c>
      <c r="U646" s="141">
        <f>+'SE-CON-GL '!W82</f>
        <v>-24492.434000000034</v>
      </c>
      <c r="V646" s="141">
        <f>+'SE-CON-GL '!X82</f>
        <v>0</v>
      </c>
      <c r="W646" s="141">
        <f>+'SE-CON-GL '!Y82</f>
        <v>106211.62800000001</v>
      </c>
      <c r="X646" s="141">
        <f>+'SE-CON-GL '!Z82</f>
        <v>0</v>
      </c>
      <c r="Y646" s="141">
        <f>+'SE-CON-GL '!AA82</f>
        <v>2.0000000018626451E-2</v>
      </c>
      <c r="Z646" s="141">
        <f>+'SE-CON-GL '!AB82</f>
        <v>0</v>
      </c>
      <c r="AA646" s="141">
        <f>+'SE-CON-GL '!AC82</f>
        <v>36.104000000000042</v>
      </c>
      <c r="AB646" s="141">
        <f>+'SE-CON-GL '!AD82</f>
        <v>0</v>
      </c>
      <c r="AC646" s="143">
        <f>+'SE-CON-GL '!AE82</f>
        <v>653.09999999999854</v>
      </c>
      <c r="AD646" s="141">
        <f>+'SE-CON-GL '!AF82</f>
        <v>0</v>
      </c>
      <c r="AE646" s="143">
        <f>+'SE-CON-GL '!AG82</f>
        <v>364.98</v>
      </c>
      <c r="AF646" s="141">
        <f>+'SE-CON-GL '!AH82</f>
        <v>0</v>
      </c>
      <c r="AG646" s="143">
        <f>+'SE-CON-GL '!AI82</f>
        <v>0</v>
      </c>
      <c r="AH646" s="141">
        <f>+'SE-CON-GL '!AJ82</f>
        <v>0</v>
      </c>
      <c r="AI646" s="143">
        <f>+'SE-CON-GL '!AK82</f>
        <v>0</v>
      </c>
      <c r="AJ646" s="141">
        <f>+'SE-CON-GL '!AL82</f>
        <v>0</v>
      </c>
      <c r="AK646" s="143">
        <f>+'SE-CON-GL '!AM82</f>
        <v>0</v>
      </c>
      <c r="AL646" s="141">
        <f>+'SE-CON-GL '!AN82</f>
        <v>0</v>
      </c>
      <c r="AM646" s="143">
        <f>+'SE-CON-GL '!AO82</f>
        <v>0</v>
      </c>
      <c r="AN646" s="141">
        <f>+'SE-CON-GL '!AP82</f>
        <v>0</v>
      </c>
      <c r="AO646" s="143">
        <f>+'SE-CON-GL '!AQ82</f>
        <v>0</v>
      </c>
      <c r="AP646" s="141">
        <f>+'SE-CON-GL '!AR82</f>
        <v>0</v>
      </c>
      <c r="AQ646" s="143">
        <f>+'SE-CON-GL '!AS82</f>
        <v>0</v>
      </c>
    </row>
    <row r="647" spans="4:43" x14ac:dyDescent="0.2">
      <c r="D647" s="139" t="s">
        <v>162</v>
      </c>
      <c r="E647" s="140"/>
      <c r="F647" s="141">
        <f>+'TX-EGM-GL'!H82</f>
        <v>0</v>
      </c>
      <c r="G647" s="179">
        <f>+'TX-EGM-GL'!I82</f>
        <v>5574512.8239999972</v>
      </c>
      <c r="H647" s="141">
        <f>+'TX-EGM-GL'!J82</f>
        <v>0</v>
      </c>
      <c r="I647" s="142">
        <f>+'TX-EGM-GL'!K82</f>
        <v>-373130.41199999949</v>
      </c>
      <c r="J647" s="141">
        <f>+'TX-EGM-GL'!L82</f>
        <v>0</v>
      </c>
      <c r="K647" s="142">
        <f>+'TX-EGM-GL'!M82</f>
        <v>-1023416.608</v>
      </c>
      <c r="L647" s="141">
        <f>+'TX-EGM-GL'!N82</f>
        <v>0</v>
      </c>
      <c r="M647" s="141">
        <f>+'TX-EGM-GL'!O82</f>
        <v>-2149.547999998651</v>
      </c>
      <c r="N647" s="141">
        <f>+'TX-EGM-GL'!P82</f>
        <v>0</v>
      </c>
      <c r="O647" s="141">
        <f>+'TX-EGM-GL'!Q82</f>
        <v>-127029.58600000001</v>
      </c>
      <c r="P647" s="141">
        <f>+'TX-EGM-GL'!R82</f>
        <v>0</v>
      </c>
      <c r="Q647" s="142">
        <f>+'TX-EGM-GL'!S82</f>
        <v>911338.08999999985</v>
      </c>
      <c r="R647" s="141">
        <f>+'TX-EGM-GL'!T82</f>
        <v>0</v>
      </c>
      <c r="S647" s="141">
        <f>+'TX-EGM-GL'!U82</f>
        <v>548684.12000000011</v>
      </c>
      <c r="T647" s="141">
        <f>+'TX-EGM-GL'!V82</f>
        <v>0</v>
      </c>
      <c r="U647" s="142">
        <f>+'TX-EGM-GL'!W82</f>
        <v>1021447.8779999999</v>
      </c>
      <c r="V647" s="141">
        <f>+'TX-EGM-GL'!X82</f>
        <v>0</v>
      </c>
      <c r="W647" s="141">
        <f>+'TX-EGM-GL'!Y82</f>
        <v>-23485.022000000135</v>
      </c>
      <c r="X647" s="141">
        <f>+'TX-EGM-GL'!Z82</f>
        <v>0</v>
      </c>
      <c r="Y647" s="141">
        <f>+'TX-EGM-GL'!AA82</f>
        <v>369818.05599999992</v>
      </c>
      <c r="Z647" s="141">
        <f>+'TX-EGM-GL'!AB82</f>
        <v>0</v>
      </c>
      <c r="AA647" s="141">
        <f>+'TX-EGM-GL'!AC82</f>
        <v>-34530.560000000012</v>
      </c>
      <c r="AB647" s="141">
        <f>+'TX-EGM-GL'!AD82</f>
        <v>0</v>
      </c>
      <c r="AC647" s="143">
        <f>+'TX-EGM-GL'!AE82</f>
        <v>31967.392000000007</v>
      </c>
      <c r="AD647" s="141">
        <f>+'TX-EGM-GL'!AF82</f>
        <v>0</v>
      </c>
      <c r="AE647" s="204">
        <f>+'TX-EGM-GL'!AG82</f>
        <v>-984392.33200000017</v>
      </c>
      <c r="AF647" s="141">
        <f>+'TX-EGM-GL'!AH82</f>
        <v>0</v>
      </c>
      <c r="AG647" s="204">
        <f>+'TX-EGM-GL'!AI82</f>
        <v>-18562.614000000001</v>
      </c>
      <c r="AH647" s="141">
        <f>+'TX-EGM-GL'!AJ82</f>
        <v>0</v>
      </c>
      <c r="AI647" s="204">
        <f>+'TX-EGM-GL'!AK82</f>
        <v>-143954.94200000007</v>
      </c>
      <c r="AJ647" s="141">
        <f>+'TX-EGM-GL'!AL82</f>
        <v>0</v>
      </c>
      <c r="AK647" s="204">
        <f>+'TX-EGM-GL'!AM82</f>
        <v>-3746.583999999998</v>
      </c>
      <c r="AL647" s="141">
        <f>+'TX-EGM-GL'!AN82</f>
        <v>0</v>
      </c>
      <c r="AM647" s="204">
        <f>+'TX-EGM-GL'!AO82</f>
        <v>4974.66</v>
      </c>
      <c r="AN647" s="141">
        <f>+'TX-EGM-GL'!AP82</f>
        <v>0</v>
      </c>
      <c r="AO647" s="204">
        <f>+'TX-EGM-GL'!AQ82</f>
        <v>-1328.1999999999975</v>
      </c>
      <c r="AP647" s="141">
        <f>+'TX-EGM-GL'!AR82</f>
        <v>0</v>
      </c>
      <c r="AQ647" s="204">
        <f>+'TX-EGM-GL'!AS82</f>
        <v>-914.70999999999651</v>
      </c>
    </row>
    <row r="648" spans="4:43" x14ac:dyDescent="0.2">
      <c r="D648" s="139" t="s">
        <v>163</v>
      </c>
      <c r="E648" s="140"/>
      <c r="F648" s="141">
        <f>+'TX-HPL-GL '!H82</f>
        <v>0</v>
      </c>
      <c r="G648" s="179">
        <f>+'TX-HPL-GL '!I82</f>
        <v>2369986.189999999</v>
      </c>
      <c r="H648" s="141">
        <f>+'TX-HPL-GL '!J82</f>
        <v>0</v>
      </c>
      <c r="I648" s="142">
        <f>+'TX-HPL-GL '!K82</f>
        <v>-1840979.4263999998</v>
      </c>
      <c r="J648" s="141">
        <f>+'TX-HPL-GL '!L82</f>
        <v>0</v>
      </c>
      <c r="K648" s="142">
        <f>+'TX-HPL-GL '!M82</f>
        <v>-272914.92299999995</v>
      </c>
      <c r="L648" s="141">
        <f>+'TX-HPL-GL '!N82</f>
        <v>0</v>
      </c>
      <c r="M648" s="141">
        <f>+'TX-HPL-GL '!O82</f>
        <v>-6416.1998000000003</v>
      </c>
      <c r="N648" s="141">
        <f>+'TX-HPL-GL '!P82</f>
        <v>0</v>
      </c>
      <c r="O648" s="141">
        <f>+'TX-HPL-GL '!Q82</f>
        <v>220528.84</v>
      </c>
      <c r="P648" s="141">
        <f>+'TX-HPL-GL '!R82</f>
        <v>0</v>
      </c>
      <c r="Q648" s="142">
        <f>+'TX-HPL-GL '!S82</f>
        <v>-4673.3900000000031</v>
      </c>
      <c r="R648" s="141">
        <f>+'TX-HPL-GL '!T82</f>
        <v>0</v>
      </c>
      <c r="S648" s="141">
        <f>+'TX-HPL-GL '!U82</f>
        <v>-20321.509200000004</v>
      </c>
      <c r="T648" s="141">
        <f>+'TX-HPL-GL '!V82</f>
        <v>0</v>
      </c>
      <c r="U648" s="142">
        <f>+'TX-HPL-GL '!W82</f>
        <v>-1113.2951999999993</v>
      </c>
      <c r="V648" s="141">
        <f>+'TX-HPL-GL '!X82</f>
        <v>0</v>
      </c>
      <c r="W648" s="141">
        <f>+'TX-HPL-GL '!Y82</f>
        <v>-1927.7873999999997</v>
      </c>
      <c r="X648" s="141">
        <f>+'TX-HPL-GL '!Z82</f>
        <v>0</v>
      </c>
      <c r="Y648" s="141">
        <f>+'TX-HPL-GL '!AA82</f>
        <v>802</v>
      </c>
      <c r="Z648" s="141">
        <f>+'TX-HPL-GL '!AB82</f>
        <v>0</v>
      </c>
      <c r="AA648" s="141">
        <f>+'TX-HPL-GL '!AC82</f>
        <v>-2805.92</v>
      </c>
      <c r="AB648" s="141">
        <f>+'TX-HPL-GL '!AD82</f>
        <v>0</v>
      </c>
      <c r="AC648" s="143">
        <f>+'TX-HPL-GL '!AE82</f>
        <v>-375.69</v>
      </c>
      <c r="AD648" s="141">
        <f>+'TX-HPL-GL '!AF82</f>
        <v>0</v>
      </c>
      <c r="AE648" s="204">
        <f>+'TX-HPL-GL '!AG82</f>
        <v>2989.8645999999953</v>
      </c>
      <c r="AF648" s="141">
        <f>+'TX-HPL-GL '!AH82</f>
        <v>0</v>
      </c>
      <c r="AG648" s="204">
        <f>+'TX-HPL-GL '!AI82</f>
        <v>-258.30880000000167</v>
      </c>
      <c r="AH648" s="141">
        <f>+'TX-HPL-GL '!AJ82</f>
        <v>0</v>
      </c>
      <c r="AI648" s="204">
        <f>+'TX-HPL-GL '!AK82</f>
        <v>-145.92119999999704</v>
      </c>
      <c r="AJ648" s="141">
        <f>+'TX-HPL-GL '!AL82</f>
        <v>0</v>
      </c>
      <c r="AK648" s="204">
        <f>+'TX-HPL-GL '!AM82</f>
        <v>21094.720000000001</v>
      </c>
      <c r="AL648" s="141">
        <f>+'TX-HPL-GL '!AN82</f>
        <v>0</v>
      </c>
      <c r="AM648" s="204">
        <f>+'TX-HPL-GL '!AO82</f>
        <v>0</v>
      </c>
      <c r="AN648" s="141">
        <f>+'TX-HPL-GL '!AP82</f>
        <v>0</v>
      </c>
      <c r="AO648" s="204">
        <f>+'TX-HPL-GL '!AQ82</f>
        <v>0</v>
      </c>
      <c r="AP648" s="141">
        <f>+'TX-HPL-GL '!AR82</f>
        <v>0</v>
      </c>
      <c r="AQ648" s="204">
        <f>+'TX-HPL-GL '!AS82</f>
        <v>0</v>
      </c>
    </row>
    <row r="649" spans="4:43" x14ac:dyDescent="0.2">
      <c r="D649" s="139" t="s">
        <v>164</v>
      </c>
      <c r="E649" s="140"/>
      <c r="F649" s="141">
        <f>+'TX-CON-GL '!H82</f>
        <v>0</v>
      </c>
      <c r="G649" s="179">
        <f>+'TX-CON-GL '!I82</f>
        <v>7944499.0139999986</v>
      </c>
      <c r="H649" s="141">
        <f>+'TX-CON-GL '!J82</f>
        <v>0</v>
      </c>
      <c r="I649" s="142">
        <f>+'TX-CON-GL '!K82</f>
        <v>-2214109.8383999979</v>
      </c>
      <c r="J649" s="141">
        <f>+'TX-CON-GL '!L82</f>
        <v>0</v>
      </c>
      <c r="K649" s="141">
        <f>+'TX-CON-GL '!M82</f>
        <v>-1296331.531</v>
      </c>
      <c r="L649" s="141">
        <f>+'TX-CON-GL '!N82</f>
        <v>0</v>
      </c>
      <c r="M649" s="141">
        <f>+'TX-CON-GL '!O82</f>
        <v>-8565.747799998544</v>
      </c>
      <c r="N649" s="141">
        <f>+'TX-CON-GL '!P82</f>
        <v>0</v>
      </c>
      <c r="O649" s="141">
        <f>+'TX-CON-GL '!Q82</f>
        <v>93499.253999999986</v>
      </c>
      <c r="P649" s="141">
        <f>+'TX-CON-GL '!R82</f>
        <v>0</v>
      </c>
      <c r="Q649" s="142">
        <f>+'TX-CON-GL '!S82</f>
        <v>906664.7</v>
      </c>
      <c r="R649" s="141">
        <f>+'TX-CON-GL '!T82</f>
        <v>0</v>
      </c>
      <c r="S649" s="141">
        <f>+'TX-CON-GL '!U82</f>
        <v>528362.61080000014</v>
      </c>
      <c r="T649" s="141">
        <f>+'TX-CON-GL '!V82</f>
        <v>0</v>
      </c>
      <c r="U649" s="142">
        <f>+'TX-CON-GL '!W82</f>
        <v>1020334.5828</v>
      </c>
      <c r="V649" s="141">
        <f>+'TX-CON-GL '!X82</f>
        <v>0</v>
      </c>
      <c r="W649" s="141">
        <f>+'TX-CON-GL '!Y82</f>
        <v>-25412.809400000227</v>
      </c>
      <c r="X649" s="141">
        <f>+'TX-CON-GL '!Z82</f>
        <v>0</v>
      </c>
      <c r="Y649" s="141">
        <f>+'TX-CON-GL '!AA82</f>
        <v>370620.05599999992</v>
      </c>
      <c r="Z649" s="141">
        <f>+'TX-CON-GL '!AB82</f>
        <v>0</v>
      </c>
      <c r="AA649" s="141">
        <f>+'TX-CON-GL '!AC82</f>
        <v>-37336.479999999938</v>
      </c>
      <c r="AB649" s="141">
        <f>+'TX-CON-GL '!AD82</f>
        <v>0</v>
      </c>
      <c r="AC649" s="143">
        <f>+'TX-CON-GL '!AE82</f>
        <v>31591.702000000005</v>
      </c>
      <c r="AD649" s="141">
        <f>+'TX-CON-GL '!AF82</f>
        <v>0</v>
      </c>
      <c r="AE649" s="143">
        <f>+'TX-CON-GL '!AG82</f>
        <v>17348.136000000002</v>
      </c>
      <c r="AF649" s="141">
        <f>+'TX-CON-GL '!AH82</f>
        <v>0</v>
      </c>
      <c r="AG649" s="143">
        <f>+'TX-CON-GL '!AI82</f>
        <v>-1328.1999999999975</v>
      </c>
      <c r="AH649" s="141">
        <f>+'TX-CON-GL '!AJ82</f>
        <v>0</v>
      </c>
      <c r="AI649" s="143">
        <f>+'TX-CON-GL '!AK82</f>
        <v>0</v>
      </c>
      <c r="AJ649" s="141">
        <f>+'TX-CON-GL '!AL82</f>
        <v>0</v>
      </c>
      <c r="AK649" s="143">
        <f>+'TX-CON-GL '!AM82</f>
        <v>0</v>
      </c>
      <c r="AL649" s="141">
        <f>+'TX-CON-GL '!AN82</f>
        <v>0</v>
      </c>
      <c r="AM649" s="143">
        <f>+'TX-CON-GL '!AO82</f>
        <v>0</v>
      </c>
      <c r="AN649" s="141">
        <f>+'TX-CON-GL '!AP82</f>
        <v>0</v>
      </c>
      <c r="AO649" s="143">
        <f>+'TX-CON-GL '!AQ82</f>
        <v>0</v>
      </c>
      <c r="AP649" s="141">
        <f>+'TX-CON-GL '!AR82</f>
        <v>0</v>
      </c>
      <c r="AQ649" s="143">
        <f>+'TX-CON-GL '!AS82</f>
        <v>0</v>
      </c>
    </row>
    <row r="650" spans="4:43" x14ac:dyDescent="0.2">
      <c r="D650" s="139" t="s">
        <v>153</v>
      </c>
      <c r="E650" s="140"/>
      <c r="F650" s="141">
        <f>+'WE-GL '!H82</f>
        <v>0</v>
      </c>
      <c r="G650" s="179">
        <f>+'WE-GL '!I82</f>
        <v>-628243.49000000674</v>
      </c>
      <c r="H650" s="141">
        <f>+'WE-GL '!J82</f>
        <v>0</v>
      </c>
      <c r="I650" s="142">
        <f>+'WE-GL '!K82</f>
        <v>-712351.74300000013</v>
      </c>
      <c r="J650" s="141">
        <f>+'WE-GL '!L82</f>
        <v>0</v>
      </c>
      <c r="K650" s="141">
        <f>+'WE-GL '!M82</f>
        <v>1912119.936</v>
      </c>
      <c r="L650" s="141">
        <f>+'WE-GL '!N82</f>
        <v>0</v>
      </c>
      <c r="M650" s="141">
        <f>+'WE-GL '!O82</f>
        <v>-131053.94400000002</v>
      </c>
      <c r="N650" s="141">
        <f>+'WE-GL '!P82</f>
        <v>0</v>
      </c>
      <c r="O650" s="141">
        <f>+'WE-GL '!Q82</f>
        <v>-74068.840000000011</v>
      </c>
      <c r="P650" s="141">
        <f>+'WE-GL '!R82</f>
        <v>0</v>
      </c>
      <c r="Q650" s="142">
        <f>+'WE-GL '!S82</f>
        <v>1178077.5079999999</v>
      </c>
      <c r="R650" s="141">
        <f>+'WE-GL '!T82</f>
        <v>0</v>
      </c>
      <c r="S650" s="141">
        <f>+'WE-GL '!U82</f>
        <v>-1490418.754</v>
      </c>
      <c r="T650" s="141">
        <f>+'WE-GL '!V82</f>
        <v>0</v>
      </c>
      <c r="U650" s="142">
        <f>+'WE-GL '!W82</f>
        <v>-260563.96400000015</v>
      </c>
      <c r="V650" s="141">
        <f>+'WE-GL '!X82</f>
        <v>0</v>
      </c>
      <c r="W650" s="141">
        <f>+'WE-GL '!Y82</f>
        <v>0</v>
      </c>
      <c r="X650" s="141">
        <f>+'WE-GL '!Z82</f>
        <v>0</v>
      </c>
      <c r="Y650" s="141">
        <f>+'WE-GL '!AA82</f>
        <v>15353.678000000014</v>
      </c>
      <c r="Z650" s="141">
        <f>+'WE-GL '!AB82</f>
        <v>0</v>
      </c>
      <c r="AA650" s="141">
        <f>+'WE-GL '!AC82</f>
        <v>-15353.678000000014</v>
      </c>
      <c r="AB650" s="141">
        <f>+'WE-GL '!AD82</f>
        <v>0</v>
      </c>
      <c r="AC650" s="143">
        <f>+'WE-GL '!AE82</f>
        <v>-8249.67</v>
      </c>
      <c r="AD650" s="141">
        <f>+'WE-GL '!AF82</f>
        <v>0</v>
      </c>
      <c r="AE650" s="204">
        <f>+'WE-GL '!AG82</f>
        <v>266993.67800000001</v>
      </c>
      <c r="AF650" s="141">
        <f>+'WE-GL '!AH82</f>
        <v>0</v>
      </c>
      <c r="AG650" s="204">
        <f>+'WE-GL '!AI82</f>
        <v>0</v>
      </c>
      <c r="AH650" s="141">
        <f>+'WE-GL '!AJ82</f>
        <v>0</v>
      </c>
      <c r="AI650" s="204">
        <f>+'WE-GL '!AK82</f>
        <v>0</v>
      </c>
      <c r="AJ650" s="141">
        <f>+'WE-GL '!AL82</f>
        <v>0</v>
      </c>
      <c r="AK650" s="204">
        <f>+'WE-GL '!AM82</f>
        <v>0</v>
      </c>
      <c r="AL650" s="141">
        <f>+'WE-GL '!AN82</f>
        <v>0</v>
      </c>
      <c r="AM650" s="204">
        <f>+'WE-GL '!AO82</f>
        <v>-107.71</v>
      </c>
      <c r="AN650" s="141">
        <f>+'WE-GL '!AP82</f>
        <v>0</v>
      </c>
      <c r="AO650" s="204">
        <f>+'WE-GL '!AQ82</f>
        <v>-53.709999999999994</v>
      </c>
      <c r="AP650" s="141">
        <f>+'WE-GL '!AR82</f>
        <v>0</v>
      </c>
      <c r="AQ650" s="204">
        <f>+'WE-GL '!AS82</f>
        <v>0</v>
      </c>
    </row>
    <row r="651" spans="4:43" x14ac:dyDescent="0.2">
      <c r="D651" t="s">
        <v>155</v>
      </c>
      <c r="F651" s="144">
        <f>+STG_GL!H82</f>
        <v>0</v>
      </c>
      <c r="G651" s="180">
        <f>+STG_GL!I82</f>
        <v>-6269</v>
      </c>
      <c r="H651" s="144">
        <f>+STG_GL!J82</f>
        <v>0</v>
      </c>
      <c r="I651" s="144">
        <f>+STG_GL!K82</f>
        <v>0</v>
      </c>
      <c r="J651" s="144">
        <f>+STG_GL!L82</f>
        <v>0</v>
      </c>
      <c r="K651" s="144">
        <f>+STG_GL!M82</f>
        <v>-539226</v>
      </c>
      <c r="L651" s="144">
        <f>+STG_GL!N82</f>
        <v>0</v>
      </c>
      <c r="M651" s="144">
        <f>+STG_GL!O82</f>
        <v>0</v>
      </c>
      <c r="N651" s="144">
        <f>+STG_GL!P82</f>
        <v>0</v>
      </c>
      <c r="O651" s="144">
        <f>+STG_GL!Q82</f>
        <v>132666</v>
      </c>
      <c r="P651" s="144">
        <f>+STG_GL!R82</f>
        <v>0</v>
      </c>
      <c r="Q651" s="144">
        <f>+STG_GL!S82</f>
        <v>0</v>
      </c>
      <c r="R651" s="144">
        <f>+STG_GL!T82</f>
        <v>0</v>
      </c>
      <c r="S651" s="144">
        <f>+STG_GL!U82</f>
        <v>0</v>
      </c>
      <c r="T651" s="144">
        <f>+STG_GL!V82</f>
        <v>0</v>
      </c>
      <c r="U651" s="144">
        <f>+STG_GL!W82</f>
        <v>-70325</v>
      </c>
      <c r="V651" s="144">
        <f>+STG_GL!X82</f>
        <v>0</v>
      </c>
      <c r="W651" s="144">
        <f>+STG_GL!Y82</f>
        <v>212390</v>
      </c>
      <c r="X651" s="144">
        <f>+STG_GL!Z82</f>
        <v>0</v>
      </c>
      <c r="Y651" s="144">
        <f>+STG_GL!AA82</f>
        <v>-635000</v>
      </c>
      <c r="Z651" s="144">
        <f>+STG_GL!AB82</f>
        <v>0</v>
      </c>
      <c r="AA651" s="144">
        <f>+STG_GL!AC82</f>
        <v>636968</v>
      </c>
      <c r="AB651" s="144">
        <f>+STG_GL!AD82</f>
        <v>0</v>
      </c>
      <c r="AC651" s="144">
        <f>+STG_GL!AE82</f>
        <v>0</v>
      </c>
      <c r="AD651" s="144">
        <f>+STG_GL!AF82</f>
        <v>0</v>
      </c>
      <c r="AE651" s="144">
        <f>+STG_GL!AG82</f>
        <v>-1461848</v>
      </c>
      <c r="AF651" s="144">
        <f>+STG_GL!AH82</f>
        <v>0</v>
      </c>
      <c r="AG651" s="144">
        <f>+STG_GL!AI82</f>
        <v>-210648</v>
      </c>
      <c r="AH651" s="144">
        <f>+STG_GL!AJ82</f>
        <v>0</v>
      </c>
      <c r="AI651" s="144">
        <f>+STG_GL!AK82</f>
        <v>0</v>
      </c>
      <c r="AJ651" s="144">
        <f>+STG_GL!AL82</f>
        <v>0</v>
      </c>
      <c r="AK651" s="144">
        <f>+STG_GL!AM82</f>
        <v>1393161</v>
      </c>
      <c r="AL651" s="144">
        <f>+STG_GL!AN82</f>
        <v>0</v>
      </c>
      <c r="AM651" s="144">
        <f>+STG_GL!AO82</f>
        <v>0</v>
      </c>
      <c r="AN651" s="144">
        <f>+STG_GL!AP82</f>
        <v>0</v>
      </c>
      <c r="AO651" s="144">
        <f>+STG_GL!AQ82</f>
        <v>0</v>
      </c>
      <c r="AP651" s="144">
        <f>+STG_GL!AR82</f>
        <v>0</v>
      </c>
      <c r="AQ651" s="144">
        <f>+STG_GL!AS82</f>
        <v>0</v>
      </c>
    </row>
    <row r="652" spans="4:43" x14ac:dyDescent="0.2">
      <c r="D652" t="s">
        <v>185</v>
      </c>
      <c r="F652" s="144">
        <f>+'ONT_GL '!H82</f>
        <v>0</v>
      </c>
      <c r="G652" s="144">
        <f>+'ONT_GL '!I82</f>
        <v>-360408</v>
      </c>
      <c r="H652" s="144">
        <f>+'ONT_GL '!J82</f>
        <v>0</v>
      </c>
      <c r="I652" s="144">
        <f>+'ONT_GL '!K82</f>
        <v>185412</v>
      </c>
      <c r="J652" s="144">
        <f>+'ONT_GL '!L82</f>
        <v>0</v>
      </c>
      <c r="K652" s="144">
        <f>+'ONT_GL '!M82</f>
        <v>-380796</v>
      </c>
      <c r="L652" s="144">
        <f>+'ONT_GL '!N82</f>
        <v>0</v>
      </c>
      <c r="M652" s="144">
        <f>+'ONT_GL '!O82</f>
        <v>473006.05000000005</v>
      </c>
      <c r="N652" s="144">
        <f>+'ONT_GL '!P82</f>
        <v>0</v>
      </c>
      <c r="O652" s="144">
        <f>+'ONT_GL '!Q82</f>
        <v>1868230</v>
      </c>
      <c r="P652" s="144">
        <f>+'ONT_GL '!R82</f>
        <v>0</v>
      </c>
      <c r="Q652" s="201">
        <f>+'ONT_GL '!S82</f>
        <v>-2347416</v>
      </c>
      <c r="R652" s="144">
        <f>+'ONT_GL '!T82</f>
        <v>0</v>
      </c>
      <c r="S652" s="144">
        <f>+'ONT_GL '!U82</f>
        <v>-9112</v>
      </c>
      <c r="T652" s="144">
        <f>+'ONT_GL '!V82</f>
        <v>0</v>
      </c>
      <c r="U652" s="144">
        <f>+'ONT_GL '!W82</f>
        <v>0</v>
      </c>
      <c r="V652" s="144">
        <f>+'ONT_GL '!X82</f>
        <v>0</v>
      </c>
      <c r="W652" s="144">
        <f>+'ONT_GL '!Y82</f>
        <v>0</v>
      </c>
      <c r="X652" s="144">
        <f>+'ONT_GL '!Z82</f>
        <v>0</v>
      </c>
      <c r="Y652" s="144">
        <f>+'ONT_GL '!AA82</f>
        <v>0</v>
      </c>
      <c r="Z652" s="144">
        <f>+'ONT_GL '!AB82</f>
        <v>0</v>
      </c>
      <c r="AA652" s="144">
        <f>+'ONT_GL '!AC82</f>
        <v>0</v>
      </c>
      <c r="AB652" s="144">
        <f>+'ONT_GL '!AD82</f>
        <v>0</v>
      </c>
      <c r="AC652" s="144">
        <f>+'ONT_GL '!AE82</f>
        <v>0</v>
      </c>
      <c r="AD652" s="144">
        <f>+'ONT_GL '!AF82</f>
        <v>0</v>
      </c>
      <c r="AE652" s="144">
        <f>+'ONT_GL '!AG82</f>
        <v>0</v>
      </c>
    </row>
    <row r="653" spans="4:43" x14ac:dyDescent="0.2">
      <c r="G653" s="45"/>
    </row>
    <row r="654" spans="4:43" x14ac:dyDescent="0.2">
      <c r="D654" t="s">
        <v>2</v>
      </c>
    </row>
  </sheetData>
  <mergeCells count="34">
    <mergeCell ref="R639:S639"/>
    <mergeCell ref="AF639:AG639"/>
    <mergeCell ref="AB639:AC639"/>
    <mergeCell ref="AD639:AE639"/>
    <mergeCell ref="T639:U639"/>
    <mergeCell ref="V639:W639"/>
    <mergeCell ref="X639:Y639"/>
    <mergeCell ref="Z639:AA639"/>
    <mergeCell ref="AA1:AB1"/>
    <mergeCell ref="AC1:AD1"/>
    <mergeCell ref="AE1:AF1"/>
    <mergeCell ref="AG1:AH1"/>
    <mergeCell ref="F639:G639"/>
    <mergeCell ref="H639:I639"/>
    <mergeCell ref="J639:K639"/>
    <mergeCell ref="L639:M639"/>
    <mergeCell ref="N639:O639"/>
    <mergeCell ref="P639:Q639"/>
    <mergeCell ref="O1:P1"/>
    <mergeCell ref="Q1:R1"/>
    <mergeCell ref="S1:T1"/>
    <mergeCell ref="U1:V1"/>
    <mergeCell ref="W1:X1"/>
    <mergeCell ref="Y1:Z1"/>
    <mergeCell ref="AP639:AQ639"/>
    <mergeCell ref="AN639:AO639"/>
    <mergeCell ref="AL639:AM639"/>
    <mergeCell ref="AJ639:AK639"/>
    <mergeCell ref="AH639:AI639"/>
    <mergeCell ref="E1:F1"/>
    <mergeCell ref="G1:H1"/>
    <mergeCell ref="I1:J1"/>
    <mergeCell ref="K1:L1"/>
    <mergeCell ref="M1:N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S10" activePane="bottomRight" state="frozen"/>
      <selection activeCell="D10" sqref="D10"/>
      <selection pane="topRight" activeCell="D10" sqref="D10"/>
      <selection pane="bottomLeft" activeCell="D10" sqref="D10"/>
      <selection pane="bottomRight" activeCell="Y12" sqref="Y12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56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9903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179</v>
      </c>
      <c r="W8" s="27"/>
      <c r="X8" s="26" t="s">
        <v>175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-38591144.5</v>
      </c>
      <c r="F12" s="65"/>
      <c r="G12" s="38">
        <f>-424721.03-11393639.23</f>
        <v>-11818360.26</v>
      </c>
      <c r="H12" s="65">
        <v>0</v>
      </c>
      <c r="I12" s="38">
        <f>-102188.87-14735109.3-1325627.42</f>
        <v>-16162925.59</v>
      </c>
      <c r="J12" s="65"/>
      <c r="K12" s="38">
        <v>0</v>
      </c>
      <c r="L12" s="65"/>
      <c r="M12" s="38">
        <v>0</v>
      </c>
      <c r="N12" s="65"/>
      <c r="O12" s="38">
        <f>-4320.94-1591514.18</f>
        <v>-1595835.1199999999</v>
      </c>
      <c r="P12" s="65"/>
      <c r="Q12" s="38">
        <f>-91687.76-1072526.68</f>
        <v>-1164214.44</v>
      </c>
      <c r="R12" s="65"/>
      <c r="S12" s="38">
        <f>-147319.78-7337001.94</f>
        <v>-7484321.7200000007</v>
      </c>
      <c r="T12" s="65"/>
      <c r="U12" s="38">
        <v>0</v>
      </c>
      <c r="V12" s="65"/>
      <c r="W12" s="38">
        <v>-365487.37</v>
      </c>
      <c r="X12" s="65"/>
      <c r="Y12" s="38">
        <v>0</v>
      </c>
    </row>
    <row r="13" spans="1:25" x14ac:dyDescent="0.2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-38591144.5</v>
      </c>
      <c r="F16" s="61">
        <f t="shared" si="1"/>
        <v>0</v>
      </c>
      <c r="G16" s="39">
        <f t="shared" si="1"/>
        <v>-11818360.26</v>
      </c>
      <c r="H16" s="61">
        <f t="shared" si="1"/>
        <v>0</v>
      </c>
      <c r="I16" s="39">
        <f t="shared" si="1"/>
        <v>-16162925.59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-1595835.1199999999</v>
      </c>
      <c r="P16" s="61">
        <f t="shared" si="1"/>
        <v>0</v>
      </c>
      <c r="Q16" s="39">
        <f t="shared" si="1"/>
        <v>-1164214.44</v>
      </c>
      <c r="R16" s="61">
        <f t="shared" si="1"/>
        <v>0</v>
      </c>
      <c r="S16" s="39">
        <f t="shared" si="1"/>
        <v>-7484321.7200000007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-365487.37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11150209.529999999</v>
      </c>
      <c r="F20" s="65"/>
      <c r="G20" s="38">
        <f>185757.53+360032.59</f>
        <v>545790.12</v>
      </c>
      <c r="H20" s="65"/>
      <c r="I20" s="38">
        <f>199080.59+9030636.46</f>
        <v>9229717.0500000007</v>
      </c>
      <c r="J20" s="65"/>
      <c r="K20" s="38">
        <v>0</v>
      </c>
      <c r="L20" s="65"/>
      <c r="M20" s="38">
        <v>0</v>
      </c>
      <c r="N20" s="65"/>
      <c r="O20" s="38">
        <f>51150+116055.31</f>
        <v>167205.31</v>
      </c>
      <c r="P20" s="65"/>
      <c r="Q20" s="38">
        <f>1091.14+73743.37</f>
        <v>74834.509999999995</v>
      </c>
      <c r="R20" s="65"/>
      <c r="S20" s="38">
        <f>110127.35+816811.86</f>
        <v>926939.21</v>
      </c>
      <c r="T20" s="65"/>
      <c r="U20" s="38">
        <v>0</v>
      </c>
      <c r="V20" s="65"/>
      <c r="W20" s="38">
        <v>205723.33</v>
      </c>
      <c r="X20" s="65"/>
      <c r="Y20" s="38">
        <v>0</v>
      </c>
    </row>
    <row r="21" spans="1:25" x14ac:dyDescent="0.2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11150209.529999999</v>
      </c>
      <c r="F24" s="61">
        <f t="shared" si="3"/>
        <v>0</v>
      </c>
      <c r="G24" s="39">
        <f t="shared" si="3"/>
        <v>545790.12</v>
      </c>
      <c r="H24" s="61">
        <f t="shared" si="3"/>
        <v>0</v>
      </c>
      <c r="I24" s="39">
        <f t="shared" si="3"/>
        <v>9229717.0500000007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167205.31</v>
      </c>
      <c r="P24" s="61">
        <f t="shared" si="3"/>
        <v>0</v>
      </c>
      <c r="Q24" s="39">
        <f t="shared" si="3"/>
        <v>74834.509999999995</v>
      </c>
      <c r="R24" s="61">
        <f t="shared" si="3"/>
        <v>0</v>
      </c>
      <c r="S24" s="39">
        <f t="shared" si="3"/>
        <v>926939.21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205723.33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0">
        <f>F70+H70+J70+L70+N70+P70+R70+T70+V70+X70</f>
        <v>0</v>
      </c>
      <c r="E70" s="177">
        <f>G70+I70+K70+M70+O70+Q70+S70+U70+W70+Y70</f>
        <v>420590.91000000015</v>
      </c>
      <c r="F70" s="60"/>
      <c r="G70" s="38">
        <v>-2613977</v>
      </c>
      <c r="H70" s="60"/>
      <c r="I70" s="38">
        <f>8544318-47204.17</f>
        <v>8497113.8300000001</v>
      </c>
      <c r="J70" s="60"/>
      <c r="K70" s="38">
        <v>0</v>
      </c>
      <c r="L70" s="60"/>
      <c r="M70" s="38">
        <v>0</v>
      </c>
      <c r="N70" s="60"/>
      <c r="O70" s="38">
        <v>-793175</v>
      </c>
      <c r="P70" s="60"/>
      <c r="Q70" s="38">
        <v>0</v>
      </c>
      <c r="R70" s="60"/>
      <c r="S70" s="38">
        <f>8058919-7896533.92</f>
        <v>162385.08000000007</v>
      </c>
      <c r="T70" s="60"/>
      <c r="U70" s="38">
        <v>-5059754</v>
      </c>
      <c r="V70" s="60"/>
      <c r="W70" s="38">
        <f>-267589+381588</f>
        <v>113999</v>
      </c>
      <c r="X70" s="60"/>
      <c r="Y70" s="38">
        <v>113999</v>
      </c>
    </row>
    <row r="71" spans="1:25" x14ac:dyDescent="0.2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420590.91000000015</v>
      </c>
      <c r="F72" s="61">
        <f t="shared" si="13"/>
        <v>0</v>
      </c>
      <c r="G72" s="39">
        <f t="shared" si="13"/>
        <v>-2613977</v>
      </c>
      <c r="H72" s="61">
        <f t="shared" si="13"/>
        <v>0</v>
      </c>
      <c r="I72" s="39">
        <f t="shared" si="13"/>
        <v>8497113.8300000001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-793175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162385.08000000007</v>
      </c>
      <c r="T72" s="61">
        <f t="shared" si="13"/>
        <v>0</v>
      </c>
      <c r="U72" s="39">
        <f t="shared" si="13"/>
        <v>-5059754</v>
      </c>
      <c r="V72" s="61">
        <f t="shared" si="13"/>
        <v>0</v>
      </c>
      <c r="W72" s="39">
        <f t="shared" si="13"/>
        <v>113999</v>
      </c>
      <c r="X72" s="61">
        <f t="shared" si="13"/>
        <v>0</v>
      </c>
      <c r="Y72" s="39">
        <f t="shared" si="13"/>
        <v>113999</v>
      </c>
    </row>
    <row r="73" spans="1:25" x14ac:dyDescent="0.2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-3550437</v>
      </c>
      <c r="F74" s="65"/>
      <c r="G74" s="66">
        <v>-14511</v>
      </c>
      <c r="H74" s="65"/>
      <c r="I74" s="66">
        <f>-352137-20503-8195896</f>
        <v>-8568536</v>
      </c>
      <c r="J74" s="65"/>
      <c r="K74" s="66">
        <v>0</v>
      </c>
      <c r="L74" s="65"/>
      <c r="M74" s="66">
        <v>0</v>
      </c>
      <c r="N74" s="65"/>
      <c r="O74" s="66">
        <v>1116971</v>
      </c>
      <c r="P74" s="65"/>
      <c r="Q74" s="66">
        <v>0</v>
      </c>
      <c r="R74" s="65"/>
      <c r="S74" s="66">
        <f>-373460+1058484</f>
        <v>685024</v>
      </c>
      <c r="T74" s="65"/>
      <c r="U74" s="66">
        <v>3053558</v>
      </c>
      <c r="V74" s="65"/>
      <c r="W74" s="66">
        <v>177057</v>
      </c>
      <c r="X74" s="65"/>
      <c r="Y74" s="66">
        <v>0</v>
      </c>
    </row>
    <row r="75" spans="1:25" x14ac:dyDescent="0.2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2223200</v>
      </c>
      <c r="F75" s="65"/>
      <c r="G75" s="38">
        <v>76900</v>
      </c>
      <c r="H75" s="65"/>
      <c r="I75" s="38">
        <v>166000</v>
      </c>
      <c r="J75" s="65"/>
      <c r="K75" s="38">
        <v>0</v>
      </c>
      <c r="L75" s="65"/>
      <c r="M75" s="38">
        <v>0</v>
      </c>
      <c r="N75" s="65"/>
      <c r="O75" s="38">
        <v>203200</v>
      </c>
      <c r="P75" s="65"/>
      <c r="Q75" s="38">
        <v>0</v>
      </c>
      <c r="R75" s="65"/>
      <c r="S75" s="38">
        <f>-9661300+11438400</f>
        <v>1777100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77</v>
      </c>
      <c r="D76" s="60">
        <f t="shared" si="14"/>
        <v>0</v>
      </c>
      <c r="E76" s="177">
        <f t="shared" si="15"/>
        <v>-2740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-2740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-4763809</v>
      </c>
      <c r="F77" s="65"/>
      <c r="G77" s="38"/>
      <c r="H77" s="65"/>
      <c r="I77" s="38">
        <v>-3046809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-33114130.060000002</v>
      </c>
      <c r="F82" s="92">
        <f>F16+F24+F29+F36+F43+F45+F47+F49</f>
        <v>0</v>
      </c>
      <c r="G82" s="93">
        <f>SUM(G72:G81)+G16+G24+G29+G36+G43+G45+G47+G49+G51+G56+G61+G66</f>
        <v>-13824158.140000001</v>
      </c>
      <c r="H82" s="92">
        <f>H16+H24+H29+H36+H43+H45+H47+H49</f>
        <v>0</v>
      </c>
      <c r="I82" s="93">
        <f>SUM(I72:I81)+I16+I24+I29+I36+I43+I45+I47+I49+I51+I56+I61+I66</f>
        <v>-9885439.7099999972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-901633.80999999982</v>
      </c>
      <c r="P82" s="92">
        <f>P16+P24+P29+P36+P43+P45+P47+P49</f>
        <v>0</v>
      </c>
      <c r="Q82" s="93">
        <f>SUM(Q72:Q81)+Q16+Q24+Q29+Q36+Q43+Q45+Q47+Q49+Q51+Q56+Q61+Q66</f>
        <v>-1909379.93</v>
      </c>
      <c r="R82" s="92">
        <f>R16+R24+R29+R36+R43+R45+R47+R49</f>
        <v>0</v>
      </c>
      <c r="S82" s="93">
        <f>SUM(S72:S81)+S16+S24+S29+S36+S43+S45+S47+S49+S51+S56+S61+S66</f>
        <v>-3932873.4300000006</v>
      </c>
      <c r="T82" s="92">
        <f>T16+T24+T29+T36+T43+T45+T47+T49</f>
        <v>0</v>
      </c>
      <c r="U82" s="93">
        <f>SUM(U72:U81)+U16+U24+U29+U36+U43+U45+U47+U49+U51+U56+U61+U66</f>
        <v>-2905936</v>
      </c>
      <c r="V82" s="92">
        <f>V16+V24+V29+V36+V43+V45+V47+V49</f>
        <v>0</v>
      </c>
      <c r="W82" s="93">
        <f>SUM(W72:W81)+W16+W24+W29+W36+W43+W45+W47+W49+W51+W56+W61+W66</f>
        <v>131291.96</v>
      </c>
      <c r="X82" s="92">
        <f>X16+X24+X29+X36+X43+X45+X47+X49</f>
        <v>0</v>
      </c>
      <c r="Y82" s="93">
        <f>SUM(Y72:Y81)+Y16+Y24+Y29+Y36+Y43+Y45+Y47+Y49+Y51+Y56+Y61+Y66</f>
        <v>113999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E84" s="156">
        <f>+E12+E20+E74</f>
        <v>-30991371.969999999</v>
      </c>
      <c r="M84" s="45"/>
    </row>
    <row r="85" spans="1:26" x14ac:dyDescent="0.2">
      <c r="A85" s="4" t="s">
        <v>196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82"/>
      <c r="C86" s="10" t="s">
        <v>191</v>
      </c>
      <c r="D86" s="183">
        <f>F86+H86+J86+L86+N86+P86+R86+T86+V86+X86</f>
        <v>0</v>
      </c>
      <c r="E86" s="183">
        <f>G86+I86+K86+M86+O86+Q86+S86+U86+W86+Y86</f>
        <v>7562150.0899999999</v>
      </c>
      <c r="F86" s="183"/>
      <c r="G86" s="183"/>
      <c r="H86" s="183"/>
      <c r="I86" s="183">
        <v>47204.17</v>
      </c>
      <c r="J86" s="183"/>
      <c r="K86" s="183"/>
      <c r="L86" s="183"/>
      <c r="M86" s="183"/>
      <c r="N86" s="183"/>
      <c r="O86" s="183"/>
      <c r="P86" s="183"/>
      <c r="Q86" s="183"/>
      <c r="R86" s="183"/>
      <c r="S86" s="183">
        <v>7896533.9199999999</v>
      </c>
      <c r="T86" s="183"/>
      <c r="U86" s="183"/>
      <c r="V86" s="183"/>
      <c r="W86" s="183">
        <v>-381588</v>
      </c>
      <c r="X86" s="183"/>
      <c r="Y86" s="183"/>
    </row>
    <row r="87" spans="1:26" s="3" customFormat="1" x14ac:dyDescent="0.2">
      <c r="A87" s="182"/>
      <c r="C87" s="10" t="s">
        <v>75</v>
      </c>
      <c r="D87" s="184">
        <v>0</v>
      </c>
      <c r="E87" s="184">
        <v>0</v>
      </c>
      <c r="F87" s="184">
        <v>0</v>
      </c>
      <c r="G87" s="184">
        <v>0</v>
      </c>
      <c r="H87" s="184">
        <v>0</v>
      </c>
      <c r="I87" s="184">
        <v>0</v>
      </c>
      <c r="J87" s="184">
        <v>0</v>
      </c>
      <c r="K87" s="184">
        <v>0</v>
      </c>
      <c r="L87" s="184">
        <v>0</v>
      </c>
      <c r="M87" s="184">
        <v>0</v>
      </c>
      <c r="N87" s="184">
        <v>0</v>
      </c>
      <c r="O87" s="184">
        <v>0</v>
      </c>
      <c r="P87" s="184">
        <v>0</v>
      </c>
      <c r="Q87" s="184">
        <v>0</v>
      </c>
      <c r="R87" s="184">
        <v>0</v>
      </c>
      <c r="S87" s="184">
        <f>U87+W87+Y87+AA87+AC87+AE87+AG87+AI87+AK87+AM87</f>
        <v>0</v>
      </c>
      <c r="T87" s="184">
        <f>V87+X87+Z87+AB87+AD87+AF87+AH87+AJ87+AL87+AN87</f>
        <v>0</v>
      </c>
      <c r="U87" s="184"/>
      <c r="V87" s="184"/>
      <c r="W87" s="184"/>
      <c r="X87" s="184"/>
      <c r="Y87" s="184"/>
    </row>
    <row r="88" spans="1:26" s="3" customFormat="1" x14ac:dyDescent="0.2">
      <c r="A88" s="182"/>
      <c r="C88" s="10" t="s">
        <v>76</v>
      </c>
      <c r="D88" s="185">
        <v>0</v>
      </c>
      <c r="E88" s="185">
        <v>0</v>
      </c>
      <c r="F88" s="185">
        <v>0</v>
      </c>
      <c r="G88" s="185">
        <v>0</v>
      </c>
      <c r="H88" s="185">
        <v>0</v>
      </c>
      <c r="I88" s="185">
        <v>0</v>
      </c>
      <c r="J88" s="185">
        <v>0</v>
      </c>
      <c r="K88" s="185">
        <v>0</v>
      </c>
      <c r="L88" s="185">
        <v>0</v>
      </c>
      <c r="M88" s="185">
        <v>0</v>
      </c>
      <c r="N88" s="185">
        <v>0</v>
      </c>
      <c r="O88" s="185">
        <v>0</v>
      </c>
      <c r="P88" s="185">
        <v>0</v>
      </c>
      <c r="Q88" s="185">
        <v>0</v>
      </c>
      <c r="R88" s="185">
        <v>0</v>
      </c>
      <c r="S88" s="185">
        <v>-11438300</v>
      </c>
      <c r="T88" s="185">
        <f>V88+X88+Z88+AB88+AD88+AF88+AH88+AJ88+AL88+AN88</f>
        <v>0</v>
      </c>
      <c r="U88" s="185"/>
      <c r="V88" s="185"/>
      <c r="W88" s="185"/>
      <c r="X88" s="185"/>
      <c r="Y88" s="185"/>
    </row>
    <row r="89" spans="1:26" s="149" customFormat="1" ht="20.25" customHeight="1" x14ac:dyDescent="0.2">
      <c r="A89" s="186"/>
      <c r="B89" s="187"/>
      <c r="C89" s="197" t="s">
        <v>197</v>
      </c>
      <c r="D89" s="189">
        <f>SUM(D86:D88)</f>
        <v>0</v>
      </c>
      <c r="E89" s="189">
        <f t="shared" ref="E89:Y89" si="16">SUM(E86:E88)</f>
        <v>7562150.0899999999</v>
      </c>
      <c r="F89" s="189">
        <f t="shared" si="16"/>
        <v>0</v>
      </c>
      <c r="G89" s="189">
        <f t="shared" si="16"/>
        <v>0</v>
      </c>
      <c r="H89" s="189">
        <f t="shared" si="16"/>
        <v>0</v>
      </c>
      <c r="I89" s="189">
        <f t="shared" si="16"/>
        <v>47204.17</v>
      </c>
      <c r="J89" s="189">
        <f t="shared" si="16"/>
        <v>0</v>
      </c>
      <c r="K89" s="189">
        <f t="shared" si="16"/>
        <v>0</v>
      </c>
      <c r="L89" s="189">
        <f t="shared" si="16"/>
        <v>0</v>
      </c>
      <c r="M89" s="189">
        <f t="shared" si="16"/>
        <v>0</v>
      </c>
      <c r="N89" s="189">
        <f t="shared" si="16"/>
        <v>0</v>
      </c>
      <c r="O89" s="189">
        <f t="shared" si="16"/>
        <v>0</v>
      </c>
      <c r="P89" s="189">
        <f t="shared" si="16"/>
        <v>0</v>
      </c>
      <c r="Q89" s="189">
        <f t="shared" si="16"/>
        <v>0</v>
      </c>
      <c r="R89" s="189">
        <f t="shared" si="16"/>
        <v>0</v>
      </c>
      <c r="S89" s="189">
        <f t="shared" si="16"/>
        <v>-3541766.08</v>
      </c>
      <c r="T89" s="189">
        <f t="shared" si="16"/>
        <v>0</v>
      </c>
      <c r="U89" s="189">
        <f t="shared" si="16"/>
        <v>0</v>
      </c>
      <c r="V89" s="189">
        <f t="shared" si="16"/>
        <v>0</v>
      </c>
      <c r="W89" s="189">
        <f t="shared" si="16"/>
        <v>-381588</v>
      </c>
      <c r="X89" s="189">
        <f t="shared" si="16"/>
        <v>0</v>
      </c>
      <c r="Y89" s="189">
        <f t="shared" si="16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">
      <c r="A91" s="186"/>
      <c r="B91" s="187"/>
      <c r="C91" s="188" t="s">
        <v>198</v>
      </c>
      <c r="D91" s="189">
        <f>+D82+D89</f>
        <v>0</v>
      </c>
      <c r="E91" s="189">
        <f t="shared" ref="E91:Y91" si="17">+E82+E89</f>
        <v>-25551979.970000003</v>
      </c>
      <c r="F91" s="189">
        <f t="shared" si="17"/>
        <v>0</v>
      </c>
      <c r="G91" s="189">
        <f t="shared" si="17"/>
        <v>-13824158.140000001</v>
      </c>
      <c r="H91" s="189">
        <f t="shared" si="17"/>
        <v>0</v>
      </c>
      <c r="I91" s="189">
        <f t="shared" si="17"/>
        <v>-9838235.5399999972</v>
      </c>
      <c r="J91" s="189">
        <f t="shared" si="17"/>
        <v>0</v>
      </c>
      <c r="K91" s="189">
        <f t="shared" si="17"/>
        <v>0</v>
      </c>
      <c r="L91" s="189">
        <f t="shared" si="17"/>
        <v>0</v>
      </c>
      <c r="M91" s="189">
        <f t="shared" si="17"/>
        <v>0</v>
      </c>
      <c r="N91" s="189">
        <f t="shared" si="17"/>
        <v>0</v>
      </c>
      <c r="O91" s="189">
        <f t="shared" si="17"/>
        <v>-901633.80999999982</v>
      </c>
      <c r="P91" s="189">
        <f t="shared" si="17"/>
        <v>0</v>
      </c>
      <c r="Q91" s="189">
        <f t="shared" si="17"/>
        <v>-1909379.93</v>
      </c>
      <c r="R91" s="189">
        <f t="shared" si="17"/>
        <v>0</v>
      </c>
      <c r="S91" s="189">
        <f t="shared" si="17"/>
        <v>-7474639.5100000007</v>
      </c>
      <c r="T91" s="189">
        <f t="shared" si="17"/>
        <v>0</v>
      </c>
      <c r="U91" s="189">
        <f t="shared" si="17"/>
        <v>-2905936</v>
      </c>
      <c r="V91" s="189">
        <f t="shared" si="17"/>
        <v>0</v>
      </c>
      <c r="W91" s="189">
        <f t="shared" si="17"/>
        <v>-250296.04</v>
      </c>
      <c r="X91" s="189">
        <f t="shared" si="17"/>
        <v>0</v>
      </c>
      <c r="Y91" s="189">
        <f t="shared" si="17"/>
        <v>113999</v>
      </c>
    </row>
    <row r="92" spans="1:26" x14ac:dyDescent="0.2">
      <c r="A92" s="4"/>
      <c r="B92" s="3"/>
      <c r="D92" s="31">
        <v>0</v>
      </c>
      <c r="E92" s="177">
        <f>G92+I92+K92+M92+O92+Q92+S92+U92+W92+Y92</f>
        <v>-36934990.419999994</v>
      </c>
      <c r="F92">
        <v>0</v>
      </c>
      <c r="G92">
        <v>-13824158.140000001</v>
      </c>
      <c r="H92">
        <v>0</v>
      </c>
      <c r="I92">
        <v>-9939385.5399999991</v>
      </c>
      <c r="J92">
        <v>0</v>
      </c>
      <c r="K92">
        <v>0</v>
      </c>
      <c r="L92">
        <v>0</v>
      </c>
      <c r="M92">
        <v>0</v>
      </c>
      <c r="N92">
        <v>0</v>
      </c>
      <c r="O92">
        <v>-901633.81</v>
      </c>
      <c r="P92">
        <v>0</v>
      </c>
      <c r="Q92">
        <v>-1897257.38</v>
      </c>
      <c r="R92">
        <v>0</v>
      </c>
      <c r="S92">
        <v>-7588909.5100000007</v>
      </c>
      <c r="T92">
        <v>0</v>
      </c>
      <c r="U92">
        <v>-2624654</v>
      </c>
      <c r="V92">
        <v>0</v>
      </c>
      <c r="W92">
        <v>-272991.03999999998</v>
      </c>
      <c r="X92">
        <v>0</v>
      </c>
      <c r="Y92">
        <v>113999</v>
      </c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H10" activePane="bottomRight" state="frozen"/>
      <selection activeCell="D10" sqref="D10"/>
      <selection pane="topRight" activeCell="D10" sqref="D10"/>
      <selection pane="bottomLeft" activeCell="D10" sqref="D10"/>
      <selection pane="bottomRight" activeCell="J1" sqref="J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48251606</v>
      </c>
      <c r="E11" s="65">
        <v>79685777</v>
      </c>
      <c r="F11" s="60">
        <f>H11-D11</f>
        <v>0</v>
      </c>
      <c r="G11" s="37">
        <f>I11-E11</f>
        <v>0</v>
      </c>
      <c r="H11" s="65">
        <f t="shared" ref="H11:I15" si="0">D11</f>
        <v>48251606</v>
      </c>
      <c r="I11" s="66">
        <f t="shared" si="0"/>
        <v>79685777</v>
      </c>
      <c r="J11" s="37"/>
      <c r="K11" s="38"/>
      <c r="L11" s="60">
        <f t="shared" ref="L11:M15" si="1">H11+J11</f>
        <v>48251606</v>
      </c>
      <c r="M11" s="38">
        <f t="shared" si="1"/>
        <v>79685777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31</v>
      </c>
      <c r="D13" s="65">
        <v>15397109</v>
      </c>
      <c r="E13" s="65">
        <v>26714108</v>
      </c>
      <c r="F13" s="60">
        <f t="shared" si="2"/>
        <v>0</v>
      </c>
      <c r="G13" s="37">
        <f t="shared" si="2"/>
        <v>0</v>
      </c>
      <c r="H13" s="65">
        <f t="shared" si="0"/>
        <v>15397109</v>
      </c>
      <c r="I13" s="66">
        <f t="shared" si="0"/>
        <v>26714108</v>
      </c>
      <c r="J13" s="37"/>
      <c r="K13" s="38"/>
      <c r="L13" s="60">
        <f t="shared" si="1"/>
        <v>15397109</v>
      </c>
      <c r="M13" s="38">
        <f t="shared" si="1"/>
        <v>26714108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34</v>
      </c>
      <c r="C16" s="6"/>
      <c r="D16" s="61">
        <v>63648715</v>
      </c>
      <c r="E16" s="39">
        <v>106399885</v>
      </c>
      <c r="F16" s="61">
        <f t="shared" ref="F16:M16" si="3">SUM(F11:F15)</f>
        <v>0</v>
      </c>
      <c r="G16" s="39">
        <f t="shared" si="3"/>
        <v>0</v>
      </c>
      <c r="H16" s="61">
        <f>SUM(H11:H15)</f>
        <v>63648715</v>
      </c>
      <c r="I16" s="39">
        <f>SUM(I11:I15)</f>
        <v>106399885</v>
      </c>
      <c r="J16" s="159">
        <f t="shared" si="3"/>
        <v>0</v>
      </c>
      <c r="K16" s="39">
        <f t="shared" si="3"/>
        <v>0</v>
      </c>
      <c r="L16" s="61">
        <f t="shared" si="3"/>
        <v>63648715</v>
      </c>
      <c r="M16" s="39">
        <f t="shared" si="3"/>
        <v>106399885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-40688416</v>
      </c>
      <c r="E19" s="65">
        <v>-66254041</v>
      </c>
      <c r="F19" s="60">
        <f>H19-D19</f>
        <v>0</v>
      </c>
      <c r="G19" s="37">
        <f>I19-E19</f>
        <v>0</v>
      </c>
      <c r="H19" s="65">
        <f t="shared" si="4"/>
        <v>-40688416</v>
      </c>
      <c r="I19" s="66">
        <f t="shared" si="4"/>
        <v>-66254041</v>
      </c>
      <c r="J19" s="37">
        <v>0</v>
      </c>
      <c r="K19" s="38">
        <v>0</v>
      </c>
      <c r="L19" s="60">
        <f t="shared" ref="L19:M23" si="5">H19+J19</f>
        <v>-40688416</v>
      </c>
      <c r="M19" s="38">
        <f t="shared" si="5"/>
        <v>-66254041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-22756832</v>
      </c>
      <c r="E21" s="65">
        <v>-38801752</v>
      </c>
      <c r="F21" s="60">
        <f t="shared" si="6"/>
        <v>0</v>
      </c>
      <c r="G21" s="37">
        <f t="shared" si="6"/>
        <v>0</v>
      </c>
      <c r="H21" s="65">
        <f t="shared" si="4"/>
        <v>-22756832</v>
      </c>
      <c r="I21" s="66">
        <f t="shared" si="4"/>
        <v>-38801752</v>
      </c>
      <c r="J21" s="37"/>
      <c r="K21" s="38"/>
      <c r="L21" s="60">
        <f t="shared" si="5"/>
        <v>-22756832</v>
      </c>
      <c r="M21" s="38">
        <f t="shared" si="5"/>
        <v>-38801752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288222</v>
      </c>
      <c r="E23" s="65">
        <v>472017</v>
      </c>
      <c r="F23" s="60">
        <f t="shared" si="6"/>
        <v>0</v>
      </c>
      <c r="G23" s="37">
        <f t="shared" si="6"/>
        <v>0</v>
      </c>
      <c r="H23" s="65">
        <f t="shared" si="4"/>
        <v>288222</v>
      </c>
      <c r="I23" s="66">
        <f t="shared" si="4"/>
        <v>472017</v>
      </c>
      <c r="J23" s="37"/>
      <c r="K23" s="38"/>
      <c r="L23" s="60">
        <f t="shared" si="5"/>
        <v>288222</v>
      </c>
      <c r="M23" s="38">
        <f t="shared" si="5"/>
        <v>472017</v>
      </c>
    </row>
    <row r="24" spans="1:13" x14ac:dyDescent="0.2">
      <c r="A24" s="9"/>
      <c r="B24" s="7" t="s">
        <v>37</v>
      </c>
      <c r="C24" s="6"/>
      <c r="D24" s="61">
        <v>-63157026</v>
      </c>
      <c r="E24" s="39">
        <v>-104583776</v>
      </c>
      <c r="F24" s="61">
        <f t="shared" ref="F24:M24" si="7">SUM(F19:F23)</f>
        <v>0</v>
      </c>
      <c r="G24" s="39">
        <f t="shared" si="7"/>
        <v>0</v>
      </c>
      <c r="H24" s="61">
        <f>SUM(H19:H23)</f>
        <v>-63157026</v>
      </c>
      <c r="I24" s="39">
        <f>SUM(I19:I23)</f>
        <v>-104583776</v>
      </c>
      <c r="J24" s="159">
        <f t="shared" si="7"/>
        <v>0</v>
      </c>
      <c r="K24" s="39">
        <f t="shared" si="7"/>
        <v>0</v>
      </c>
      <c r="L24" s="61">
        <f t="shared" si="7"/>
        <v>-63157026</v>
      </c>
      <c r="M24" s="39">
        <f t="shared" si="7"/>
        <v>-104583776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2478409</v>
      </c>
      <c r="E32" s="65">
        <v>4536179</v>
      </c>
      <c r="F32" s="60">
        <f>H32-D32</f>
        <v>0</v>
      </c>
      <c r="G32" s="37">
        <f>I32-E32</f>
        <v>0</v>
      </c>
      <c r="H32" s="65">
        <f t="shared" ref="H32:I35" si="9">D32</f>
        <v>2478409</v>
      </c>
      <c r="I32" s="66">
        <f t="shared" si="9"/>
        <v>4536179</v>
      </c>
      <c r="J32" s="37"/>
      <c r="K32" s="38"/>
      <c r="L32" s="60">
        <f t="shared" ref="L32:M35" si="10">H32+J32</f>
        <v>2478409</v>
      </c>
      <c r="M32" s="38">
        <f t="shared" si="10"/>
        <v>4536179</v>
      </c>
    </row>
    <row r="33" spans="1:13" x14ac:dyDescent="0.2">
      <c r="A33" s="9">
        <v>14</v>
      </c>
      <c r="B33" s="7"/>
      <c r="C33" s="18" t="s">
        <v>44</v>
      </c>
      <c r="D33" s="65">
        <v>-2343582</v>
      </c>
      <c r="E33" s="65">
        <v>-4825471.8233232312</v>
      </c>
      <c r="F33" s="60">
        <f t="shared" ref="F33:G35" si="11">H33-D33</f>
        <v>0</v>
      </c>
      <c r="G33" s="37">
        <f t="shared" si="11"/>
        <v>0</v>
      </c>
      <c r="H33" s="65">
        <f t="shared" si="9"/>
        <v>-2343582</v>
      </c>
      <c r="I33" s="66">
        <f t="shared" si="9"/>
        <v>-4825471.8233232312</v>
      </c>
      <c r="J33" s="37"/>
      <c r="K33" s="38"/>
      <c r="L33" s="60">
        <f t="shared" si="10"/>
        <v>-2343582</v>
      </c>
      <c r="M33" s="38">
        <f t="shared" si="10"/>
        <v>-4825471.8233232312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134827</v>
      </c>
      <c r="E36" s="39">
        <v>-289292.82332323119</v>
      </c>
      <c r="F36" s="61">
        <f>SUM(F32:F35)</f>
        <v>0</v>
      </c>
      <c r="G36" s="39">
        <f>SUM(G32:G35)</f>
        <v>0</v>
      </c>
      <c r="H36" s="61">
        <f>SUM(H32:H35)</f>
        <v>134827</v>
      </c>
      <c r="I36" s="39">
        <f>SUM(I32:I35)</f>
        <v>-289292.82332323119</v>
      </c>
      <c r="J36" s="159">
        <f>SUM(J32:J34)</f>
        <v>0</v>
      </c>
      <c r="K36" s="39">
        <f>SUM(K32:K34)</f>
        <v>0</v>
      </c>
      <c r="L36" s="61">
        <f>SUM(L32:L35)</f>
        <v>134827</v>
      </c>
      <c r="M36" s="39">
        <f>SUM(M32:M35)</f>
        <v>-289292.82332323119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4148</v>
      </c>
      <c r="E39" s="65">
        <v>6616</v>
      </c>
      <c r="F39" s="60">
        <f t="shared" ref="F39:G41" si="13">H39-D39</f>
        <v>0</v>
      </c>
      <c r="G39" s="37">
        <f t="shared" si="13"/>
        <v>0</v>
      </c>
      <c r="H39" s="65">
        <f t="shared" si="12"/>
        <v>4148</v>
      </c>
      <c r="I39" s="66">
        <f t="shared" si="12"/>
        <v>6616</v>
      </c>
      <c r="J39" s="37"/>
      <c r="K39" s="38"/>
      <c r="L39" s="60">
        <f t="shared" ref="L39:M41" si="14">H39+J39</f>
        <v>4148</v>
      </c>
      <c r="M39" s="38">
        <f t="shared" si="14"/>
        <v>6616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-249256</v>
      </c>
      <c r="E40" s="65">
        <v>-391334</v>
      </c>
      <c r="F40" s="60">
        <f t="shared" si="13"/>
        <v>0</v>
      </c>
      <c r="G40" s="37">
        <f t="shared" si="13"/>
        <v>0</v>
      </c>
      <c r="H40" s="65">
        <f t="shared" si="12"/>
        <v>-249256</v>
      </c>
      <c r="I40" s="66">
        <f t="shared" si="12"/>
        <v>-391334</v>
      </c>
      <c r="J40" s="37"/>
      <c r="K40" s="38"/>
      <c r="L40" s="60">
        <f t="shared" si="14"/>
        <v>-249256</v>
      </c>
      <c r="M40" s="38">
        <f t="shared" si="14"/>
        <v>-391334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-249256</v>
      </c>
      <c r="E42" s="39">
        <v>-391334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-249256</v>
      </c>
      <c r="I42" s="39">
        <f>SUM(I40:I41)</f>
        <v>-391334</v>
      </c>
      <c r="J42" s="159">
        <f t="shared" si="15"/>
        <v>0</v>
      </c>
      <c r="K42" s="39">
        <f t="shared" si="15"/>
        <v>0</v>
      </c>
      <c r="L42" s="61">
        <f t="shared" si="15"/>
        <v>-249256</v>
      </c>
      <c r="M42" s="39">
        <f t="shared" si="15"/>
        <v>-391334</v>
      </c>
    </row>
    <row r="43" spans="1:13" ht="21" customHeight="1" x14ac:dyDescent="0.2">
      <c r="A43" s="9"/>
      <c r="B43" s="7" t="s">
        <v>53</v>
      </c>
      <c r="C43" s="6"/>
      <c r="D43" s="61">
        <v>-245108</v>
      </c>
      <c r="E43" s="39">
        <v>-384718</v>
      </c>
      <c r="F43" s="61">
        <f t="shared" ref="F43:M43" si="16">F42+F39</f>
        <v>0</v>
      </c>
      <c r="G43" s="39">
        <f t="shared" si="16"/>
        <v>0</v>
      </c>
      <c r="H43" s="61">
        <f>H42+H39</f>
        <v>-245108</v>
      </c>
      <c r="I43" s="39">
        <f>I42+I39</f>
        <v>-384718</v>
      </c>
      <c r="J43" s="159">
        <f t="shared" si="16"/>
        <v>0</v>
      </c>
      <c r="K43" s="39">
        <f t="shared" si="16"/>
        <v>0</v>
      </c>
      <c r="L43" s="61">
        <f t="shared" si="16"/>
        <v>-245108</v>
      </c>
      <c r="M43" s="39">
        <f t="shared" si="16"/>
        <v>-384718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-288222</v>
      </c>
      <c r="E51" s="65">
        <v>-472017</v>
      </c>
      <c r="F51" s="60">
        <f>H51-D51</f>
        <v>0</v>
      </c>
      <c r="G51" s="37">
        <f>I51-E51</f>
        <v>0</v>
      </c>
      <c r="H51" s="65">
        <f>D51</f>
        <v>-288222</v>
      </c>
      <c r="I51" s="66">
        <f>E51</f>
        <v>-472017</v>
      </c>
      <c r="J51" s="37"/>
      <c r="K51" s="38"/>
      <c r="L51" s="60">
        <f>H51+J51</f>
        <v>-288222</v>
      </c>
      <c r="M51" s="38">
        <f>I51+K51</f>
        <v>-472017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-110726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-110726</v>
      </c>
      <c r="J54" s="37"/>
      <c r="K54" s="38"/>
      <c r="L54" s="60">
        <f>H54+J54</f>
        <v>0</v>
      </c>
      <c r="M54" s="38">
        <f>I54+K54</f>
        <v>-110726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-110726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-110726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-110726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-91871.28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-91871.28</v>
      </c>
      <c r="J70" s="37"/>
      <c r="K70" s="38"/>
      <c r="L70" s="60">
        <f t="shared" si="20"/>
        <v>0</v>
      </c>
      <c r="M70" s="38">
        <f t="shared" si="20"/>
        <v>-91871.28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-2563659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-2563659</v>
      </c>
      <c r="J71" s="37"/>
      <c r="K71" s="38"/>
      <c r="L71" s="60">
        <f t="shared" si="20"/>
        <v>0</v>
      </c>
      <c r="M71" s="38">
        <f t="shared" si="20"/>
        <v>-2563659</v>
      </c>
    </row>
    <row r="72" spans="1:13" x14ac:dyDescent="0.2">
      <c r="A72" s="9"/>
      <c r="B72" s="3"/>
      <c r="C72" s="55" t="s">
        <v>73</v>
      </c>
      <c r="D72" s="61">
        <v>0</v>
      </c>
      <c r="E72" s="39">
        <v>-2655530.2799999998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-2655530.2799999998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-2655530.2799999998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80635.941176470587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80635.941176470587</v>
      </c>
      <c r="J74" s="37"/>
      <c r="K74" s="38"/>
      <c r="L74" s="60">
        <f t="shared" si="24"/>
        <v>0</v>
      </c>
      <c r="M74" s="38">
        <f t="shared" si="24"/>
        <v>80635.941176470587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76850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76850</v>
      </c>
      <c r="J75" s="37"/>
      <c r="K75" s="38"/>
      <c r="L75" s="60">
        <f t="shared" si="24"/>
        <v>0</v>
      </c>
      <c r="M75" s="38">
        <f t="shared" si="24"/>
        <v>76850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-8190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-8190</v>
      </c>
      <c r="J76" s="37"/>
      <c r="K76" s="38"/>
      <c r="L76" s="60">
        <f t="shared" si="24"/>
        <v>0</v>
      </c>
      <c r="M76" s="38">
        <f t="shared" si="24"/>
        <v>-8190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39003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39003</v>
      </c>
      <c r="J81" s="37"/>
      <c r="K81" s="38"/>
      <c r="L81" s="60">
        <f t="shared" si="24"/>
        <v>0</v>
      </c>
      <c r="M81" s="38">
        <f t="shared" si="24"/>
        <v>39003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381408</v>
      </c>
      <c r="E82" s="74">
        <f>SUM(E72:E81)+E16+E24+E29+E36+E43+E45+E47+E49+E51+E56+E61+E66</f>
        <v>-1907876.1621467583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381408</v>
      </c>
      <c r="I82" s="161">
        <f>SUM(I72:I81)+I16+I24+I29+I36+I43+I45+I47+I49+I51+I56+I61+I66</f>
        <v>-1907876.1621467583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381408</v>
      </c>
      <c r="M82" s="74">
        <f>SUM(M72:M81)+M16+M24+M29+M36+M43+M45+M47+M49+M51+M56+M61+M66</f>
        <v>-1907876.1621467583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+E82+'NE-FLSH'!E82+'SE-LRC-FLSH'!E82+'TX-EGM-FLSH'!E82+'TX-HPL-FLSH'!E82+'WE-FLSH'!E82+ONT_FLSH!E82+BGC_FLSH!E82</f>
        <v>-2845949.8181001712</v>
      </c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1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J75" activePane="bottomRight" state="frozen"/>
      <selection activeCell="D10" sqref="D10"/>
      <selection pane="topRight" activeCell="D10" sqref="D10"/>
      <selection pane="bottomLeft" activeCell="D10" sqref="D10"/>
      <selection pane="bottomRight" activeCell="A84" sqref="A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106577848</v>
      </c>
      <c r="E11" s="38">
        <v>177063971</v>
      </c>
      <c r="F11" s="60">
        <f>H11-D11</f>
        <v>0</v>
      </c>
      <c r="G11" s="37">
        <f>I11-E11</f>
        <v>0</v>
      </c>
      <c r="H11" s="65">
        <f>D11</f>
        <v>106577848</v>
      </c>
      <c r="I11" s="66">
        <f>E11</f>
        <v>177063971</v>
      </c>
      <c r="J11" s="60"/>
      <c r="K11" s="38"/>
      <c r="L11" s="60">
        <f t="shared" ref="L11:M15" si="0">H11+J11</f>
        <v>106577848</v>
      </c>
      <c r="M11" s="38">
        <f t="shared" si="0"/>
        <v>177063971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74294238</v>
      </c>
      <c r="E13" s="38">
        <v>136608351.47999999</v>
      </c>
      <c r="F13" s="60">
        <f t="shared" si="1"/>
        <v>0</v>
      </c>
      <c r="G13" s="37">
        <f t="shared" si="1"/>
        <v>0</v>
      </c>
      <c r="H13" s="65">
        <f t="shared" si="2"/>
        <v>74294238</v>
      </c>
      <c r="I13" s="66">
        <f t="shared" si="2"/>
        <v>136608351.47999999</v>
      </c>
      <c r="J13" s="60"/>
      <c r="K13" s="38"/>
      <c r="L13" s="60">
        <f t="shared" si="0"/>
        <v>74294238</v>
      </c>
      <c r="M13" s="38">
        <f t="shared" si="0"/>
        <v>136608351.47999999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-73636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-73636</v>
      </c>
      <c r="J14" s="60"/>
      <c r="K14" s="38"/>
      <c r="L14" s="60">
        <f t="shared" si="0"/>
        <v>0</v>
      </c>
      <c r="M14" s="38">
        <f t="shared" si="0"/>
        <v>-73636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180872086</v>
      </c>
      <c r="E16" s="39">
        <v>313598686.48000002</v>
      </c>
      <c r="F16" s="61">
        <f t="shared" ref="F16:M16" si="3">SUM(F11:F15)</f>
        <v>0</v>
      </c>
      <c r="G16" s="39">
        <f t="shared" si="3"/>
        <v>0</v>
      </c>
      <c r="H16" s="61">
        <f>SUM(H11:H15)</f>
        <v>180872086</v>
      </c>
      <c r="I16" s="39">
        <f>SUM(I11:I15)</f>
        <v>313598686.48000002</v>
      </c>
      <c r="J16" s="61">
        <f t="shared" si="3"/>
        <v>0</v>
      </c>
      <c r="K16" s="39">
        <f t="shared" si="3"/>
        <v>0</v>
      </c>
      <c r="L16" s="61">
        <f t="shared" si="3"/>
        <v>180872086</v>
      </c>
      <c r="M16" s="39">
        <f t="shared" si="3"/>
        <v>313598686.48000002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-113002199</v>
      </c>
      <c r="E19" s="38">
        <v>-186790149</v>
      </c>
      <c r="F19" s="60">
        <f>H19-D19</f>
        <v>0</v>
      </c>
      <c r="G19" s="37">
        <f>I19-E19</f>
        <v>0</v>
      </c>
      <c r="H19" s="65">
        <f t="shared" si="4"/>
        <v>-113002199</v>
      </c>
      <c r="I19" s="66">
        <f t="shared" si="4"/>
        <v>-186790149</v>
      </c>
      <c r="J19" s="60"/>
      <c r="K19" s="38"/>
      <c r="L19" s="60">
        <f t="shared" ref="L19:M23" si="5">H19+J19</f>
        <v>-113002199</v>
      </c>
      <c r="M19" s="38">
        <f t="shared" si="5"/>
        <v>-186790149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-65581659</v>
      </c>
      <c r="E21" s="38">
        <v>-122555762</v>
      </c>
      <c r="F21" s="60">
        <f t="shared" si="6"/>
        <v>0</v>
      </c>
      <c r="G21" s="37">
        <f t="shared" si="6"/>
        <v>0</v>
      </c>
      <c r="H21" s="65">
        <f t="shared" si="4"/>
        <v>-65581659</v>
      </c>
      <c r="I21" s="66">
        <f t="shared" si="4"/>
        <v>-122555762</v>
      </c>
      <c r="J21" s="60"/>
      <c r="K21" s="38"/>
      <c r="L21" s="60">
        <f t="shared" si="5"/>
        <v>-65581659</v>
      </c>
      <c r="M21" s="38">
        <f t="shared" si="5"/>
        <v>-122555762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851856</v>
      </c>
      <c r="E23" s="38">
        <v>1525456</v>
      </c>
      <c r="F23" s="60">
        <f t="shared" si="6"/>
        <v>0</v>
      </c>
      <c r="G23" s="37">
        <f t="shared" si="6"/>
        <v>0</v>
      </c>
      <c r="H23" s="65">
        <f t="shared" si="4"/>
        <v>851856</v>
      </c>
      <c r="I23" s="66">
        <f t="shared" si="4"/>
        <v>1525456</v>
      </c>
      <c r="J23" s="60"/>
      <c r="K23" s="38"/>
      <c r="L23" s="60">
        <f t="shared" si="5"/>
        <v>851856</v>
      </c>
      <c r="M23" s="38">
        <f t="shared" si="5"/>
        <v>1525456</v>
      </c>
    </row>
    <row r="24" spans="1:13" x14ac:dyDescent="0.2">
      <c r="A24" s="9"/>
      <c r="B24" s="7" t="s">
        <v>37</v>
      </c>
      <c r="C24" s="6"/>
      <c r="D24" s="61">
        <v>-177732002</v>
      </c>
      <c r="E24" s="39">
        <v>-307820455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-177732002</v>
      </c>
      <c r="I24" s="39">
        <f>SUM(I19:I23)</f>
        <v>-307820455</v>
      </c>
      <c r="J24" s="61">
        <f t="shared" si="7"/>
        <v>0</v>
      </c>
      <c r="K24" s="39">
        <f t="shared" si="7"/>
        <v>0</v>
      </c>
      <c r="L24" s="61">
        <f t="shared" si="7"/>
        <v>-177732002</v>
      </c>
      <c r="M24" s="39">
        <f t="shared" si="7"/>
        <v>-307820455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-914166</v>
      </c>
      <c r="E27" s="38">
        <v>-1586850</v>
      </c>
      <c r="F27" s="60">
        <f>H27-D27</f>
        <v>0</v>
      </c>
      <c r="G27" s="37">
        <f>I27-E27</f>
        <v>0</v>
      </c>
      <c r="H27" s="65">
        <f>D27</f>
        <v>-914166</v>
      </c>
      <c r="I27" s="66">
        <f>E27</f>
        <v>-1586850</v>
      </c>
      <c r="J27" s="60"/>
      <c r="K27" s="38"/>
      <c r="L27" s="60">
        <f>H27+J27</f>
        <v>-914166</v>
      </c>
      <c r="M27" s="38">
        <f>I27+K27</f>
        <v>-1586850</v>
      </c>
    </row>
    <row r="28" spans="1:13" x14ac:dyDescent="0.2">
      <c r="A28" s="9">
        <v>12</v>
      </c>
      <c r="B28" s="7"/>
      <c r="C28" s="18" t="s">
        <v>40</v>
      </c>
      <c r="D28" s="60">
        <v>624569</v>
      </c>
      <c r="E28" s="38">
        <v>1133654</v>
      </c>
      <c r="F28" s="60">
        <f>H28-D28</f>
        <v>0</v>
      </c>
      <c r="G28" s="37">
        <f>I28-E28</f>
        <v>0</v>
      </c>
      <c r="H28" s="65">
        <f>D28</f>
        <v>624569</v>
      </c>
      <c r="I28" s="66">
        <f>E28</f>
        <v>1133654</v>
      </c>
      <c r="J28" s="60"/>
      <c r="K28" s="38"/>
      <c r="L28" s="60">
        <f>H28+J28</f>
        <v>624569</v>
      </c>
      <c r="M28" s="38">
        <f>I28+K28</f>
        <v>1133654</v>
      </c>
    </row>
    <row r="29" spans="1:13" x14ac:dyDescent="0.2">
      <c r="A29" s="9"/>
      <c r="B29" s="7" t="s">
        <v>41</v>
      </c>
      <c r="C29" s="6"/>
      <c r="D29" s="61">
        <v>-289597</v>
      </c>
      <c r="E29" s="39">
        <v>-453196</v>
      </c>
      <c r="F29" s="61">
        <f t="shared" ref="F29:M29" si="8">SUM(F27:F28)</f>
        <v>0</v>
      </c>
      <c r="G29" s="39">
        <f t="shared" si="8"/>
        <v>0</v>
      </c>
      <c r="H29" s="61">
        <f>SUM(H27:H28)</f>
        <v>-289597</v>
      </c>
      <c r="I29" s="39">
        <f>SUM(I27:I28)</f>
        <v>-453196</v>
      </c>
      <c r="J29" s="61">
        <f t="shared" si="8"/>
        <v>0</v>
      </c>
      <c r="K29" s="39">
        <f t="shared" si="8"/>
        <v>0</v>
      </c>
      <c r="L29" s="61">
        <f t="shared" si="8"/>
        <v>-289597</v>
      </c>
      <c r="M29" s="39">
        <f t="shared" si="8"/>
        <v>-453196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527947</v>
      </c>
      <c r="E32" s="38">
        <v>917553</v>
      </c>
      <c r="F32" s="60">
        <f>H32-D32</f>
        <v>0</v>
      </c>
      <c r="G32" s="37">
        <f>I32-E32</f>
        <v>0</v>
      </c>
      <c r="H32" s="65">
        <f t="shared" ref="H32:I35" si="9">D32</f>
        <v>527947</v>
      </c>
      <c r="I32" s="66">
        <f t="shared" si="9"/>
        <v>917553</v>
      </c>
      <c r="J32" s="60"/>
      <c r="K32" s="38"/>
      <c r="L32" s="60">
        <f t="shared" ref="L32:M35" si="10">H32+J32</f>
        <v>527947</v>
      </c>
      <c r="M32" s="38">
        <f t="shared" si="10"/>
        <v>917553</v>
      </c>
    </row>
    <row r="33" spans="1:13" x14ac:dyDescent="0.2">
      <c r="A33" s="9">
        <v>14</v>
      </c>
      <c r="B33" s="7"/>
      <c r="C33" s="18" t="s">
        <v>44</v>
      </c>
      <c r="D33" s="60">
        <v>-454994</v>
      </c>
      <c r="E33" s="38">
        <v>-805403.31682523829</v>
      </c>
      <c r="F33" s="60">
        <f t="shared" ref="F33:G35" si="11">H33-D33</f>
        <v>0</v>
      </c>
      <c r="G33" s="37">
        <f t="shared" si="11"/>
        <v>0</v>
      </c>
      <c r="H33" s="65">
        <f t="shared" si="9"/>
        <v>-454994</v>
      </c>
      <c r="I33" s="66">
        <f t="shared" si="9"/>
        <v>-805403.31682523829</v>
      </c>
      <c r="J33" s="60"/>
      <c r="K33" s="38"/>
      <c r="L33" s="60">
        <f t="shared" si="10"/>
        <v>-454994</v>
      </c>
      <c r="M33" s="38">
        <f t="shared" si="10"/>
        <v>-805403.31682523829</v>
      </c>
    </row>
    <row r="34" spans="1:13" x14ac:dyDescent="0.2">
      <c r="A34" s="9">
        <v>15</v>
      </c>
      <c r="B34" s="7"/>
      <c r="C34" s="18" t="s">
        <v>45</v>
      </c>
      <c r="D34" s="60">
        <v>460262</v>
      </c>
      <c r="E34" s="38">
        <v>797572</v>
      </c>
      <c r="F34" s="60">
        <f t="shared" si="11"/>
        <v>0</v>
      </c>
      <c r="G34" s="37">
        <f t="shared" si="11"/>
        <v>0</v>
      </c>
      <c r="H34" s="65">
        <f t="shared" si="9"/>
        <v>460262</v>
      </c>
      <c r="I34" s="66">
        <f t="shared" si="9"/>
        <v>797572</v>
      </c>
      <c r="J34" s="60"/>
      <c r="K34" s="38"/>
      <c r="L34" s="60">
        <f t="shared" si="10"/>
        <v>460262</v>
      </c>
      <c r="M34" s="38">
        <f t="shared" si="10"/>
        <v>797572</v>
      </c>
    </row>
    <row r="35" spans="1:13" x14ac:dyDescent="0.2">
      <c r="A35" s="9">
        <v>16</v>
      </c>
      <c r="B35" s="7"/>
      <c r="C35" s="18" t="s">
        <v>46</v>
      </c>
      <c r="D35" s="60">
        <v>-690663</v>
      </c>
      <c r="E35" s="38">
        <v>-1200819</v>
      </c>
      <c r="F35" s="60">
        <f t="shared" si="11"/>
        <v>0</v>
      </c>
      <c r="G35" s="37">
        <f t="shared" si="11"/>
        <v>0</v>
      </c>
      <c r="H35" s="65">
        <f t="shared" si="9"/>
        <v>-690663</v>
      </c>
      <c r="I35" s="66">
        <f t="shared" si="9"/>
        <v>-1200819</v>
      </c>
      <c r="J35" s="60"/>
      <c r="K35" s="38"/>
      <c r="L35" s="60">
        <f t="shared" si="10"/>
        <v>-690663</v>
      </c>
      <c r="M35" s="38">
        <f t="shared" si="10"/>
        <v>-1200819</v>
      </c>
    </row>
    <row r="36" spans="1:13" x14ac:dyDescent="0.2">
      <c r="A36" s="9"/>
      <c r="B36" s="7" t="s">
        <v>47</v>
      </c>
      <c r="C36" s="6"/>
      <c r="D36" s="61">
        <v>-157448</v>
      </c>
      <c r="E36" s="39">
        <v>-291097.31682523829</v>
      </c>
      <c r="F36" s="61">
        <f>SUM(F32:F35)</f>
        <v>0</v>
      </c>
      <c r="G36" s="39">
        <f>SUM(G32:G35)</f>
        <v>0</v>
      </c>
      <c r="H36" s="61">
        <f>SUM(H32:H35)</f>
        <v>-157448</v>
      </c>
      <c r="I36" s="39">
        <f>SUM(I32:I35)</f>
        <v>-291097.31682523829</v>
      </c>
      <c r="J36" s="61">
        <f>SUM(J32:J34)</f>
        <v>0</v>
      </c>
      <c r="K36" s="39">
        <f>SUM(K32:K34)</f>
        <v>0</v>
      </c>
      <c r="L36" s="61">
        <f>SUM(L32:L35)</f>
        <v>-157448</v>
      </c>
      <c r="M36" s="39">
        <f>SUM(M32:M35)</f>
        <v>-291097.31682523829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2013343</v>
      </c>
      <c r="E39" s="38">
        <v>3421215</v>
      </c>
      <c r="F39" s="60">
        <f t="shared" ref="F39:G41" si="13">H39-D39</f>
        <v>0</v>
      </c>
      <c r="G39" s="37">
        <f t="shared" si="13"/>
        <v>0</v>
      </c>
      <c r="H39" s="65">
        <f t="shared" si="12"/>
        <v>2013343</v>
      </c>
      <c r="I39" s="66">
        <f t="shared" si="12"/>
        <v>3421215</v>
      </c>
      <c r="J39" s="60"/>
      <c r="K39" s="38"/>
      <c r="L39" s="60">
        <f t="shared" ref="L39:M41" si="14">H39+J39</f>
        <v>2013343</v>
      </c>
      <c r="M39" s="38">
        <f t="shared" si="14"/>
        <v>3421215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-5044080</v>
      </c>
      <c r="E40" s="38">
        <v>-3210283</v>
      </c>
      <c r="F40" s="60">
        <f t="shared" si="13"/>
        <v>0</v>
      </c>
      <c r="G40" s="37">
        <f t="shared" si="13"/>
        <v>0</v>
      </c>
      <c r="H40" s="65">
        <f t="shared" si="12"/>
        <v>-5044080</v>
      </c>
      <c r="I40" s="66">
        <f t="shared" si="12"/>
        <v>-3210283</v>
      </c>
      <c r="J40" s="60"/>
      <c r="K40" s="38"/>
      <c r="L40" s="60">
        <f t="shared" si="14"/>
        <v>-5044080</v>
      </c>
      <c r="M40" s="38">
        <f t="shared" si="14"/>
        <v>-3210283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-5044080</v>
      </c>
      <c r="E42" s="39">
        <v>-3210283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-5044080</v>
      </c>
      <c r="I42" s="39">
        <f>SUM(I40:I41)</f>
        <v>-3210283</v>
      </c>
      <c r="J42" s="61">
        <f t="shared" si="15"/>
        <v>0</v>
      </c>
      <c r="K42" s="39">
        <f t="shared" si="15"/>
        <v>0</v>
      </c>
      <c r="L42" s="61">
        <f t="shared" si="15"/>
        <v>-5044080</v>
      </c>
      <c r="M42" s="39">
        <f t="shared" si="15"/>
        <v>-3210283</v>
      </c>
    </row>
    <row r="43" spans="1:13" ht="21" customHeight="1" x14ac:dyDescent="0.2">
      <c r="A43" s="9"/>
      <c r="B43" s="7" t="s">
        <v>53</v>
      </c>
      <c r="C43" s="6"/>
      <c r="D43" s="61">
        <v>-3030737</v>
      </c>
      <c r="E43" s="39">
        <v>210932</v>
      </c>
      <c r="F43" s="61">
        <f t="shared" ref="F43:M43" si="16">F42+F39</f>
        <v>0</v>
      </c>
      <c r="G43" s="39">
        <f t="shared" si="16"/>
        <v>0</v>
      </c>
      <c r="H43" s="61">
        <f>H42+H39</f>
        <v>-3030737</v>
      </c>
      <c r="I43" s="39">
        <f>I42+I39</f>
        <v>210932</v>
      </c>
      <c r="J43" s="61">
        <f t="shared" si="16"/>
        <v>0</v>
      </c>
      <c r="K43" s="39">
        <f t="shared" si="16"/>
        <v>0</v>
      </c>
      <c r="L43" s="61">
        <f t="shared" si="16"/>
        <v>-3030737</v>
      </c>
      <c r="M43" s="39">
        <f t="shared" si="16"/>
        <v>210932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397698</v>
      </c>
      <c r="E49" s="38">
        <v>697548.72748507408</v>
      </c>
      <c r="F49" s="60">
        <f>H49-D49</f>
        <v>0</v>
      </c>
      <c r="G49" s="37">
        <f>I49-E49</f>
        <v>0</v>
      </c>
      <c r="H49" s="65">
        <f>D49</f>
        <v>397698</v>
      </c>
      <c r="I49" s="66">
        <f>E49</f>
        <v>697548.72748507408</v>
      </c>
      <c r="J49" s="60"/>
      <c r="K49" s="38"/>
      <c r="L49" s="60">
        <f>H49+J49</f>
        <v>397698</v>
      </c>
      <c r="M49" s="38">
        <f>I49+K49</f>
        <v>697548.72748507408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-851856</v>
      </c>
      <c r="E51" s="38">
        <v>-1525456</v>
      </c>
      <c r="F51" s="60">
        <f>H51-D51</f>
        <v>0</v>
      </c>
      <c r="G51" s="37">
        <f>I51-E51</f>
        <v>0</v>
      </c>
      <c r="H51" s="65">
        <f>D51</f>
        <v>-851856</v>
      </c>
      <c r="I51" s="66">
        <f>E51</f>
        <v>-1525456</v>
      </c>
      <c r="J51" s="60"/>
      <c r="K51" s="38"/>
      <c r="L51" s="60">
        <f>H51+J51</f>
        <v>-851856</v>
      </c>
      <c r="M51" s="38">
        <f>I51+K51</f>
        <v>-1525456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-1214622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-1214622</v>
      </c>
      <c r="J54" s="60"/>
      <c r="K54" s="38"/>
      <c r="L54" s="60">
        <f>H54+J54</f>
        <v>0</v>
      </c>
      <c r="M54" s="38">
        <f>I54+K54</f>
        <v>-1214622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-12300269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-12300269</v>
      </c>
      <c r="J55" s="60"/>
      <c r="K55" s="38"/>
      <c r="L55" s="60">
        <f>H55+J55</f>
        <v>0</v>
      </c>
      <c r="M55" s="38">
        <f>I55+K55</f>
        <v>-12300269</v>
      </c>
    </row>
    <row r="56" spans="1:15" x14ac:dyDescent="0.2">
      <c r="A56" s="9"/>
      <c r="B56" s="7" t="s">
        <v>61</v>
      </c>
      <c r="C56" s="6"/>
      <c r="D56" s="61">
        <v>0</v>
      </c>
      <c r="E56" s="39">
        <v>-13514891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-13514891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-13514891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-123381.24799999999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-123381.24799999999</v>
      </c>
      <c r="J60" s="60"/>
      <c r="K60" s="38"/>
      <c r="L60" s="60">
        <f>H60+J60</f>
        <v>0</v>
      </c>
      <c r="M60" s="38">
        <f>I60+K60</f>
        <v>-123381.24799999999</v>
      </c>
    </row>
    <row r="61" spans="1:15" x14ac:dyDescent="0.2">
      <c r="A61" s="9"/>
      <c r="B61" s="62" t="s">
        <v>65</v>
      </c>
      <c r="C61" s="6"/>
      <c r="D61" s="61">
        <v>0</v>
      </c>
      <c r="E61" s="39">
        <v>-123381.24799999999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-123381.24799999999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-123381.24799999999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163760.72419047618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163760.72419047618</v>
      </c>
      <c r="J64" s="60"/>
      <c r="K64" s="38"/>
      <c r="L64" s="60">
        <f>H64+J64</f>
        <v>0</v>
      </c>
      <c r="M64" s="38">
        <f>I64+K64</f>
        <v>163760.72419047618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163760.72419047618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163760.72419047618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163760.72419047618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6061805.5833007991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6061805.5833007991</v>
      </c>
      <c r="J70" s="60"/>
      <c r="K70" s="38"/>
      <c r="L70" s="60">
        <f>H70+J70</f>
        <v>0</v>
      </c>
      <c r="M70" s="38">
        <f>I70+K70</f>
        <v>6061805.5833007991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6895881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6895881</v>
      </c>
      <c r="J71" s="60"/>
      <c r="K71" s="38"/>
      <c r="L71" s="60">
        <f>H71+J71</f>
        <v>0</v>
      </c>
      <c r="M71" s="38">
        <f>I71+K71</f>
        <v>6895881</v>
      </c>
    </row>
    <row r="72" spans="1:13" x14ac:dyDescent="0.2">
      <c r="A72" s="9"/>
      <c r="B72" s="3"/>
      <c r="C72" s="55" t="s">
        <v>73</v>
      </c>
      <c r="D72" s="61">
        <v>0</v>
      </c>
      <c r="E72" s="39">
        <v>12957686.583300799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12957686.583300799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12957686.583300799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-15710834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-15710834</v>
      </c>
      <c r="J74" s="60"/>
      <c r="K74" s="38"/>
      <c r="L74" s="60">
        <f t="shared" si="22"/>
        <v>0</v>
      </c>
      <c r="M74" s="38">
        <f t="shared" si="22"/>
        <v>-15710834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165980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165980</v>
      </c>
      <c r="J75" s="60"/>
      <c r="K75" s="38"/>
      <c r="L75" s="60">
        <f t="shared" si="22"/>
        <v>0</v>
      </c>
      <c r="M75" s="38">
        <f t="shared" si="22"/>
        <v>165980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-27985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-27985</v>
      </c>
      <c r="J76" s="60"/>
      <c r="K76" s="38"/>
      <c r="L76" s="60">
        <f t="shared" si="22"/>
        <v>0</v>
      </c>
      <c r="M76" s="38">
        <f t="shared" si="22"/>
        <v>-27985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1728274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1728274</v>
      </c>
      <c r="J77" s="60"/>
      <c r="K77" s="38"/>
      <c r="L77" s="60">
        <f t="shared" si="22"/>
        <v>0</v>
      </c>
      <c r="M77" s="38">
        <f t="shared" si="22"/>
        <v>1728274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25066.445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25066.445</v>
      </c>
      <c r="J78" s="60"/>
      <c r="K78" s="38"/>
      <c r="L78" s="60">
        <f t="shared" si="22"/>
        <v>0</v>
      </c>
      <c r="M78" s="38">
        <f t="shared" si="22"/>
        <v>25066.445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11792717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11792717</v>
      </c>
      <c r="J79" s="60"/>
      <c r="K79" s="38"/>
      <c r="L79" s="60">
        <f t="shared" si="22"/>
        <v>0</v>
      </c>
      <c r="M79" s="38">
        <f t="shared" si="22"/>
        <v>11792717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109984.08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109984.08</v>
      </c>
      <c r="J80" s="60"/>
      <c r="K80" s="38"/>
      <c r="L80" s="60">
        <f t="shared" si="22"/>
        <v>0</v>
      </c>
      <c r="M80" s="38">
        <f t="shared" si="22"/>
        <v>109984.08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-1375918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-1375918</v>
      </c>
      <c r="J81" s="60"/>
      <c r="K81" s="38"/>
      <c r="L81" s="60">
        <f t="shared" si="22"/>
        <v>0</v>
      </c>
      <c r="M81" s="38">
        <f t="shared" si="22"/>
        <v>-1375918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60000</v>
      </c>
      <c r="E82" s="74">
        <f>SUM(E72:E81)+E16+E24+E29+E36+E43+E45+E47+E49+E51+E56+E61+E66</f>
        <v>607422.47515113512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61">
        <f>SUM(I72:I81)+I16+I24+I29+I36+I43+I45+I47+I49+I51+I56+I61+I66</f>
        <v>607422.47515113512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607422.47515113512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190</v>
      </c>
      <c r="B85" s="3"/>
      <c r="K85" s="45"/>
    </row>
    <row r="86" spans="1:67" s="3" customFormat="1" x14ac:dyDescent="0.2">
      <c r="A86" s="182"/>
      <c r="C86" s="10" t="s">
        <v>191</v>
      </c>
      <c r="D86" s="168">
        <v>0</v>
      </c>
      <c r="E86" s="168">
        <v>4377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4377</v>
      </c>
      <c r="J86" s="168"/>
      <c r="K86" s="168"/>
      <c r="L86" s="168">
        <f t="shared" ref="L86:M88" si="26">H86+J86</f>
        <v>0</v>
      </c>
      <c r="M86" s="168">
        <f t="shared" si="26"/>
        <v>4377</v>
      </c>
    </row>
    <row r="87" spans="1:67" s="3" customFormat="1" x14ac:dyDescent="0.2">
      <c r="A87" s="182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">
      <c r="A88" s="182"/>
      <c r="C88" s="10" t="s">
        <v>76</v>
      </c>
      <c r="D88" s="170">
        <v>0</v>
      </c>
      <c r="E88" s="170">
        <v>0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0</v>
      </c>
      <c r="J88" s="170"/>
      <c r="K88" s="170"/>
      <c r="L88" s="170">
        <f t="shared" si="26"/>
        <v>0</v>
      </c>
      <c r="M88" s="170">
        <f t="shared" si="26"/>
        <v>0</v>
      </c>
    </row>
    <row r="89" spans="1:67" s="44" customFormat="1" ht="20.25" customHeight="1" x14ac:dyDescent="0.2">
      <c r="A89" s="191"/>
      <c r="B89" s="192"/>
      <c r="C89" s="193" t="s">
        <v>192</v>
      </c>
      <c r="D89" s="194">
        <f>SUM(D86:D88)</f>
        <v>0</v>
      </c>
      <c r="E89" s="194">
        <f t="shared" ref="E89:M89" si="27">SUM(E86:E88)</f>
        <v>4377</v>
      </c>
      <c r="F89" s="194">
        <f t="shared" si="27"/>
        <v>0</v>
      </c>
      <c r="G89" s="194">
        <f t="shared" si="27"/>
        <v>0</v>
      </c>
      <c r="H89" s="194">
        <f t="shared" si="27"/>
        <v>0</v>
      </c>
      <c r="I89" s="194">
        <f t="shared" si="27"/>
        <v>4377</v>
      </c>
      <c r="J89" s="194">
        <f t="shared" si="27"/>
        <v>0</v>
      </c>
      <c r="K89" s="194">
        <f t="shared" si="27"/>
        <v>0</v>
      </c>
      <c r="L89" s="194">
        <f t="shared" si="27"/>
        <v>0</v>
      </c>
      <c r="M89" s="194">
        <f t="shared" si="27"/>
        <v>4377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1"/>
      <c r="B91" s="192"/>
      <c r="C91" s="193" t="s">
        <v>195</v>
      </c>
      <c r="D91" s="194">
        <f>+D82+D89</f>
        <v>60000</v>
      </c>
      <c r="E91" s="194">
        <f t="shared" ref="E91:M91" si="28">+E82+E89</f>
        <v>611799.47515113512</v>
      </c>
      <c r="F91" s="194">
        <f t="shared" si="28"/>
        <v>0</v>
      </c>
      <c r="G91" s="194">
        <f t="shared" si="28"/>
        <v>0</v>
      </c>
      <c r="H91" s="194">
        <f t="shared" si="28"/>
        <v>60000</v>
      </c>
      <c r="I91" s="194">
        <f t="shared" si="28"/>
        <v>611799.47515113512</v>
      </c>
      <c r="J91" s="194">
        <f t="shared" si="28"/>
        <v>0</v>
      </c>
      <c r="K91" s="194">
        <f t="shared" si="28"/>
        <v>0</v>
      </c>
      <c r="L91" s="194">
        <f t="shared" si="28"/>
        <v>60000</v>
      </c>
      <c r="M91" s="194">
        <f t="shared" si="28"/>
        <v>611799.47515113512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E71" sqref="E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10" activePane="bottomRight" state="frozen"/>
      <selection activeCell="E14" sqref="E14"/>
      <selection pane="topRight" activeCell="E14" sqref="E14"/>
      <selection pane="bottomLeft" activeCell="E14" sqref="E14"/>
      <selection pane="bottomRight" activeCell="D11" sqref="D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9903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10167711</v>
      </c>
      <c r="E11" s="65">
        <v>17389462</v>
      </c>
      <c r="F11" s="65">
        <f>H11-D11</f>
        <v>0</v>
      </c>
      <c r="G11" s="63">
        <f>I11-E11</f>
        <v>0</v>
      </c>
      <c r="H11" s="65">
        <f>D11</f>
        <v>10167711</v>
      </c>
      <c r="I11" s="66">
        <f>E11</f>
        <v>17389462</v>
      </c>
      <c r="J11" s="60"/>
      <c r="K11" s="38"/>
      <c r="L11" s="60">
        <f t="shared" ref="L11:M15" si="0">H11+J11</f>
        <v>10167711</v>
      </c>
      <c r="M11" s="38">
        <f t="shared" si="0"/>
        <v>17389462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2625789</v>
      </c>
      <c r="E13" s="65">
        <v>4594435.5199999996</v>
      </c>
      <c r="F13" s="65">
        <f t="shared" si="1"/>
        <v>0</v>
      </c>
      <c r="G13" s="63">
        <f t="shared" si="1"/>
        <v>0</v>
      </c>
      <c r="H13" s="65">
        <f t="shared" si="2"/>
        <v>2625789</v>
      </c>
      <c r="I13" s="66">
        <f t="shared" si="2"/>
        <v>4594435.5199999996</v>
      </c>
      <c r="J13" s="60"/>
      <c r="K13" s="38"/>
      <c r="L13" s="60">
        <f t="shared" si="0"/>
        <v>2625789</v>
      </c>
      <c r="M13" s="38">
        <f t="shared" si="0"/>
        <v>4594435.5199999996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12793500</v>
      </c>
      <c r="E16" s="39">
        <v>21983897.52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12793500</v>
      </c>
      <c r="I16" s="39">
        <f>SUM(I11:I15)</f>
        <v>21983897.52</v>
      </c>
      <c r="J16" s="61">
        <f t="shared" si="3"/>
        <v>0</v>
      </c>
      <c r="K16" s="39">
        <f t="shared" si="3"/>
        <v>0</v>
      </c>
      <c r="L16" s="61">
        <f t="shared" si="3"/>
        <v>12793500</v>
      </c>
      <c r="M16" s="39">
        <f t="shared" si="3"/>
        <v>21983897.52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-3999526</v>
      </c>
      <c r="E19" s="65">
        <v>-6884435</v>
      </c>
      <c r="F19" s="65">
        <f>H19-D19</f>
        <v>0</v>
      </c>
      <c r="G19" s="63">
        <f>I19-E19</f>
        <v>0</v>
      </c>
      <c r="H19" s="65">
        <f t="shared" si="4"/>
        <v>-3999526</v>
      </c>
      <c r="I19" s="66">
        <f t="shared" si="4"/>
        <v>-6884435</v>
      </c>
      <c r="J19" s="60"/>
      <c r="K19" s="38"/>
      <c r="L19" s="60">
        <f t="shared" ref="L19:M23" si="5">H19+J19</f>
        <v>-3999526</v>
      </c>
      <c r="M19" s="38">
        <f t="shared" si="5"/>
        <v>-6884435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-9003725</v>
      </c>
      <c r="E21" s="65">
        <v>-15955875</v>
      </c>
      <c r="F21" s="65">
        <f t="shared" si="6"/>
        <v>0</v>
      </c>
      <c r="G21" s="63">
        <f t="shared" si="6"/>
        <v>0</v>
      </c>
      <c r="H21" s="65">
        <f t="shared" si="4"/>
        <v>-9003725</v>
      </c>
      <c r="I21" s="66">
        <f t="shared" si="4"/>
        <v>-15955875</v>
      </c>
      <c r="J21" s="60"/>
      <c r="K21" s="38"/>
      <c r="L21" s="60">
        <f t="shared" si="5"/>
        <v>-9003725</v>
      </c>
      <c r="M21" s="38">
        <f t="shared" si="5"/>
        <v>-15955875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-13003251</v>
      </c>
      <c r="E24" s="39">
        <v>-22840310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-13003251</v>
      </c>
      <c r="I24" s="39">
        <f>SUM(I19:I23)</f>
        <v>-22840310</v>
      </c>
      <c r="J24" s="61">
        <f t="shared" si="7"/>
        <v>0</v>
      </c>
      <c r="K24" s="39">
        <f t="shared" si="7"/>
        <v>0</v>
      </c>
      <c r="L24" s="61">
        <f t="shared" si="7"/>
        <v>-13003251</v>
      </c>
      <c r="M24" s="39">
        <f t="shared" si="7"/>
        <v>-22840310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914166</v>
      </c>
      <c r="E27" s="65">
        <v>1586850</v>
      </c>
      <c r="F27" s="65">
        <f>H27-D27</f>
        <v>0</v>
      </c>
      <c r="G27" s="63">
        <f>I27-E27</f>
        <v>0</v>
      </c>
      <c r="H27" s="65">
        <f>D27</f>
        <v>914166</v>
      </c>
      <c r="I27" s="66">
        <f>E27</f>
        <v>1586850</v>
      </c>
      <c r="J27" s="60"/>
      <c r="K27" s="38"/>
      <c r="L27" s="60">
        <f>H27+J27</f>
        <v>914166</v>
      </c>
      <c r="M27" s="38">
        <f>I27+K27</f>
        <v>1586850</v>
      </c>
    </row>
    <row r="28" spans="1:13" x14ac:dyDescent="0.2">
      <c r="A28" s="9">
        <v>12</v>
      </c>
      <c r="B28" s="7"/>
      <c r="C28" s="18" t="s">
        <v>40</v>
      </c>
      <c r="D28" s="65">
        <v>-624569</v>
      </c>
      <c r="E28" s="65">
        <v>-1133654</v>
      </c>
      <c r="F28" s="65">
        <f>H28-D28</f>
        <v>0</v>
      </c>
      <c r="G28" s="63">
        <f>I28-E28</f>
        <v>0</v>
      </c>
      <c r="H28" s="65">
        <f>D28</f>
        <v>-624569</v>
      </c>
      <c r="I28" s="66">
        <f>E28</f>
        <v>-1133654</v>
      </c>
      <c r="J28" s="60"/>
      <c r="K28" s="38"/>
      <c r="L28" s="60">
        <f>H28+J28</f>
        <v>-624569</v>
      </c>
      <c r="M28" s="38">
        <f>I28+K28</f>
        <v>-1133654</v>
      </c>
    </row>
    <row r="29" spans="1:13" x14ac:dyDescent="0.2">
      <c r="A29" s="9"/>
      <c r="B29" s="7" t="s">
        <v>41</v>
      </c>
      <c r="C29" s="6"/>
      <c r="D29" s="61">
        <v>289597</v>
      </c>
      <c r="E29" s="39">
        <v>453196</v>
      </c>
      <c r="F29" s="61">
        <f t="shared" ref="F29:M29" si="8">SUM(F27:F28)</f>
        <v>0</v>
      </c>
      <c r="G29" s="39">
        <f t="shared" si="8"/>
        <v>0</v>
      </c>
      <c r="H29" s="61">
        <f>SUM(H27:H28)</f>
        <v>289597</v>
      </c>
      <c r="I29" s="39">
        <f>SUM(I27:I28)</f>
        <v>453196</v>
      </c>
      <c r="J29" s="61">
        <f t="shared" si="8"/>
        <v>0</v>
      </c>
      <c r="K29" s="39">
        <f t="shared" si="8"/>
        <v>0</v>
      </c>
      <c r="L29" s="61">
        <f t="shared" si="8"/>
        <v>289597</v>
      </c>
      <c r="M29" s="39">
        <f t="shared" si="8"/>
        <v>453196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882877</v>
      </c>
      <c r="E39" s="65">
        <v>1447917</v>
      </c>
      <c r="F39" s="65">
        <f t="shared" ref="F39:G41" si="13">H39-D39</f>
        <v>0</v>
      </c>
      <c r="G39" s="63">
        <f t="shared" si="13"/>
        <v>0</v>
      </c>
      <c r="H39" s="65">
        <f t="shared" si="12"/>
        <v>882877</v>
      </c>
      <c r="I39" s="66">
        <f t="shared" si="12"/>
        <v>1447917</v>
      </c>
      <c r="J39" s="60"/>
      <c r="K39" s="38"/>
      <c r="L39" s="60">
        <f t="shared" ref="L39:M41" si="14">H39+J39</f>
        <v>882877</v>
      </c>
      <c r="M39" s="38">
        <f t="shared" si="14"/>
        <v>1447917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-625025</v>
      </c>
      <c r="E40" s="65">
        <v>-1025040</v>
      </c>
      <c r="F40" s="65">
        <f t="shared" si="13"/>
        <v>0</v>
      </c>
      <c r="G40" s="63">
        <f t="shared" si="13"/>
        <v>0</v>
      </c>
      <c r="H40" s="65">
        <f t="shared" si="12"/>
        <v>-625025</v>
      </c>
      <c r="I40" s="66">
        <f t="shared" si="12"/>
        <v>-1025040</v>
      </c>
      <c r="J40" s="60"/>
      <c r="K40" s="38"/>
      <c r="L40" s="60">
        <f t="shared" si="14"/>
        <v>-625025</v>
      </c>
      <c r="M40" s="38">
        <f t="shared" si="14"/>
        <v>-1025040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-625025</v>
      </c>
      <c r="E42" s="39">
        <v>-1025040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-625025</v>
      </c>
      <c r="I42" s="39">
        <f>SUM(I40:I41)</f>
        <v>-1025040</v>
      </c>
      <c r="J42" s="61">
        <f t="shared" si="15"/>
        <v>0</v>
      </c>
      <c r="K42" s="39">
        <f t="shared" si="15"/>
        <v>0</v>
      </c>
      <c r="L42" s="61">
        <f t="shared" si="15"/>
        <v>-625025</v>
      </c>
      <c r="M42" s="39">
        <f t="shared" si="15"/>
        <v>-1025040</v>
      </c>
    </row>
    <row r="43" spans="1:13" ht="21" customHeight="1" x14ac:dyDescent="0.2">
      <c r="A43" s="9"/>
      <c r="B43" s="7" t="s">
        <v>53</v>
      </c>
      <c r="C43" s="6"/>
      <c r="D43" s="61">
        <v>257852</v>
      </c>
      <c r="E43" s="39">
        <v>422877</v>
      </c>
      <c r="F43" s="61">
        <f t="shared" ref="F43:M43" si="16">F42+F39</f>
        <v>0</v>
      </c>
      <c r="G43" s="39">
        <f t="shared" si="16"/>
        <v>0</v>
      </c>
      <c r="H43" s="61">
        <f>H42+H39</f>
        <v>257852</v>
      </c>
      <c r="I43" s="39">
        <f>I42+I39</f>
        <v>422877</v>
      </c>
      <c r="J43" s="61">
        <f t="shared" si="16"/>
        <v>0</v>
      </c>
      <c r="K43" s="39">
        <f t="shared" si="16"/>
        <v>0</v>
      </c>
      <c r="L43" s="61">
        <f t="shared" si="16"/>
        <v>257852</v>
      </c>
      <c r="M43" s="39">
        <f t="shared" si="16"/>
        <v>422877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-397698</v>
      </c>
      <c r="E49" s="65">
        <v>-697548.72748507408</v>
      </c>
      <c r="F49" s="65">
        <f>H49-D49</f>
        <v>0</v>
      </c>
      <c r="G49" s="63">
        <f>I49-E49</f>
        <v>0</v>
      </c>
      <c r="H49" s="65">
        <f>D49</f>
        <v>-397698</v>
      </c>
      <c r="I49" s="66">
        <f>E49</f>
        <v>-697548.72748507408</v>
      </c>
      <c r="J49" s="60"/>
      <c r="K49" s="38"/>
      <c r="L49" s="60">
        <f>H49+J49</f>
        <v>-397698</v>
      </c>
      <c r="M49" s="38">
        <f>I49+K49</f>
        <v>-697548.72748507408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123381.24799999999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123381.24799999999</v>
      </c>
      <c r="J60" s="60"/>
      <c r="K60" s="38"/>
      <c r="L60" s="60">
        <f>H60+J60</f>
        <v>0</v>
      </c>
      <c r="M60" s="38">
        <f>I60+K60</f>
        <v>123381.24799999999</v>
      </c>
    </row>
    <row r="61" spans="1:15" x14ac:dyDescent="0.2">
      <c r="A61" s="9"/>
      <c r="B61" s="62" t="s">
        <v>65</v>
      </c>
      <c r="C61" s="6"/>
      <c r="D61" s="61">
        <v>0</v>
      </c>
      <c r="E61" s="39">
        <v>123381.24799999999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123381.24799999999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123381.24799999999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82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-60000</v>
      </c>
      <c r="E82" s="74">
        <f>SUM(E72:E81)+E16+E24+E29+E36+E43+E45+E47+E49+E51+E56+E61+E66</f>
        <v>-3554506.9594850745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61">
        <f>SUM(I72:I81)+I16+I24+I29+I36+I43+I45+I47+I49+I51+I56+I61+I66</f>
        <v>-3554506.9594850745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-3554506.9594850745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30</vt:i4>
      </vt:variant>
    </vt:vector>
  </HeadingPairs>
  <TitlesOfParts>
    <vt:vector size="75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ONT_FLSH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ONT_GL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ONT_VAR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ONT_FLSH!Print_Area</vt:lpstr>
      <vt:lpstr>'ONT_GL '!Print_Area</vt:lpstr>
      <vt:lpstr>ONT_VAR!Print_Area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1999-06-17T20:55:08Z</cp:lastPrinted>
  <dcterms:created xsi:type="dcterms:W3CDTF">1997-07-11T21:57:33Z</dcterms:created>
  <dcterms:modified xsi:type="dcterms:W3CDTF">2023-09-15T14:51:28Z</dcterms:modified>
</cp:coreProperties>
</file>