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FFB7F2A-6549-478B-BCD8-5C32BBDD3771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9">Actuals!$D$636:$I$651</definedName>
    <definedName name="_xlnm.Print_Area" localSheetId="13">'BGC-EGM-FLSH'!$A$1:$M$82</definedName>
    <definedName name="_xlnm.Print_Area" localSheetId="49">'BGC-EGM-VAR'!$A$1:$I$82</definedName>
    <definedName name="_xlnm.Print_Area" localSheetId="58">BUG_VAR!$A$1:$I$82</definedName>
    <definedName name="_xlnm.Print_Area" localSheetId="41">'CE-VAR'!$A$1:$I$82</definedName>
    <definedName name="_xlnm.Print_Area" localSheetId="2">Check!$A$1:$H$32</definedName>
    <definedName name="_xlnm.Print_Area" localSheetId="12">'EAST-CON-FLSH'!$A$1:$M$82</definedName>
    <definedName name="_xlnm.Print_Area" localSheetId="48">'EAST-CON-VAR'!$A$1:$I$82</definedName>
    <definedName name="_xlnm.Print_Area" localSheetId="9">'EAST-EGM-FLSH'!$A$1:$M$82</definedName>
    <definedName name="_xlnm.Print_Area" localSheetId="45">'EAST-EGM-VAR'!$A$1:$I$82</definedName>
    <definedName name="_xlnm.Print_Area" localSheetId="11">'EAST-LRC-FLSH'!$A$1:$M$82</definedName>
    <definedName name="_xlnm.Print_Area" localSheetId="47">'EAST-LRC-VAR'!$A$1:$I$82</definedName>
    <definedName name="_xlnm.Print_Area" localSheetId="57">ONT_VAR!$A$1:$I$82</definedName>
    <definedName name="_xlnm.Print_Area" localSheetId="3">RECLASS!$A$1:$AI$82</definedName>
    <definedName name="_xlnm.Print_Area" localSheetId="56">STG_VAR!$A$1:$I$82</definedName>
    <definedName name="_xlnm.Print_Area" localSheetId="4">'TIE-OUT'!$A$1:$AI$95</definedName>
    <definedName name="_xlnm.Print_Area" localSheetId="1">TOTAL!$A$1:$I$82</definedName>
    <definedName name="_xlnm.Print_Area" localSheetId="17">'TX-CON-FLSH'!$A$1:$M$82</definedName>
    <definedName name="_xlnm.Print_Area" localSheetId="53">'TX-CON-VAR'!$A$1:$I$82</definedName>
    <definedName name="_xlnm.Print_Area" localSheetId="14">'TX-EGM-FLSH'!$A$1:$M$82</definedName>
    <definedName name="_xlnm.Print_Area" localSheetId="50">'TX-EGM-VAR'!$A$1:$I$82</definedName>
    <definedName name="_xlnm.Print_Area" localSheetId="15">'TX-HPLR-FLSH'!$A$1:$M$82</definedName>
    <definedName name="_xlnm.Print_Area" localSheetId="51">'TX-HPLR-VAR '!$A$1:$I$82</definedName>
    <definedName name="_xlnm.Print_Area" localSheetId="18">'WE-FLSH'!$A$1:$M$82</definedName>
    <definedName name="_xlnm.Print_Area" localSheetId="54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H11" i="48"/>
  <c r="I11" i="48"/>
  <c r="J11" i="48"/>
  <c r="L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L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L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L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L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L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K35" i="20"/>
  <c r="L35" i="20"/>
  <c r="M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L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L74" i="20"/>
  <c r="N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H33" i="4"/>
  <c r="B34" i="4"/>
  <c r="C34" i="4"/>
  <c r="D34" i="4"/>
  <c r="E34" i="4"/>
  <c r="F34" i="4"/>
  <c r="G34" i="4"/>
  <c r="H87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L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L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N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L15" i="21"/>
  <c r="N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K35" i="21"/>
  <c r="N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N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L40" i="21"/>
  <c r="M40" i="21"/>
  <c r="N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L55" i="21"/>
  <c r="N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J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H11" i="59"/>
  <c r="I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H19" i="59"/>
  <c r="I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H54" i="59"/>
  <c r="I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I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E84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62"/>
  <c r="D11" i="62"/>
  <c r="E11" i="62"/>
  <c r="F11" i="62"/>
  <c r="G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K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L49" i="62"/>
  <c r="M49" i="62"/>
  <c r="N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M80" i="62"/>
  <c r="N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I81" i="62"/>
  <c r="L81" i="62"/>
  <c r="M81" i="62"/>
  <c r="N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N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N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L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H11" i="54"/>
  <c r="I11" i="54"/>
  <c r="L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L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L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I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I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E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L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M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O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N91" i="46"/>
  <c r="O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L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M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K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M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M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N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779 per j. valdes
</t>
        </r>
      </text>
    </comment>
    <comment ref="N3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109 per j. valdes
</t>
        </r>
      </text>
    </comment>
    <comment ref="N4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312 per j. valdes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for cannon</t>
        </r>
      </text>
    </comment>
    <comment ref="O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Should be transport book will be reversed in October
</t>
        </r>
      </text>
    </comment>
    <comment ref="O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frank</t>
        </r>
      </text>
    </comment>
    <comment ref="O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234 is liquidation pma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O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1740 is liq pma</t>
        </r>
      </text>
    </comment>
    <comment ref="O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443793 is qualitech liquidation
</t>
        </r>
      </text>
    </comment>
    <comment ref="O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frank
</t>
        </r>
      </text>
    </comment>
    <comment ref="O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<sst xmlns="http://schemas.openxmlformats.org/spreadsheetml/2006/main" count="7134" uniqueCount="235">
  <si>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</si>
  <si>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</si>
  <si>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</si>
  <si>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</si>
  <si>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</si>
  <si>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</si>
  <si>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</si>
  <si>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</si>
  <si>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</si>
  <si>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</si>
  <si>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</si>
  <si>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</si>
  <si>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</si>
  <si>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</si>
  <si>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</si>
  <si>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</si>
  <si>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</si>
  <si>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</si>
  <si>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</si>
  <si>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</si>
  <si>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</si>
  <si>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</si>
  <si>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</si>
  <si>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</si>
  <si>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</si>
  <si>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</si>
  <si>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</si>
  <si>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</si>
  <si>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</si>
  <si>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</si>
  <si>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</si>
  <si>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</si>
  <si>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</si>
  <si>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</si>
  <si>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</si>
  <si>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</si>
  <si>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</si>
  <si>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</si>
  <si>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</si>
  <si>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</si>
  <si>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</si>
  <si>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</si>
  <si>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</si>
  <si>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</si>
  <si>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</si>
  <si>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</si>
  <si>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</si>
  <si>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</si>
  <si>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</si>
  <si>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</si>
  <si>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</si>
  <si>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</si>
  <si>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</si>
  <si>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</si>
  <si>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</si>
  <si>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</si>
  <si>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</si>
  <si>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</si>
  <si>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</si>
  <si>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</si>
  <si>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</si>
  <si>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</si>
  <si>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</si>
  <si>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</si>
  <si>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</si>
  <si>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</si>
  <si>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</si>
  <si>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</si>
  <si>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</si>
  <si>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</si>
  <si>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</si>
  <si>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</si>
  <si>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</si>
  <si>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</si>
  <si>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</si>
  <si>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</si>
  <si>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</si>
  <si>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</si>
  <si>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</si>
  <si>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</si>
  <si>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</si>
  <si>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</si>
  <si>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</si>
  <si>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</si>
  <si>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</si>
  <si>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</si>
  <si>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</si>
  <si>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</si>
  <si>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</si>
  <si>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</si>
  <si>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</si>
  <si>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</si>
  <si>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</si>
  <si>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</si>
  <si>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</si>
  <si>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</si>
  <si>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</si>
  <si>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</si>
  <si>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</si>
  <si>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</si>
  <si>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</si>
  <si>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</si>
  <si>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</si>
  <si>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</si>
  <si>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</si>
  <si>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</si>
  <si>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</si>
  <si>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</si>
  <si>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</si>
  <si>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</si>
  <si>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</si>
  <si>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</si>
  <si>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</si>
  <si>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</si>
  <si>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</si>
  <si>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</si>
  <si>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</si>
  <si>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</si>
  <si>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</si>
  <si>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</si>
  <si>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</si>
  <si>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</si>
  <si>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</si>
  <si>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</si>
  <si>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</si>
  <si>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</si>
  <si>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</si>
  <si>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</si>
  <si>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</si>
  <si>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</si>
  <si>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</si>
  <si>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</si>
  <si>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</si>
  <si>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</si>
  <si>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</si>
  <si>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</si>
  <si>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</si>
  <si>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</si>
  <si>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</si>
  <si>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</si>
  <si>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</si>
  <si>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</si>
  <si>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</si>
  <si>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</si>
  <si>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</si>
  <si>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</si>
  <si>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</si>
  <si>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</si>
  <si>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</si>
  <si>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</si>
  <si>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</si>
  <si>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</si>
  <si>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</si>
  <si>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</si>
  <si>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</si>
  <si>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</si>
  <si>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</si>
  <si>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</si>
  <si>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</si>
  <si>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</si>
  <si>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</si>
  <si>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</si>
  <si>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</si>
  <si>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</si>
  <si>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</si>
  <si>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</si>
  <si>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</si>
  <si>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</si>
  <si>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</si>
  <si>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</si>
  <si>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</si>
  <si>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</si>
  <si>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</si>
  <si>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</si>
  <si>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</si>
  <si>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</si>
  <si>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</si>
  <si>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</si>
  <si>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</si>
  <si>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</si>
  <si>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</si>
  <si>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</si>
  <si>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</si>
  <si>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</si>
  <si>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</si>
  <si>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</si>
  <si>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</si>
  <si>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</si>
  <si>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</si>
  <si>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</si>
  <si>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</si>
  <si>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</si>
  <si>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</si>
  <si>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</si>
  <si>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</si>
  <si>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</si>
  <si>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</si>
  <si>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</si>
  <si>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</si>
  <si>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</si>
  <si>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</si>
  <si>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</si>
  <si>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</si>
  <si>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</si>
  <si>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</si>
  <si>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</si>
  <si>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</si>
  <si>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</si>
  <si>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</si>
  <si>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</si>
  <si>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</si>
  <si>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</si>
  <si>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</si>
  <si>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</si>
  <si>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</si>
  <si>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</si>
  <si>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</si>
  <si>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</si>
  <si>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</si>
  <si>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</si>
  <si>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</si>
  <si>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</si>
  <si>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</si>
  <si>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</si>
  <si>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</si>
  <si>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June</t>
  </si>
  <si>
    <t>PRODUCTION MONTH: 0006</t>
  </si>
  <si>
    <t>July</t>
  </si>
  <si>
    <t>Chicago</t>
  </si>
  <si>
    <t>0006V</t>
  </si>
  <si>
    <t>0006A</t>
  </si>
  <si>
    <t>PMAs</t>
  </si>
  <si>
    <t>Originations/Rho Drift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</si>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</sst>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0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27" fillId="0" borderId="1" xfId="1" applyNumberFormat="1" applyFont="1" applyFill="1" applyBorder="1"/>
    <xf numFmtId="43" fontId="4" fillId="0" borderId="0" xfId="1" applyAlignment="1"/>
    <xf numFmtId="165" fontId="16" fillId="5" borderId="23" xfId="1" applyNumberFormat="1" applyFont="1" applyFill="1" applyBorder="1" applyAlignment="1"/>
    <xf numFmtId="165" fontId="26" fillId="0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729322A-0173-F85A-B3B8-DF494DDCE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02E1423-6611-CF0C-B42D-DBBA13219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FC589E3-AC0C-176B-DAA3-16265E24F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90BE24C-0E80-29D0-49E1-23D9C3064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98D8097-E0A3-2C41-1C4D-4D375A2CD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D2D06A6-D1EF-2D5C-316A-A56140576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B0D3E79E-90C0-5906-CBB5-81285FFF4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6D349BDE-CE8E-0B7A-01AA-7F9758832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FE6605E0-1183-A2F3-4DD6-4F405CFBB3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4A2DCE92-6A04-2212-BF56-3BAEFB1F4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73168756-EE4D-316D-64DC-0FA90EF15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3">
          <cell r="G63">
            <v>-16940278.349999994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0">
          <cell r="B10">
            <v>3097000</v>
          </cell>
          <cell r="C10">
            <v>-8949000</v>
          </cell>
          <cell r="D10">
            <v>0</v>
          </cell>
          <cell r="E10">
            <v>-43000</v>
          </cell>
          <cell r="F10">
            <v>-260000</v>
          </cell>
          <cell r="G10">
            <v>-593000</v>
          </cell>
          <cell r="H10">
            <v>-5147000</v>
          </cell>
          <cell r="I10">
            <v>6002000</v>
          </cell>
          <cell r="J10">
            <v>-413000</v>
          </cell>
          <cell r="K10">
            <v>-628000</v>
          </cell>
          <cell r="L10">
            <v>7478000</v>
          </cell>
          <cell r="M10">
            <v>241000</v>
          </cell>
          <cell r="N10">
            <v>-38000</v>
          </cell>
          <cell r="O10">
            <v>-2762000</v>
          </cell>
          <cell r="P10">
            <v>-53000</v>
          </cell>
          <cell r="Q10">
            <v>1595000</v>
          </cell>
          <cell r="R10">
            <v>55000</v>
          </cell>
          <cell r="S10">
            <v>222000</v>
          </cell>
          <cell r="T10">
            <v>689000</v>
          </cell>
          <cell r="V10">
            <v>493000</v>
          </cell>
        </row>
        <row r="27">
          <cell r="V27">
            <v>121436</v>
          </cell>
        </row>
        <row r="44">
          <cell r="B44">
            <v>2774911</v>
          </cell>
          <cell r="C44">
            <v>-9762457</v>
          </cell>
          <cell r="D44">
            <v>0</v>
          </cell>
          <cell r="E44">
            <v>-43000</v>
          </cell>
          <cell r="F44">
            <v>156409</v>
          </cell>
          <cell r="G44">
            <v>61237</v>
          </cell>
          <cell r="H44">
            <v>-5111795</v>
          </cell>
          <cell r="I44">
            <v>6002000</v>
          </cell>
          <cell r="J44">
            <v>-413000</v>
          </cell>
          <cell r="K44">
            <v>-628000</v>
          </cell>
          <cell r="L44">
            <v>7373830</v>
          </cell>
          <cell r="M44">
            <v>-660622</v>
          </cell>
          <cell r="N44">
            <v>57394</v>
          </cell>
          <cell r="O44">
            <v>-2655411</v>
          </cell>
          <cell r="P44">
            <v>-53000</v>
          </cell>
          <cell r="Q44">
            <v>2593722</v>
          </cell>
          <cell r="R44">
            <v>55000</v>
          </cell>
          <cell r="S44">
            <v>178218</v>
          </cell>
          <cell r="T44">
            <v>689000</v>
          </cell>
          <cell r="V44">
            <v>614436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8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71" activePane="bottomRight" state="frozen"/>
      <selection pane="topRight"/>
      <selection pane="bottomLeft"/>
      <selection pane="bottomRight" activeCell="C5" sqref="C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515923340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2232893459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513707216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2166672841.8099999</v>
      </c>
      <c r="H11" s="60">
        <f>F11-D11</f>
        <v>-2216124</v>
      </c>
      <c r="I11" s="38">
        <f>G11-E11</f>
        <v>-66220617.190000057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-1405797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86180093.650000006</v>
      </c>
      <c r="H12" s="60">
        <f>F12-D12</f>
        <v>0</v>
      </c>
      <c r="I12" s="38">
        <f>G12-E12</f>
        <v>87585890.650000006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209834435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907429013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222275564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948352225</v>
      </c>
      <c r="H13" s="60">
        <f t="shared" ref="H13:I15" si="0">F13-D13</f>
        <v>12441129</v>
      </c>
      <c r="I13" s="38">
        <f t="shared" si="0"/>
        <v>40923212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30520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-30520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1651248.09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-450000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9815821.1600000001</v>
      </c>
      <c r="H15" s="60">
        <f t="shared" si="0"/>
        <v>-450000</v>
      </c>
      <c r="I15" s="38">
        <f t="shared" si="0"/>
        <v>8164573.0700000003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725757775</v>
      </c>
      <c r="E16" s="39">
        <f t="shared" si="1"/>
        <v>3140598443.0900002</v>
      </c>
      <c r="F16" s="61">
        <f t="shared" si="1"/>
        <v>735532780</v>
      </c>
      <c r="G16" s="39">
        <f t="shared" si="1"/>
        <v>3211020981.6199999</v>
      </c>
      <c r="H16" s="61">
        <f t="shared" si="1"/>
        <v>9775005</v>
      </c>
      <c r="I16" s="39">
        <f t="shared" si="1"/>
        <v>70422538.529999942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-519856353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-2236443182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-522479894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-2189957097.96</v>
      </c>
      <c r="H19" s="60">
        <f>F19-D19</f>
        <v>-2623541</v>
      </c>
      <c r="I19" s="38">
        <f>G19-E19</f>
        <v>46486084.039999962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-94732601.530000016</v>
      </c>
      <c r="H20" s="60">
        <f>F20-D20</f>
        <v>0</v>
      </c>
      <c r="I20" s="38">
        <f>G20-E20</f>
        <v>-94732601.530000016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-211065490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-911472679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-222275564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-949718683</v>
      </c>
      <c r="H21" s="60">
        <f t="shared" ref="H21:I23" si="2">F21-D21</f>
        <v>-11210074</v>
      </c>
      <c r="I21" s="38">
        <f t="shared" si="2"/>
        <v>-38246004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1303202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5435274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1572234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6657780.4060000004</v>
      </c>
      <c r="H23" s="60">
        <f t="shared" si="2"/>
        <v>269032</v>
      </c>
      <c r="I23" s="38">
        <f t="shared" si="2"/>
        <v>1222506.4060000004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-729618641</v>
      </c>
      <c r="E24" s="39">
        <f t="shared" si="3"/>
        <v>-3142480587</v>
      </c>
      <c r="F24" s="61">
        <f t="shared" si="3"/>
        <v>-743183224</v>
      </c>
      <c r="G24" s="39">
        <f t="shared" si="3"/>
        <v>-3227750602.0840001</v>
      </c>
      <c r="H24" s="61">
        <f t="shared" si="3"/>
        <v>-13564583</v>
      </c>
      <c r="I24" s="39">
        <f t="shared" si="3"/>
        <v>-85270015.084000051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108077633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462961002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35503908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150828580.19999999</v>
      </c>
      <c r="H27" s="60">
        <f>F27-D27</f>
        <v>-72573725</v>
      </c>
      <c r="I27" s="38">
        <f>G27-E27</f>
        <v>-312132421.80000001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-106267038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-455261050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-35555231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-152289370.854</v>
      </c>
      <c r="H28" s="60">
        <f>F28-D28</f>
        <v>70711807</v>
      </c>
      <c r="I28" s="38">
        <f>G28-E28</f>
        <v>302971679.14600003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1810595</v>
      </c>
      <c r="E29" s="70">
        <f t="shared" si="4"/>
        <v>7699952</v>
      </c>
      <c r="F29" s="69">
        <f t="shared" si="4"/>
        <v>-51323</v>
      </c>
      <c r="G29" s="70">
        <f t="shared" si="4"/>
        <v>-1460790.6540000141</v>
      </c>
      <c r="H29" s="69">
        <f t="shared" si="4"/>
        <v>-1861918</v>
      </c>
      <c r="I29" s="70">
        <f t="shared" si="4"/>
        <v>-9160742.6539999843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773903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1356195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940363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4354889.0560000017</v>
      </c>
      <c r="H32" s="60">
        <f>F32-D32</f>
        <v>166460</v>
      </c>
      <c r="I32" s="38">
        <f>G32-E32</f>
        <v>2998694.0560000017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141561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2866687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-629717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-2492306.41</v>
      </c>
      <c r="H33" s="60">
        <f t="shared" ref="H33:I35" si="5">F33-D33</f>
        <v>-771278</v>
      </c>
      <c r="I33" s="38">
        <f t="shared" si="5"/>
        <v>-5358993.41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-624629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-2675858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626151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2371886.6300000004</v>
      </c>
      <c r="H34" s="60">
        <f t="shared" si="5"/>
        <v>1250780</v>
      </c>
      <c r="I34" s="38">
        <f t="shared" si="5"/>
        <v>5047744.6300000008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772772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3764489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751673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2336596.38</v>
      </c>
      <c r="H35" s="60">
        <f t="shared" si="5"/>
        <v>-21099</v>
      </c>
      <c r="I35" s="38">
        <f t="shared" si="5"/>
        <v>-1427892.62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1063607</v>
      </c>
      <c r="E36" s="39">
        <f t="shared" si="6"/>
        <v>5311513</v>
      </c>
      <c r="F36" s="61">
        <f t="shared" si="6"/>
        <v>1688470</v>
      </c>
      <c r="G36" s="39">
        <f t="shared" si="6"/>
        <v>6571065.6560000023</v>
      </c>
      <c r="H36" s="61">
        <f t="shared" si="6"/>
        <v>624863</v>
      </c>
      <c r="I36" s="39">
        <f t="shared" si="6"/>
        <v>1259552.6560000023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5754095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20535891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2889035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11097951.029999999</v>
      </c>
      <c r="H39" s="60">
        <f t="shared" ref="H39:I41" si="7">F39-D39</f>
        <v>-2865060</v>
      </c>
      <c r="I39" s="38">
        <f t="shared" si="7"/>
        <v>-9437939.9700000007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-4777103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-16366366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-1336101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-5758237.7999999998</v>
      </c>
      <c r="H40" s="60">
        <f t="shared" si="7"/>
        <v>3441002</v>
      </c>
      <c r="I40" s="38">
        <f t="shared" si="7"/>
        <v>10608128.199999999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-4777103</v>
      </c>
      <c r="E42" s="70">
        <f t="shared" si="8"/>
        <v>-16366366</v>
      </c>
      <c r="F42" s="69">
        <f t="shared" si="8"/>
        <v>-1336101</v>
      </c>
      <c r="G42" s="70">
        <f t="shared" si="8"/>
        <v>-5758237.7999999998</v>
      </c>
      <c r="H42" s="69">
        <f t="shared" si="8"/>
        <v>3441002</v>
      </c>
      <c r="I42" s="70">
        <f t="shared" si="8"/>
        <v>10608128.199999999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976992</v>
      </c>
      <c r="E43" s="39">
        <f t="shared" si="9"/>
        <v>4169525</v>
      </c>
      <c r="F43" s="61">
        <f t="shared" si="9"/>
        <v>1552934</v>
      </c>
      <c r="G43" s="39">
        <f t="shared" si="9"/>
        <v>5339713.2299999995</v>
      </c>
      <c r="H43" s="61">
        <f t="shared" si="9"/>
        <v>575942</v>
      </c>
      <c r="I43" s="39">
        <f t="shared" si="9"/>
        <v>1170188.2299999986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9686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-1298237.2187561318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4734128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19994145.306000009</v>
      </c>
      <c r="H49" s="60">
        <f>F49-D49</f>
        <v>4724442</v>
      </c>
      <c r="I49" s="38">
        <f>G49-E49</f>
        <v>21292382.524756141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-1285448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-5360472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-1435857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-6163051.6660000002</v>
      </c>
      <c r="H51" s="60">
        <f>F51-D51</f>
        <v>-150409</v>
      </c>
      <c r="I51" s="38">
        <f>G51-E51</f>
        <v>-802579.6660000002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-5149754.8365999991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-370513536.64999998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3245131.169999999</v>
      </c>
      <c r="H54" s="60">
        <f>F54-D54</f>
        <v>-370513536.64999998</v>
      </c>
      <c r="I54" s="38">
        <f>G54-E54</f>
        <v>8394886.0065999981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-7508388.6299999999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23344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-23435660.449999999</v>
      </c>
      <c r="H55" s="60">
        <f>F55-D55</f>
        <v>23344</v>
      </c>
      <c r="I55" s="38">
        <f>G55-E55</f>
        <v>-15927271.82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-12658143.466599999</v>
      </c>
      <c r="F56" s="61">
        <f t="shared" si="10"/>
        <v>-370490192.64999998</v>
      </c>
      <c r="G56" s="39">
        <f t="shared" si="10"/>
        <v>-20190529.280000001</v>
      </c>
      <c r="H56" s="61">
        <f t="shared" si="10"/>
        <v>-370490192.64999998</v>
      </c>
      <c r="I56" s="39">
        <f t="shared" si="10"/>
        <v>-7532385.8134000022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48847.92</v>
      </c>
      <c r="H59" s="60">
        <f>F59-D59</f>
        <v>0</v>
      </c>
      <c r="I59" s="38">
        <f>G59-E59</f>
        <v>48847.92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2162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-2162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2162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46685.919999999998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213250992.5667983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198986442.61000004</v>
      </c>
      <c r="H70" s="60">
        <f>F70-D70</f>
        <v>0</v>
      </c>
      <c r="I70" s="38">
        <f>G70-E70</f>
        <v>-14264549.956798255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-245318231.66940001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-247240142</v>
      </c>
      <c r="H71" s="60">
        <f>F71-D71</f>
        <v>0</v>
      </c>
      <c r="I71" s="38">
        <f>G71-E71</f>
        <v>-1921910.3305999935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-32067239.102601707</v>
      </c>
      <c r="F72" s="69">
        <f t="shared" si="13"/>
        <v>0</v>
      </c>
      <c r="G72" s="70">
        <f t="shared" si="13"/>
        <v>-48253699.389999956</v>
      </c>
      <c r="H72" s="69">
        <f t="shared" si="13"/>
        <v>0</v>
      </c>
      <c r="I72" s="70">
        <f t="shared" si="13"/>
        <v>-16186460.287398249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-39048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39048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47002315.645100005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47396531.699999996</v>
      </c>
      <c r="H74" s="60">
        <f t="shared" ref="H74:I79" si="14">F74-D74</f>
        <v>0</v>
      </c>
      <c r="I74" s="38">
        <f t="shared" si="14"/>
        <v>394216.05489999056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-1377285.48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-1377286</v>
      </c>
      <c r="H75" s="60">
        <f t="shared" si="14"/>
        <v>0</v>
      </c>
      <c r="I75" s="38">
        <f t="shared" si="14"/>
        <v>-0.52000000001862645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-43198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-58598.62</v>
      </c>
      <c r="H76" s="60">
        <f t="shared" si="14"/>
        <v>0</v>
      </c>
      <c r="I76" s="38">
        <f t="shared" si="14"/>
        <v>-15400.620000000003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-564878</v>
      </c>
      <c r="H77" s="60">
        <f t="shared" si="14"/>
        <v>0</v>
      </c>
      <c r="I77" s="38">
        <f t="shared" si="14"/>
        <v>-104151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23733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-23733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912777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0</v>
      </c>
      <c r="H79" s="60">
        <f t="shared" si="14"/>
        <v>0</v>
      </c>
      <c r="I79" s="38">
        <f t="shared" si="14"/>
        <v>-912777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-66750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-3941158.33</v>
      </c>
      <c r="H80" s="60">
        <f>F80-D80</f>
        <v>0</v>
      </c>
      <c r="I80" s="38">
        <f>G80-E80</f>
        <v>-3874408.33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-8545340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3730254.3200000003</v>
      </c>
      <c r="H81" s="60">
        <f>F81-D81</f>
        <v>0</v>
      </c>
      <c r="I81" s="38">
        <f>G81-E81</f>
        <v>12275594.32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14</v>
      </c>
      <c r="E82" s="92">
        <f>SUM(E72:E81)+E16+E24+E29+E36+E43+E45+E47+E49+E51+E56+E61+E66</f>
        <v>1323393.4671421144</v>
      </c>
      <c r="F82" s="91">
        <f>F16+F24+F29+F36+F43+F45+F47+F49</f>
        <v>273765</v>
      </c>
      <c r="G82" s="92">
        <f>SUM(G72:G81)+G16+G24+G29+G36+G43+G45+G47+G49+G51+G56+G61+G66</f>
        <v>-15659054.2720004</v>
      </c>
      <c r="H82" s="91">
        <f>H16+H24+H29+H36+H43+H45+H47+H49</f>
        <v>273751</v>
      </c>
      <c r="I82" s="92">
        <f>SUM(I72:I81)+I16+I24+I29+I36+I43+I45+I47+I49+I51+I56+I61+I66</f>
        <v>-16982447.739142209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16800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-1023574.5800000001</v>
      </c>
      <c r="H86" s="145">
        <f t="shared" ref="H86:I88" si="15">F86-D86</f>
        <v>0</v>
      </c>
      <c r="I86" s="145">
        <f t="shared" si="15"/>
        <v>-1040374.5800000001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0</v>
      </c>
      <c r="H87" s="146">
        <f t="shared" si="15"/>
        <v>0</v>
      </c>
      <c r="I87" s="146">
        <f t="shared" si="15"/>
        <v>0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-686167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354575</v>
      </c>
      <c r="H88" s="147">
        <f t="shared" si="15"/>
        <v>0</v>
      </c>
      <c r="I88" s="147">
        <f t="shared" si="15"/>
        <v>1040742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-669367</v>
      </c>
      <c r="F89" s="160">
        <f t="shared" si="16"/>
        <v>0</v>
      </c>
      <c r="G89" s="160">
        <f t="shared" si="16"/>
        <v>-668999.58000000007</v>
      </c>
      <c r="H89" s="160">
        <f t="shared" si="16"/>
        <v>0</v>
      </c>
      <c r="I89" s="160">
        <f t="shared" si="16"/>
        <v>367.41999999992549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14</v>
      </c>
      <c r="E91" s="160">
        <f t="shared" si="17"/>
        <v>654026.46714211442</v>
      </c>
      <c r="F91" s="160">
        <f t="shared" si="17"/>
        <v>273765</v>
      </c>
      <c r="G91" s="160">
        <f t="shared" si="17"/>
        <v>-16328053.8520004</v>
      </c>
      <c r="H91" s="160">
        <f t="shared" si="17"/>
        <v>273751</v>
      </c>
      <c r="I91" s="160">
        <f t="shared" si="17"/>
        <v>-16982080.319142208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G16" sqref="G16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226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3097542.0757000144</v>
      </c>
      <c r="C11" s="65">
        <f t="shared" ref="C11:C29" si="0">+D11-B11</f>
        <v>-542.07570001436397</v>
      </c>
      <c r="D11" s="124">
        <f>+'[2]ST Warroom 99'!$B$10</f>
        <v>3097000</v>
      </c>
      <c r="E11" s="124">
        <f>+F11-D11</f>
        <v>-322089</v>
      </c>
      <c r="F11" s="124">
        <f>+'[2]ST Warroom 99'!$B$44</f>
        <v>2774911</v>
      </c>
      <c r="G11" s="168">
        <f>CE_GL!$E$82</f>
        <v>4382855.6999998577</v>
      </c>
      <c r="H11" s="107">
        <f t="shared" ref="H11:H30" si="1">G11-F11</f>
        <v>1607944.6999998577</v>
      </c>
      <c r="I11" s="31"/>
      <c r="J11" s="31"/>
    </row>
    <row r="12" spans="1:10" x14ac:dyDescent="0.2">
      <c r="A12" s="101" t="s">
        <v>191</v>
      </c>
      <c r="B12" s="124">
        <f>'SITHE-FLSH'!$M$82</f>
        <v>-38088.202800002691</v>
      </c>
      <c r="C12" s="65">
        <f>+D12-B12</f>
        <v>88.20280000269122</v>
      </c>
      <c r="D12" s="124">
        <f>+'[2]ST Warroom 99'!$N$10</f>
        <v>-38000</v>
      </c>
      <c r="E12" s="124">
        <f>+F12-D12</f>
        <v>95394</v>
      </c>
      <c r="F12" s="124">
        <f>+'[2]ST Warroom 99'!$N$44</f>
        <v>57394</v>
      </c>
      <c r="G12" s="168">
        <f>SITHE_GL!$E$82</f>
        <v>-314841.69999999669</v>
      </c>
      <c r="H12" s="107">
        <f>G12-F12</f>
        <v>-372235.69999999669</v>
      </c>
      <c r="I12" s="31"/>
      <c r="J12" s="31"/>
    </row>
    <row r="13" spans="1:10" x14ac:dyDescent="0.2">
      <c r="A13" s="101" t="s">
        <v>185</v>
      </c>
      <c r="B13" s="124">
        <f>'ARUBA-FLSH'!$M$82</f>
        <v>1594700.2903999984</v>
      </c>
      <c r="C13" s="65">
        <f>+D13-B13</f>
        <v>299.70960000157356</v>
      </c>
      <c r="D13" s="124">
        <f>+'[2]ST Warroom 99'!$Q$10</f>
        <v>1595000</v>
      </c>
      <c r="E13" s="124">
        <f>+F13-D13</f>
        <v>998722</v>
      </c>
      <c r="F13" s="124">
        <f>+'[2]ST Warroom 99'!$Q$44</f>
        <v>2593722</v>
      </c>
      <c r="G13" s="168">
        <f>ARUBA_GL!$E$82</f>
        <v>2531934.8000000129</v>
      </c>
      <c r="H13" s="107">
        <f>G13-F13</f>
        <v>-61787.199999987148</v>
      </c>
      <c r="I13" s="31"/>
      <c r="J13" s="31"/>
    </row>
    <row r="14" spans="1:10" x14ac:dyDescent="0.2">
      <c r="A14" s="101" t="s">
        <v>228</v>
      </c>
      <c r="B14" s="124">
        <f>+'MidMarket-FLSH'!M82</f>
        <v>688524.20027465967</v>
      </c>
      <c r="C14" s="65">
        <f>+D14-B14</f>
        <v>475.79972534033004</v>
      </c>
      <c r="D14" s="124">
        <f>+'[2]ST Warroom 99'!$T$10</f>
        <v>689000</v>
      </c>
      <c r="E14" s="124">
        <f>+F14-D14</f>
        <v>0</v>
      </c>
      <c r="F14" s="124">
        <f>+'[2]ST Warroom 99'!$T$44</f>
        <v>689000</v>
      </c>
      <c r="G14" s="168">
        <f>MidMarket_GL!$E$82</f>
        <v>688999.83000000031</v>
      </c>
      <c r="H14" s="107">
        <f>G14-F14</f>
        <v>-0.16999999969266355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-8911113.9300000481</v>
      </c>
      <c r="C16" s="65">
        <f t="shared" si="0"/>
        <v>-37886.069999951869</v>
      </c>
      <c r="D16" s="123">
        <f>+'[2]ST Warroom 99'!$C$10</f>
        <v>-8949000</v>
      </c>
      <c r="E16" s="124">
        <f t="shared" si="2"/>
        <v>-813457</v>
      </c>
      <c r="F16" s="123">
        <f>+'[2]ST Warroom 99'!$C$44</f>
        <v>-9762457</v>
      </c>
      <c r="G16" s="168">
        <f>'BGC-EGM-GL'!$E$82+'EAST-EGM-GL'!E82</f>
        <v>-23661720.349000424</v>
      </c>
      <c r="H16" s="107">
        <f t="shared" si="1"/>
        <v>-13899263.349000424</v>
      </c>
      <c r="I16" s="31"/>
      <c r="J16" s="31"/>
    </row>
    <row r="17" spans="1:10" x14ac:dyDescent="0.2">
      <c r="A17" s="101" t="s">
        <v>212</v>
      </c>
      <c r="B17" s="123">
        <f>'EAST-MKT-FLSH'!$M$82</f>
        <v>-159745.75239998323</v>
      </c>
      <c r="C17" s="65">
        <f t="shared" si="0"/>
        <v>-100254.24760001677</v>
      </c>
      <c r="D17" s="123">
        <f>+'[2]ST Warroom 99'!$F$10</f>
        <v>-260000</v>
      </c>
      <c r="E17" s="124">
        <f t="shared" si="2"/>
        <v>416409</v>
      </c>
      <c r="F17" s="123">
        <f>+'[2]ST Warroom 99'!$F$44</f>
        <v>156409</v>
      </c>
      <c r="G17" s="168">
        <f>'EAST-MKT-GL'!$E$82</f>
        <v>-492655.42999993358</v>
      </c>
      <c r="H17" s="107">
        <f t="shared" si="1"/>
        <v>-649064.42999993358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99'!$D$10</f>
        <v>0</v>
      </c>
      <c r="E18" s="124">
        <f>+F18-D18</f>
        <v>0</v>
      </c>
      <c r="F18" s="123">
        <f>+'[2]ST Warroom 99'!$D$44</f>
        <v>0</v>
      </c>
      <c r="G18" s="168">
        <f>'EAST-LRC-GL'!$E$82</f>
        <v>-33856.559999999998</v>
      </c>
      <c r="H18" s="107">
        <f>G18-F18</f>
        <v>-33856.559999999998</v>
      </c>
      <c r="I18" s="31"/>
      <c r="J18" s="31"/>
    </row>
    <row r="19" spans="1:10" x14ac:dyDescent="0.2">
      <c r="A19" s="101" t="s">
        <v>160</v>
      </c>
      <c r="B19" s="123">
        <f>+'EAST-EGM-FLSH'!M89</f>
        <v>-42632</v>
      </c>
      <c r="C19" s="65">
        <f t="shared" si="0"/>
        <v>-368</v>
      </c>
      <c r="D19" s="123">
        <f>+'[2]ST Warroom 99'!$E$10</f>
        <v>-43000</v>
      </c>
      <c r="E19" s="124">
        <f t="shared" si="2"/>
        <v>0</v>
      </c>
      <c r="F19" s="123">
        <f>+'[2]ST Warroom 99'!$E$44</f>
        <v>-43000</v>
      </c>
      <c r="G19" s="168">
        <f>+'EAST-EGM-GL'!E89</f>
        <v>-43000</v>
      </c>
      <c r="H19" s="107">
        <f t="shared" si="1"/>
        <v>0</v>
      </c>
      <c r="I19" s="31"/>
      <c r="J19" s="31"/>
    </row>
    <row r="20" spans="1:10" x14ac:dyDescent="0.2">
      <c r="A20" s="101" t="s">
        <v>16</v>
      </c>
      <c r="B20" s="123">
        <f>'TX-EGM-FLSH'!$M$82</f>
        <v>-5146614.224167414</v>
      </c>
      <c r="C20" s="65">
        <f t="shared" si="0"/>
        <v>-385.77583258599043</v>
      </c>
      <c r="D20" s="123">
        <f>+'[2]ST Warroom 99'!$H$10</f>
        <v>-5147000</v>
      </c>
      <c r="E20" s="124">
        <f t="shared" si="2"/>
        <v>35205</v>
      </c>
      <c r="F20" s="123">
        <f>+'[2]ST Warroom 99'!$H$44</f>
        <v>-5111795</v>
      </c>
      <c r="G20" s="168">
        <f>'TX-EGM-GL'!$E$91</f>
        <v>-2860738.2689999817</v>
      </c>
      <c r="H20" s="107">
        <f t="shared" si="1"/>
        <v>2251056.7310000183</v>
      </c>
      <c r="I20" s="31"/>
      <c r="J20" s="31"/>
    </row>
    <row r="21" spans="1:10" x14ac:dyDescent="0.2">
      <c r="A21" s="101" t="s">
        <v>178</v>
      </c>
      <c r="B21" s="123">
        <f>'TX-HPLR-FLSH'!$M$82</f>
        <v>6002274.7916297354</v>
      </c>
      <c r="C21" s="65">
        <f t="shared" si="0"/>
        <v>-274.79162973538041</v>
      </c>
      <c r="D21" s="123">
        <f>+'[2]ST Warroom 99'!$I$10</f>
        <v>6002000</v>
      </c>
      <c r="E21" s="124">
        <f t="shared" si="2"/>
        <v>0</v>
      </c>
      <c r="F21" s="123">
        <f>+'[2]ST Warroom 99'!$I$44</f>
        <v>6002000</v>
      </c>
      <c r="G21" s="168">
        <f>'TX-HPLR-GL '!$E$82</f>
        <v>-1162407.3700000001</v>
      </c>
      <c r="H21" s="107">
        <f t="shared" si="1"/>
        <v>-7164407.3700000001</v>
      </c>
      <c r="I21" s="31"/>
      <c r="J21" s="31"/>
    </row>
    <row r="22" spans="1:10" x14ac:dyDescent="0.2">
      <c r="A22" s="101" t="s">
        <v>179</v>
      </c>
      <c r="B22" s="123">
        <f>'TX-HPLC-FLSH'!$M$82</f>
        <v>-413608.98195889592</v>
      </c>
      <c r="C22" s="65">
        <f t="shared" si="0"/>
        <v>608.98195889592171</v>
      </c>
      <c r="D22" s="123">
        <f>+'[2]ST Warroom 99'!$J$10</f>
        <v>-413000</v>
      </c>
      <c r="E22" s="124">
        <f t="shared" si="2"/>
        <v>0</v>
      </c>
      <c r="F22" s="123">
        <f>+'[2]ST Warroom 99'!$J$44</f>
        <v>-413000</v>
      </c>
      <c r="G22" s="168">
        <f>'TX-HPLC-GL'!$E$82</f>
        <v>3637623.5699999705</v>
      </c>
      <c r="H22" s="107">
        <f t="shared" si="1"/>
        <v>4050623.5699999705</v>
      </c>
      <c r="I22" s="31"/>
      <c r="J22" s="31"/>
    </row>
    <row r="23" spans="1:10" x14ac:dyDescent="0.2">
      <c r="A23" s="101" t="s">
        <v>172</v>
      </c>
      <c r="B23" s="123">
        <f>'TX-EGM-FLSH'!$M$89</f>
        <v>-628490</v>
      </c>
      <c r="C23" s="65">
        <f t="shared" si="0"/>
        <v>490</v>
      </c>
      <c r="D23" s="60">
        <f>+'[2]ST Warroom 99'!$K$10</f>
        <v>-628000</v>
      </c>
      <c r="E23" s="124">
        <f t="shared" si="2"/>
        <v>0</v>
      </c>
      <c r="F23" s="60">
        <f>+'[2]ST Warroom 99'!$K$44</f>
        <v>-628000</v>
      </c>
      <c r="G23" s="168">
        <f>'TX-HPLC-GL'!$E$89</f>
        <v>-628000</v>
      </c>
      <c r="H23" s="107">
        <f t="shared" si="1"/>
        <v>0</v>
      </c>
      <c r="I23" s="31"/>
      <c r="J23" s="31"/>
    </row>
    <row r="24" spans="1:10" x14ac:dyDescent="0.2">
      <c r="A24" s="101" t="s">
        <v>17</v>
      </c>
      <c r="B24" s="123">
        <f>'WE-FLSH'!$M$82</f>
        <v>7502195.8096345328</v>
      </c>
      <c r="C24" s="65">
        <f t="shared" si="0"/>
        <v>-24195.809634532779</v>
      </c>
      <c r="D24" s="123">
        <f>+'[2]ST Warroom 99'!$L$10</f>
        <v>7478000</v>
      </c>
      <c r="E24" s="124">
        <f t="shared" si="2"/>
        <v>-104170</v>
      </c>
      <c r="F24" s="123">
        <f>+'[2]ST Warroom 99'!$L$44</f>
        <v>7373830</v>
      </c>
      <c r="G24" s="168">
        <f>'WE-GL '!$E$82</f>
        <v>7136238.0680000009</v>
      </c>
      <c r="H24" s="107">
        <f t="shared" si="1"/>
        <v>-237591.9319999991</v>
      </c>
      <c r="I24" s="31"/>
      <c r="J24" s="31"/>
    </row>
    <row r="25" spans="1:10" x14ac:dyDescent="0.2">
      <c r="A25" s="101" t="s">
        <v>195</v>
      </c>
      <c r="B25" s="123">
        <f>'DEN-FLSH'!$M$82</f>
        <v>220422.37283129338</v>
      </c>
      <c r="C25" s="65">
        <f>+D25-B25</f>
        <v>1577.6271687066182</v>
      </c>
      <c r="D25" s="123">
        <f>+'[2]ST Warroom 99'!$S$10</f>
        <v>222000</v>
      </c>
      <c r="E25" s="124">
        <f>+F25-D25</f>
        <v>-43782</v>
      </c>
      <c r="F25" s="123">
        <f>+'[2]ST Warroom 99'!$S$44</f>
        <v>178218</v>
      </c>
      <c r="G25" s="168">
        <f>'DEN-GL'!$E$82</f>
        <v>136751.58799999859</v>
      </c>
      <c r="H25" s="107">
        <f>G25-F25</f>
        <v>-41466.412000001408</v>
      </c>
      <c r="I25" s="31"/>
      <c r="J25" s="31"/>
    </row>
    <row r="26" spans="1:10" x14ac:dyDescent="0.2">
      <c r="A26" s="101" t="s">
        <v>207</v>
      </c>
      <c r="B26" s="123">
        <f>'DEN-FLSH'!$M$89</f>
        <v>54892</v>
      </c>
      <c r="C26" s="65">
        <f>+D26-B26</f>
        <v>108</v>
      </c>
      <c r="D26" s="123">
        <f>+'[2]ST Warroom 99'!$R$10</f>
        <v>55000</v>
      </c>
      <c r="E26" s="124">
        <f>+F26-D26</f>
        <v>0</v>
      </c>
      <c r="F26" s="123">
        <f>+'[2]ST Warroom 99'!$R$44</f>
        <v>55000</v>
      </c>
      <c r="G26" s="168">
        <f>'DEN-GL'!$E$89</f>
        <v>55000</v>
      </c>
      <c r="H26" s="107">
        <f>G26-F26</f>
        <v>0</v>
      </c>
      <c r="I26" s="31"/>
      <c r="J26" s="31"/>
    </row>
    <row r="27" spans="1:10" x14ac:dyDescent="0.2">
      <c r="A27" s="101" t="s">
        <v>18</v>
      </c>
      <c r="B27" s="123">
        <f>STG_FLSH!$M$82</f>
        <v>240964</v>
      </c>
      <c r="C27" s="65">
        <f t="shared" si="0"/>
        <v>36</v>
      </c>
      <c r="D27" s="123">
        <f>+'[2]ST Warroom 99'!$M$10</f>
        <v>241000</v>
      </c>
      <c r="E27" s="124">
        <f t="shared" si="2"/>
        <v>-901622</v>
      </c>
      <c r="F27" s="123">
        <f>+'[2]ST Warroom 99'!$M$44</f>
        <v>-660622</v>
      </c>
      <c r="G27" s="168">
        <f>STG_GL!$E$82</f>
        <v>-2702141.98</v>
      </c>
      <c r="H27" s="107">
        <f t="shared" si="1"/>
        <v>-2041519.98</v>
      </c>
      <c r="I27" s="31"/>
      <c r="J27" s="31"/>
    </row>
    <row r="28" spans="1:10" x14ac:dyDescent="0.2">
      <c r="A28" s="101" t="s">
        <v>154</v>
      </c>
      <c r="B28" s="123">
        <f>ONT_FLSH!$M$82</f>
        <v>-2761499.9171017134</v>
      </c>
      <c r="C28" s="65">
        <f t="shared" si="0"/>
        <v>-500.08289828663692</v>
      </c>
      <c r="D28" s="123">
        <f>+'[2]ST Warroom 99'!$O$10</f>
        <v>-2762000</v>
      </c>
      <c r="E28" s="124">
        <f t="shared" si="2"/>
        <v>106589</v>
      </c>
      <c r="F28" s="123">
        <f>+'[2]ST Warroom 99'!$O$44</f>
        <v>-2655411</v>
      </c>
      <c r="G28" s="168">
        <f>'ONT_GL '!$E$82</f>
        <v>-3006332.9300000179</v>
      </c>
      <c r="H28" s="107">
        <f t="shared" si="1"/>
        <v>-350921.93000001786</v>
      </c>
      <c r="I28" s="31"/>
      <c r="J28" s="31"/>
    </row>
    <row r="29" spans="1:10" x14ac:dyDescent="0.2">
      <c r="A29" s="101" t="s">
        <v>159</v>
      </c>
      <c r="B29" s="123">
        <f>ONT_FLSH!$M$89</f>
        <v>-53137</v>
      </c>
      <c r="C29" s="65">
        <f t="shared" si="0"/>
        <v>137</v>
      </c>
      <c r="D29" s="168">
        <f>+'[2]ST Warroom 99'!$P$10</f>
        <v>-53000</v>
      </c>
      <c r="E29" s="124">
        <f t="shared" si="2"/>
        <v>0</v>
      </c>
      <c r="F29" s="168">
        <f>+'[2]ST Warroom 99'!$P$44</f>
        <v>-53000</v>
      </c>
      <c r="G29" s="168">
        <f>+'ONT_GL '!E89</f>
        <v>-52999.580000000075</v>
      </c>
      <c r="H29" s="107">
        <f t="shared" si="1"/>
        <v>0.41999999992549419</v>
      </c>
      <c r="I29" s="31"/>
      <c r="J29" s="31"/>
    </row>
    <row r="30" spans="1:10" x14ac:dyDescent="0.2">
      <c r="A30" s="138" t="s">
        <v>111</v>
      </c>
      <c r="B30" s="123">
        <f>+BUG_FLSH!M82</f>
        <v>-592559.06489999976</v>
      </c>
      <c r="C30" s="65">
        <f>+D30-B30</f>
        <v>-440.93510000023525</v>
      </c>
      <c r="D30" s="123">
        <f>+'[2]ST Warroom 99'!$G$10</f>
        <v>-593000</v>
      </c>
      <c r="E30" s="124">
        <f t="shared" si="2"/>
        <v>654237</v>
      </c>
      <c r="F30" s="123">
        <f>+'[2]ST Warroom 99'!$G$44</f>
        <v>61237</v>
      </c>
      <c r="G30" s="168">
        <f>+BUG_GL!E82</f>
        <v>61236.76</v>
      </c>
      <c r="H30" s="107">
        <f t="shared" si="1"/>
        <v>-0.23999999999796273</v>
      </c>
      <c r="I30" s="31"/>
      <c r="J30" s="31"/>
    </row>
    <row r="31" spans="1:10" ht="21.75" customHeight="1" thickBot="1" x14ac:dyDescent="0.25">
      <c r="A31" s="101" t="s">
        <v>10</v>
      </c>
      <c r="B31" s="61">
        <f t="shared" ref="B31:H31" si="3">SUM(B11:B30)</f>
        <v>654026.46714217623</v>
      </c>
      <c r="C31" s="61">
        <f t="shared" si="3"/>
        <v>-161026.46714217687</v>
      </c>
      <c r="D31" s="61">
        <f t="shared" si="3"/>
        <v>493000</v>
      </c>
      <c r="E31" s="61">
        <f t="shared" si="3"/>
        <v>121436</v>
      </c>
      <c r="F31" s="61">
        <f t="shared" si="3"/>
        <v>614436</v>
      </c>
      <c r="G31" s="61">
        <f>SUM(G11:G30)</f>
        <v>-16328053.852000516</v>
      </c>
      <c r="H31" s="108">
        <f t="shared" si="3"/>
        <v>-16942489.852000516</v>
      </c>
      <c r="I31" s="31"/>
      <c r="J31" s="31"/>
    </row>
    <row r="32" spans="1:10" ht="21" customHeight="1" thickBot="1" x14ac:dyDescent="0.25">
      <c r="A32" s="102" t="s">
        <v>19</v>
      </c>
      <c r="B32" s="103">
        <f>TOTAL!$E$91</f>
        <v>654026.46714211442</v>
      </c>
      <c r="C32" s="103">
        <f>+C31</f>
        <v>-161026.46714217687</v>
      </c>
      <c r="D32" s="103">
        <f>+'[2]ST Warroom 99'!$V$10</f>
        <v>493000</v>
      </c>
      <c r="E32" s="103">
        <f>+'[2]ST Warroom 99'!$V$27</f>
        <v>121436</v>
      </c>
      <c r="F32" s="103">
        <f>+'[2]ST Warroom 99'!$V$44</f>
        <v>614436</v>
      </c>
      <c r="G32" s="103">
        <f>TOTAL!$G$91</f>
        <v>-16328053.8520004</v>
      </c>
      <c r="H32" s="179">
        <f>+[1]OAvsACT!$G$63</f>
        <v>-16940278.349999994</v>
      </c>
      <c r="I32" s="31"/>
      <c r="J32" s="31"/>
    </row>
    <row r="33" spans="2:10" x14ac:dyDescent="0.2">
      <c r="B33" s="45"/>
      <c r="C33" s="45"/>
      <c r="D33" s="45"/>
      <c r="E33" s="45"/>
      <c r="F33" s="45"/>
      <c r="G33" s="45"/>
      <c r="H33" s="45">
        <f>+H32-H31</f>
        <v>2211.5020005218685</v>
      </c>
      <c r="I33" s="45"/>
      <c r="J33" s="45"/>
    </row>
    <row r="34" spans="2:10" x14ac:dyDescent="0.2">
      <c r="B34" s="45">
        <f t="shared" ref="B34:G34" si="4">+B31-B32</f>
        <v>6.1816535890102386E-8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-1.1548399925231934E-7</v>
      </c>
      <c r="H34" s="45">
        <v>0</v>
      </c>
      <c r="I34" s="45"/>
      <c r="J34" s="45"/>
    </row>
    <row r="35" spans="2:10" x14ac:dyDescent="0.2">
      <c r="H35">
        <v>2214</v>
      </c>
    </row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>
      <c r="C63" s="2"/>
      <c r="D63" s="2"/>
      <c r="E63" s="2"/>
      <c r="F63" s="2"/>
      <c r="G63" s="2"/>
    </row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8" hidden="1" x14ac:dyDescent="0.2"/>
    <row r="82" spans="7:8" hidden="1" x14ac:dyDescent="0.2"/>
    <row r="83" spans="7:8" hidden="1" x14ac:dyDescent="0.2"/>
    <row r="84" spans="7:8" hidden="1" x14ac:dyDescent="0.2"/>
    <row r="85" spans="7:8" hidden="1" x14ac:dyDescent="0.2"/>
    <row r="86" spans="7:8" hidden="1" x14ac:dyDescent="0.2"/>
    <row r="87" spans="7:8" x14ac:dyDescent="0.2">
      <c r="H87" s="45">
        <f>+H33-H35</f>
        <v>-2.4979994781315327</v>
      </c>
    </row>
    <row r="88" spans="7:8" x14ac:dyDescent="0.2">
      <c r="G88" s="45"/>
    </row>
    <row r="90" spans="7:8" x14ac:dyDescent="0.2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D89" activePane="bottomRight" state="frozen"/>
      <selection pane="topRight"/>
      <selection pane="bottomLeft"/>
      <selection pane="bottomRight" activeCell="D89" sqref="D89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0006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O69" activePane="bottomRight" state="frozen"/>
      <selection pane="topRight"/>
      <selection pane="bottomLeft"/>
      <selection pane="bottomRight" activeCell="Z75" sqref="Z7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0006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91037893.50999999</v>
      </c>
      <c r="F12" s="65"/>
      <c r="G12" s="38">
        <v>18211927.449999999</v>
      </c>
      <c r="H12" s="65"/>
      <c r="I12" s="38">
        <v>187937.25</v>
      </c>
      <c r="J12" s="65">
        <v>0</v>
      </c>
      <c r="K12" s="38">
        <v>20325826.789999999</v>
      </c>
      <c r="L12" s="65"/>
      <c r="M12" s="38">
        <v>-33856.559999999998</v>
      </c>
      <c r="N12" s="65"/>
      <c r="O12" s="38">
        <v>6357504.1299999999</v>
      </c>
      <c r="P12" s="65"/>
      <c r="Q12" s="38">
        <v>12008786.130000001</v>
      </c>
      <c r="R12" s="65"/>
      <c r="S12" s="38">
        <v>-29120.93</v>
      </c>
      <c r="T12" s="65"/>
      <c r="U12" s="38">
        <v>-1728</v>
      </c>
      <c r="V12" s="65"/>
      <c r="W12" s="38">
        <v>3737063.63</v>
      </c>
      <c r="X12" s="65">
        <v>0</v>
      </c>
      <c r="Y12" s="38">
        <v>2725515.13</v>
      </c>
      <c r="Z12" s="65"/>
      <c r="AA12" s="38">
        <v>0</v>
      </c>
      <c r="AB12" s="65">
        <v>0</v>
      </c>
      <c r="AC12" s="38">
        <v>28127838.59</v>
      </c>
      <c r="AD12" s="65"/>
      <c r="AE12" s="38">
        <v>-579800.1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123">
        <f t="shared" si="0"/>
        <v>1051530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114390314-113338784</f>
        <v>1051530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175">
        <f t="shared" si="1"/>
        <v>92089423.50999999</v>
      </c>
      <c r="F16" s="61">
        <f t="shared" si="1"/>
        <v>0</v>
      </c>
      <c r="G16" s="39">
        <f t="shared" si="1"/>
        <v>18211927.449999999</v>
      </c>
      <c r="H16" s="61">
        <f>SUM(H11:H15)</f>
        <v>0</v>
      </c>
      <c r="I16" s="39">
        <f>SUM(I11:I15)</f>
        <v>187937.25</v>
      </c>
      <c r="J16" s="61">
        <f t="shared" si="1"/>
        <v>0</v>
      </c>
      <c r="K16" s="39">
        <f t="shared" si="1"/>
        <v>20325826.789999999</v>
      </c>
      <c r="L16" s="61">
        <f t="shared" si="1"/>
        <v>0</v>
      </c>
      <c r="M16" s="39">
        <f t="shared" si="1"/>
        <v>-33856.559999999998</v>
      </c>
      <c r="N16" s="61">
        <f t="shared" si="1"/>
        <v>0</v>
      </c>
      <c r="O16" s="39">
        <f t="shared" si="1"/>
        <v>6357504.1299999999</v>
      </c>
      <c r="P16" s="61">
        <f t="shared" si="1"/>
        <v>0</v>
      </c>
      <c r="Q16" s="39">
        <f t="shared" si="1"/>
        <v>12008786.130000001</v>
      </c>
      <c r="R16" s="61">
        <f>SUM(R11:R15)</f>
        <v>0</v>
      </c>
      <c r="S16" s="39">
        <f>SUM(S11:S15)</f>
        <v>-29120.93</v>
      </c>
      <c r="T16" s="61">
        <f t="shared" si="1"/>
        <v>0</v>
      </c>
      <c r="U16" s="39">
        <f t="shared" si="1"/>
        <v>-1728</v>
      </c>
      <c r="V16" s="61">
        <f t="shared" si="1"/>
        <v>0</v>
      </c>
      <c r="W16" s="39">
        <f t="shared" si="1"/>
        <v>3737063.63</v>
      </c>
      <c r="X16" s="61">
        <f>SUM(X11:X15)</f>
        <v>0</v>
      </c>
      <c r="Y16" s="39">
        <f>SUM(Y11:Y15)</f>
        <v>2725515.13</v>
      </c>
      <c r="Z16" s="61">
        <f t="shared" si="1"/>
        <v>0</v>
      </c>
      <c r="AA16" s="39">
        <f t="shared" si="1"/>
        <v>1051530</v>
      </c>
      <c r="AB16" s="61">
        <f t="shared" si="1"/>
        <v>0</v>
      </c>
      <c r="AC16" s="39">
        <f t="shared" si="1"/>
        <v>28127838.59</v>
      </c>
      <c r="AD16" s="61">
        <f>SUM(AD11:AD15)</f>
        <v>0</v>
      </c>
      <c r="AE16" s="39">
        <f>SUM(AE11:AE15)</f>
        <v>-579800.1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-112723628.88000001</v>
      </c>
      <c r="F20" s="65"/>
      <c r="G20" s="38">
        <v>-22685097.91</v>
      </c>
      <c r="H20" s="65"/>
      <c r="I20" s="38">
        <v>147145.57999999999</v>
      </c>
      <c r="J20" s="65"/>
      <c r="K20" s="38">
        <v>-31658710.870000001</v>
      </c>
      <c r="L20" s="65"/>
      <c r="M20" s="38">
        <v>0</v>
      </c>
      <c r="N20" s="65"/>
      <c r="O20" s="38">
        <v>-4717257.74</v>
      </c>
      <c r="P20" s="65"/>
      <c r="Q20" s="38">
        <v>-16419350.630000001</v>
      </c>
      <c r="R20" s="65"/>
      <c r="S20" s="38">
        <v>282068.21999999997</v>
      </c>
      <c r="T20" s="65"/>
      <c r="U20" s="38">
        <v>0</v>
      </c>
      <c r="V20" s="65">
        <v>0</v>
      </c>
      <c r="W20" s="38">
        <v>120337.63</v>
      </c>
      <c r="X20" s="65"/>
      <c r="Y20" s="38">
        <v>-9988575.4499999993</v>
      </c>
      <c r="Z20" s="65"/>
      <c r="AA20" s="38">
        <v>0</v>
      </c>
      <c r="AB20" s="65">
        <v>0</v>
      </c>
      <c r="AC20" s="38">
        <v>-27465157.539999999</v>
      </c>
      <c r="AD20" s="65"/>
      <c r="AE20" s="38">
        <v>-339030.17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175">
        <f t="shared" si="3"/>
        <v>-112723628.88000001</v>
      </c>
      <c r="F24" s="61">
        <f t="shared" si="3"/>
        <v>0</v>
      </c>
      <c r="G24" s="39">
        <f t="shared" si="3"/>
        <v>-22685097.91</v>
      </c>
      <c r="H24" s="61">
        <f>SUM(H19:H23)</f>
        <v>0</v>
      </c>
      <c r="I24" s="39">
        <f>SUM(I19:I23)</f>
        <v>147145.57999999999</v>
      </c>
      <c r="J24" s="61">
        <f t="shared" si="3"/>
        <v>0</v>
      </c>
      <c r="K24" s="39">
        <f t="shared" si="3"/>
        <v>-31658710.870000001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-4717257.74</v>
      </c>
      <c r="P24" s="61">
        <f t="shared" si="3"/>
        <v>0</v>
      </c>
      <c r="Q24" s="39">
        <f t="shared" si="3"/>
        <v>-16419350.630000001</v>
      </c>
      <c r="R24" s="61">
        <f>SUM(R19:R23)</f>
        <v>0</v>
      </c>
      <c r="S24" s="39">
        <f>SUM(S19:S23)</f>
        <v>282068.21999999997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120337.63</v>
      </c>
      <c r="X24" s="61">
        <f>SUM(X19:X23)</f>
        <v>0</v>
      </c>
      <c r="Y24" s="39">
        <f>SUM(Y19:Y23)</f>
        <v>-9988575.4499999993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-27465157.539999999</v>
      </c>
      <c r="AD24" s="61">
        <f>SUM(AD19:AD23)</f>
        <v>0</v>
      </c>
      <c r="AE24" s="39">
        <f>SUM(AE19:AE23)</f>
        <v>-339030.17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-1526566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-1526566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-321410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-321410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-1847976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-321410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-1526566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23">
        <f>G70+K70+M70+O70+Q70+U70+W70+AA70+AC70+AI70+Y70+I70+AE70+S70</f>
        <v>190341568.61000001</v>
      </c>
      <c r="F70" s="60"/>
      <c r="G70" s="38">
        <v>11822013.16</v>
      </c>
      <c r="H70" s="60"/>
      <c r="I70" s="38">
        <f>10336992.18-217362</f>
        <v>10119630.18</v>
      </c>
      <c r="J70" s="60"/>
      <c r="K70" s="38">
        <v>-5134326.63</v>
      </c>
      <c r="L70" s="60"/>
      <c r="M70" s="38">
        <v>0</v>
      </c>
      <c r="N70" s="60"/>
      <c r="O70" s="38">
        <v>1198403.77</v>
      </c>
      <c r="P70" s="60">
        <v>0</v>
      </c>
      <c r="Q70" s="38">
        <v>22698435.850000001</v>
      </c>
      <c r="R70" s="60"/>
      <c r="S70" s="38">
        <v>999999.96</v>
      </c>
      <c r="T70" s="60"/>
      <c r="U70" s="38">
        <v>0</v>
      </c>
      <c r="V70" s="60">
        <v>0</v>
      </c>
      <c r="W70" s="38">
        <v>519130.8</v>
      </c>
      <c r="X70" s="60">
        <v>0</v>
      </c>
      <c r="Y70" s="38">
        <v>0</v>
      </c>
      <c r="Z70" s="60">
        <v>0</v>
      </c>
      <c r="AA70" s="38">
        <v>137450609</v>
      </c>
      <c r="AB70" s="60"/>
      <c r="AC70" s="38">
        <v>8346121.5199999996</v>
      </c>
      <c r="AD70" s="60"/>
      <c r="AE70" s="38">
        <v>2321551</v>
      </c>
      <c r="AF70" s="60"/>
      <c r="AG70" s="38">
        <v>0</v>
      </c>
      <c r="AH70" s="60"/>
      <c r="AI70" s="38">
        <v>0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23">
        <f>G71+K71+M71+O71+Q71+U71+W71+AA71+AC71+AI71+Y71+I71+AE71+S71</f>
        <v>-247428593</v>
      </c>
      <c r="F71" s="60"/>
      <c r="G71" s="38">
        <v>-15976611</v>
      </c>
      <c r="H71" s="60"/>
      <c r="I71" s="38">
        <v>-8648310</v>
      </c>
      <c r="J71" s="60"/>
      <c r="K71" s="38">
        <v>-14964909</v>
      </c>
      <c r="L71" s="60"/>
      <c r="M71" s="38">
        <v>0</v>
      </c>
      <c r="N71" s="60"/>
      <c r="O71" s="38">
        <v>-6919990</v>
      </c>
      <c r="P71" s="60"/>
      <c r="Q71" s="38">
        <v>-35422068</v>
      </c>
      <c r="R71" s="60"/>
      <c r="S71" s="38">
        <v>-1096737</v>
      </c>
      <c r="T71" s="60"/>
      <c r="U71" s="38">
        <v>0</v>
      </c>
      <c r="V71" s="60"/>
      <c r="W71" s="38">
        <v>-6550905</v>
      </c>
      <c r="X71" s="60"/>
      <c r="Y71" s="38">
        <v>0</v>
      </c>
      <c r="Z71" s="60"/>
      <c r="AA71" s="38">
        <v>-146729180</v>
      </c>
      <c r="AB71" s="60"/>
      <c r="AC71" s="38">
        <v>-9378953</v>
      </c>
      <c r="AD71" s="60"/>
      <c r="AE71" s="38">
        <v>-1740930</v>
      </c>
      <c r="AF71" s="60"/>
      <c r="AG71" s="38">
        <v>0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9">
        <f t="shared" si="13"/>
        <v>-57087024.389999986</v>
      </c>
      <c r="F72" s="61">
        <f t="shared" si="13"/>
        <v>0</v>
      </c>
      <c r="G72" s="183">
        <f t="shared" si="13"/>
        <v>-4154597.84</v>
      </c>
      <c r="H72" s="61">
        <f>SUM(H70:H71)</f>
        <v>0</v>
      </c>
      <c r="I72" s="183">
        <f>SUM(I70:I71)</f>
        <v>1471320.1799999997</v>
      </c>
      <c r="J72" s="61">
        <f t="shared" si="13"/>
        <v>0</v>
      </c>
      <c r="K72" s="183">
        <f t="shared" si="13"/>
        <v>-20099235.629999999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-5721586.2300000004</v>
      </c>
      <c r="P72" s="61">
        <f t="shared" si="13"/>
        <v>0</v>
      </c>
      <c r="Q72" s="39">
        <f t="shared" si="13"/>
        <v>-12723632.149999999</v>
      </c>
      <c r="R72" s="61">
        <f>SUM(R70:R71)</f>
        <v>0</v>
      </c>
      <c r="S72" s="39">
        <f>SUM(S70:S71)</f>
        <v>-96737.040000000037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-6031774.2000000002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-9278571</v>
      </c>
      <c r="AB72" s="61">
        <f t="shared" si="13"/>
        <v>0</v>
      </c>
      <c r="AC72" s="39">
        <f t="shared" si="13"/>
        <v>-1032831.4800000004</v>
      </c>
      <c r="AD72" s="61">
        <f>SUM(AD70:AD71)</f>
        <v>0</v>
      </c>
      <c r="AE72" s="183">
        <f>SUM(AE70:AE71)</f>
        <v>580621</v>
      </c>
      <c r="AF72" s="61">
        <f>SUM(AF70:AF71)</f>
        <v>0</v>
      </c>
      <c r="AG72" s="183">
        <f>SUM(AG70:AG71)</f>
        <v>0</v>
      </c>
      <c r="AH72" s="61">
        <f t="shared" si="13"/>
        <v>0</v>
      </c>
      <c r="AI72" s="183">
        <f t="shared" si="13"/>
        <v>0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23">
        <f t="shared" ref="E73:E81" si="15">G73+K73+M73+O73+Q73+U73+W73+AA73+AC73+AI73+Y73+I73+AE73+S73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54809371.489999995</v>
      </c>
      <c r="F74" s="65"/>
      <c r="G74" s="66">
        <v>545813.82999999996</v>
      </c>
      <c r="H74" s="65"/>
      <c r="I74" s="66">
        <v>-1560477.85</v>
      </c>
      <c r="J74" s="65"/>
      <c r="K74" s="66">
        <f>14592884.18+1438890.24</f>
        <v>16031774.42</v>
      </c>
      <c r="L74" s="65"/>
      <c r="M74" s="66">
        <v>0</v>
      </c>
      <c r="N74" s="65"/>
      <c r="O74" s="66">
        <v>8945116.2100000009</v>
      </c>
      <c r="P74" s="65"/>
      <c r="Q74" s="66">
        <v>19510989.699999999</v>
      </c>
      <c r="R74" s="65"/>
      <c r="S74" s="66">
        <v>-232872.15</v>
      </c>
      <c r="T74" s="65"/>
      <c r="U74" s="66">
        <v>0</v>
      </c>
      <c r="V74" s="65"/>
      <c r="W74" s="66">
        <v>-70463.97</v>
      </c>
      <c r="X74" s="65"/>
      <c r="Y74" s="66">
        <v>3407406.01</v>
      </c>
      <c r="Z74" s="65"/>
      <c r="AA74" s="180">
        <v>3012381.87</v>
      </c>
      <c r="AB74" s="65"/>
      <c r="AC74" s="180">
        <v>5155016.66</v>
      </c>
      <c r="AD74" s="65"/>
      <c r="AE74" s="66">
        <v>3450</v>
      </c>
      <c r="AF74" s="65"/>
      <c r="AG74" s="180">
        <v>0</v>
      </c>
      <c r="AH74" s="65"/>
      <c r="AI74" s="180">
        <v>61236.76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-1375726</v>
      </c>
      <c r="F75" s="65"/>
      <c r="G75" s="38">
        <v>172538</v>
      </c>
      <c r="H75" s="65"/>
      <c r="I75" s="38">
        <v>0</v>
      </c>
      <c r="J75" s="65"/>
      <c r="K75" s="38">
        <v>228732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308</v>
      </c>
      <c r="X75" s="65"/>
      <c r="Y75" s="38">
        <v>0</v>
      </c>
      <c r="Z75" s="65"/>
      <c r="AA75" s="38">
        <v>-1777304</v>
      </c>
      <c r="AB75" s="65"/>
      <c r="AC75" s="38">
        <v>0</v>
      </c>
      <c r="AD75" s="65"/>
      <c r="AE75" s="38">
        <v>0</v>
      </c>
      <c r="AF75" s="65"/>
      <c r="AG75" s="38">
        <v>0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-18621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-534</v>
      </c>
      <c r="T76" s="60"/>
      <c r="U76" s="38"/>
      <c r="V76" s="60"/>
      <c r="W76" s="38"/>
      <c r="X76" s="60"/>
      <c r="Y76" s="38">
        <v>-39</v>
      </c>
      <c r="Z76" s="60"/>
      <c r="AA76" s="38">
        <v>-5196</v>
      </c>
      <c r="AB76" s="60"/>
      <c r="AC76" s="38">
        <v>-12852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23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-26244181.270000011</v>
      </c>
      <c r="F82" s="91">
        <f>F16+F24+F29+F36+F43+F45+F47+F49</f>
        <v>0</v>
      </c>
      <c r="G82" s="92">
        <f>SUM(G72:G81)+G16+G24+G29+G36+G43+G45+G47+G49+G51+G56+G61+G66</f>
        <v>-7931916.4700000007</v>
      </c>
      <c r="H82" s="91">
        <f>H16+H24+H29+H36+H43+H45+H47+H49</f>
        <v>0</v>
      </c>
      <c r="I82" s="92">
        <f>SUM(I72:I81)+I16+I24+I29+I36+I43+I45+I47+I49+I51+I56+I61+I66</f>
        <v>245925.1599999996</v>
      </c>
      <c r="J82" s="91">
        <f>J16+J24+J29+J36+J43+J45+J47+J49</f>
        <v>0</v>
      </c>
      <c r="K82" s="92">
        <f>SUM(K72:K81)+K16+K24+K29+K36+K43+K45+K47+K49+K51+K56+K61+K66</f>
        <v>-15239113.290000001</v>
      </c>
      <c r="L82" s="91">
        <f>L16+L24+L29+L36+L43+L45+L47+L49</f>
        <v>0</v>
      </c>
      <c r="M82" s="92">
        <f>SUM(M72:M81)+M16+M24+M29+M36+M43+M45+M47+M49+M51+M56+M61+M66</f>
        <v>-33856.559999999998</v>
      </c>
      <c r="N82" s="91">
        <f>N16+N24+N29+N36+N43+N45+N47+N49</f>
        <v>0</v>
      </c>
      <c r="O82" s="92">
        <f>SUM(O72:O81)+O16+O24+O29+O36+O43+O45+O47+O49+O51+O56+O61+O66</f>
        <v>4863776.3699999992</v>
      </c>
      <c r="P82" s="91">
        <f>P16+P24+P29+P36+P43+P45+P47+P49</f>
        <v>0</v>
      </c>
      <c r="Q82" s="92">
        <f>SUM(Q72:Q81)+Q16+Q24+Q29+Q36+Q43+Q45+Q47+Q49+Q51+Q56+Q61+Q66</f>
        <v>2376793.0499999989</v>
      </c>
      <c r="R82" s="91">
        <f>R16+R24+R29+R36+R43+R45+R47+R49</f>
        <v>0</v>
      </c>
      <c r="S82" s="92">
        <f>SUM(S72:S81)+S16+S24+S29+S36+S43+S45+S47+S49+S51+S56+S61+S66</f>
        <v>-398605.90000000008</v>
      </c>
      <c r="T82" s="91">
        <f>T16+T24+T29+T36+T43+T45+T47+T49</f>
        <v>0</v>
      </c>
      <c r="U82" s="92">
        <f>SUM(U72:U81)+U16+U24+U29+U36+U43+U45+U47+U49+U51+U56+U61+U66</f>
        <v>-1728</v>
      </c>
      <c r="V82" s="91">
        <f>V16+V24+V29+V36+V43+V45+V47+V49</f>
        <v>0</v>
      </c>
      <c r="W82" s="92">
        <f>SUM(W72:W81)+W16+W24+W29+W36+W43+W45+W47+W49+W51+W56+W61+W66</f>
        <v>-2244528.91</v>
      </c>
      <c r="X82" s="91">
        <f>X16+X24+X29+X36+X43+X45+X47+X49</f>
        <v>0</v>
      </c>
      <c r="Y82" s="92">
        <f>SUM(Y72:Y81)+Y16+Y24+Y29+Y36+Y43+Y45+Y47+Y49+Y51+Y56+Y61+Y66</f>
        <v>-5382259.3099999996</v>
      </c>
      <c r="Z82" s="91">
        <f>Z16+Z24+Z29+Z36+Z43+Z45+Z47+Z49</f>
        <v>0</v>
      </c>
      <c r="AA82" s="92">
        <f>SUM(AA72:AA81)+AA16+AA24+AA29+AA36+AA43+AA45+AA47+AA49+AA51+AA56+AA61+AA66</f>
        <v>-6997159.1299999999</v>
      </c>
      <c r="AB82" s="91">
        <f>AB16+AB24+AB29+AB36+AB43+AB45+AB47+AB49</f>
        <v>0</v>
      </c>
      <c r="AC82" s="92">
        <f>SUM(AC72:AC81)+AC16+AC24+AC29+AC36+AC43+AC45+AC47+AC49+AC51+AC56+AC61+AC66</f>
        <v>4772014.2300000004</v>
      </c>
      <c r="AD82" s="91">
        <f>AD16+AD24+AD29+AD36+AD43+AD45+AD47+AD49</f>
        <v>0</v>
      </c>
      <c r="AE82" s="92">
        <f>SUM(AE72:AE81)+AE16+AE24+AE29+AE36+AE43+AE45+AE47+AE49+AE51+AE56+AE61+AE66</f>
        <v>-334759.26999999996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61236.76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 t="shared" ref="D86:E88" si="16">F86+J86+L86+N86+P86+T86+V86+Z86+AB86+AH86+X86+H86+AD86+R86</f>
        <v>0</v>
      </c>
      <c r="E86" s="182">
        <f t="shared" si="16"/>
        <v>1222437</v>
      </c>
      <c r="F86" s="145"/>
      <c r="G86" s="145">
        <v>0</v>
      </c>
      <c r="H86" s="145"/>
      <c r="I86" s="145">
        <v>0</v>
      </c>
      <c r="J86" s="145"/>
      <c r="K86" s="184">
        <v>-42632</v>
      </c>
      <c r="L86" s="145"/>
      <c r="M86" s="145"/>
      <c r="N86" s="145"/>
      <c r="O86" s="145"/>
      <c r="P86" s="145"/>
      <c r="Q86" s="145"/>
      <c r="R86" s="145"/>
      <c r="S86" s="145">
        <v>55426</v>
      </c>
      <c r="T86" s="145"/>
      <c r="U86" s="145"/>
      <c r="V86" s="145"/>
      <c r="W86" s="145">
        <v>0</v>
      </c>
      <c r="X86" s="145"/>
      <c r="Y86" s="145">
        <v>1522312</v>
      </c>
      <c r="Z86" s="145"/>
      <c r="AA86" s="145"/>
      <c r="AB86" s="145"/>
      <c r="AC86" s="145">
        <f>-432669+120000</f>
        <v>-312669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AB87+AH87+AJ87+AL87+AN87+AP87+AR87+AT87+AV87+AX87</f>
        <v>0</v>
      </c>
      <c r="AA87" s="146"/>
      <c r="AB87" s="146"/>
      <c r="AC87" s="146">
        <v>0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-646169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-646169</v>
      </c>
      <c r="Z88" s="147">
        <f>AB88+AH88+AJ88+AL88+AN88+AP88+AR88+AT88+AV88+AX88</f>
        <v>0</v>
      </c>
      <c r="AA88" s="147"/>
      <c r="AB88" s="147"/>
      <c r="AC88" s="147">
        <v>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576268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-42632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I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55426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876143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-312669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8"/>
        <v>0</v>
      </c>
      <c r="AI89" s="160">
        <f t="shared" si="18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-25667913.270000011</v>
      </c>
      <c r="F91" s="160">
        <f t="shared" si="19"/>
        <v>0</v>
      </c>
      <c r="G91" s="160">
        <f t="shared" si="19"/>
        <v>-7931916.4700000007</v>
      </c>
      <c r="H91" s="160">
        <f>+H82+H89</f>
        <v>0</v>
      </c>
      <c r="I91" s="160">
        <f>+I82+I89</f>
        <v>245925.1599999996</v>
      </c>
      <c r="J91" s="160">
        <f t="shared" si="19"/>
        <v>0</v>
      </c>
      <c r="K91" s="160">
        <f t="shared" si="19"/>
        <v>-15281745.290000001</v>
      </c>
      <c r="L91" s="160">
        <f t="shared" si="19"/>
        <v>0</v>
      </c>
      <c r="M91" s="160">
        <f t="shared" si="19"/>
        <v>-33856.559999999998</v>
      </c>
      <c r="N91" s="160">
        <f t="shared" si="19"/>
        <v>0</v>
      </c>
      <c r="O91" s="160">
        <f t="shared" si="19"/>
        <v>4863776.3699999992</v>
      </c>
      <c r="P91" s="160">
        <f t="shared" ref="P91:AI91" si="20">+P82+P89</f>
        <v>0</v>
      </c>
      <c r="Q91" s="160">
        <f t="shared" si="20"/>
        <v>2376793.0499999989</v>
      </c>
      <c r="R91" s="160">
        <f>+R82+R89</f>
        <v>0</v>
      </c>
      <c r="S91" s="160">
        <f>+S82+S89</f>
        <v>-343179.90000000008</v>
      </c>
      <c r="T91" s="160">
        <f t="shared" si="20"/>
        <v>0</v>
      </c>
      <c r="U91" s="160">
        <f t="shared" si="20"/>
        <v>-1728</v>
      </c>
      <c r="V91" s="160">
        <f t="shared" si="20"/>
        <v>0</v>
      </c>
      <c r="W91" s="160">
        <f t="shared" si="20"/>
        <v>-2244528.91</v>
      </c>
      <c r="X91" s="160">
        <f>+X82+X89</f>
        <v>0</v>
      </c>
      <c r="Y91" s="160">
        <f>+Y82+Y89</f>
        <v>-4506116.3099999996</v>
      </c>
      <c r="Z91" s="160">
        <f t="shared" si="20"/>
        <v>0</v>
      </c>
      <c r="AA91" s="160">
        <f t="shared" si="20"/>
        <v>-6997159.1299999999</v>
      </c>
      <c r="AB91" s="160">
        <f t="shared" si="20"/>
        <v>0</v>
      </c>
      <c r="AC91" s="160">
        <f t="shared" si="20"/>
        <v>4459345.2300000004</v>
      </c>
      <c r="AD91" s="160">
        <f>+AD82+AD89</f>
        <v>0</v>
      </c>
      <c r="AE91" s="160">
        <f>+AE82+AE89</f>
        <v>-334759.26999999996</v>
      </c>
      <c r="AF91" s="160">
        <f>+AF82+AF89</f>
        <v>0</v>
      </c>
      <c r="AG91" s="160">
        <f>+AG82+AG89</f>
        <v>0</v>
      </c>
      <c r="AH91" s="160">
        <f t="shared" si="20"/>
        <v>0</v>
      </c>
      <c r="AI91" s="160">
        <f t="shared" si="20"/>
        <v>61236.76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33123636.11999999</v>
      </c>
      <c r="G94" s="163">
        <f>+G12+G20+G74</f>
        <v>-3927356.6300000008</v>
      </c>
      <c r="I94" s="163">
        <f>+I12+I20+I74</f>
        <v>-1225395.02</v>
      </c>
      <c r="K94" s="163">
        <f>+K12+K20+K74</f>
        <v>4698890.339999998</v>
      </c>
      <c r="M94" s="163">
        <f>+M12+M20+M74</f>
        <v>-33856.559999999998</v>
      </c>
      <c r="O94" s="163">
        <f>+O12+O20+O74</f>
        <v>10585362.600000001</v>
      </c>
      <c r="Q94" s="163">
        <f>+Q12+Q20+Q74</f>
        <v>15100425.199999999</v>
      </c>
      <c r="S94" s="163">
        <f>+S12+S20+S74</f>
        <v>20075.139999999985</v>
      </c>
      <c r="U94" s="163">
        <f>+U12+U20+U74</f>
        <v>-1728</v>
      </c>
      <c r="W94" s="163">
        <f>+W12+W20+W74</f>
        <v>3786937.2899999996</v>
      </c>
      <c r="Y94" s="163">
        <f>+Y12+Y20+Y74</f>
        <v>-3855654.3099999996</v>
      </c>
      <c r="AA94" s="163">
        <f>+AA12+AA20+AA74</f>
        <v>3012381.87</v>
      </c>
      <c r="AC94" s="163">
        <f>+AC12+AC20+AC74</f>
        <v>5817697.7100000009</v>
      </c>
      <c r="AE94" s="163">
        <f>+AE12+AE20+AE74</f>
        <v>-915380.27</v>
      </c>
      <c r="AG94" s="163">
        <f>+AG12+AG20+AG74</f>
        <v>0</v>
      </c>
      <c r="AI94" s="163">
        <f>+AI12+AI20+AI74</f>
        <v>61236.76</v>
      </c>
    </row>
    <row r="95" spans="1:36" x14ac:dyDescent="0.2">
      <c r="A95" s="4"/>
      <c r="B95" s="3"/>
      <c r="E95" s="171">
        <v>33123636</v>
      </c>
      <c r="K95">
        <v>739321</v>
      </c>
    </row>
    <row r="96" spans="1:36" x14ac:dyDescent="0.2">
      <c r="A96" s="4"/>
      <c r="B96" s="3"/>
      <c r="E96" s="171">
        <f>+E94-E95</f>
        <v>0.11999998986721039</v>
      </c>
      <c r="K96" s="45">
        <f>+K94-K95</f>
        <v>3959569.339999998</v>
      </c>
    </row>
    <row r="97" spans="1:6" x14ac:dyDescent="0.2">
      <c r="A97" s="4"/>
      <c r="B97" s="3"/>
      <c r="E97" s="171">
        <v>0</v>
      </c>
      <c r="F97" t="s">
        <v>231</v>
      </c>
    </row>
    <row r="98" spans="1:6" x14ac:dyDescent="0.2">
      <c r="A98" s="4"/>
      <c r="B98" s="3"/>
      <c r="E98" s="171">
        <f>+E97-E96</f>
        <v>-0.11999998986721039</v>
      </c>
    </row>
    <row r="99" spans="1:6" x14ac:dyDescent="0.2">
      <c r="A99" s="4"/>
      <c r="B99" s="3"/>
      <c r="E99" s="171">
        <v>0</v>
      </c>
    </row>
    <row r="100" spans="1:6" x14ac:dyDescent="0.2">
      <c r="A100" s="4"/>
      <c r="B100" s="3"/>
      <c r="E100" s="171">
        <f>+E98+E99</f>
        <v>-0.11999998986721039</v>
      </c>
    </row>
    <row r="101" spans="1:6" x14ac:dyDescent="0.2">
      <c r="A101" s="4"/>
      <c r="B101" s="3"/>
    </row>
    <row r="102" spans="1:6" x14ac:dyDescent="0.2">
      <c r="A102" s="4"/>
      <c r="B102" s="3"/>
    </row>
    <row r="103" spans="1:6" x14ac:dyDescent="0.2">
      <c r="A103" s="4"/>
      <c r="B103" s="3"/>
    </row>
    <row r="104" spans="1:6" x14ac:dyDescent="0.2">
      <c r="A104" s="4"/>
      <c r="B104" s="3"/>
    </row>
    <row r="105" spans="1:6" x14ac:dyDescent="0.2">
      <c r="A105" s="4"/>
      <c r="B105" s="3"/>
    </row>
    <row r="106" spans="1:6" x14ac:dyDescent="0.2">
      <c r="A106" s="4"/>
      <c r="B106" s="3"/>
    </row>
    <row r="107" spans="1:6" x14ac:dyDescent="0.2">
      <c r="A107" s="4"/>
      <c r="B107" s="3"/>
    </row>
    <row r="108" spans="1:6" x14ac:dyDescent="0.2">
      <c r="A108" s="4"/>
      <c r="B108" s="3"/>
    </row>
    <row r="109" spans="1:6" x14ac:dyDescent="0.2">
      <c r="A109" s="4"/>
      <c r="B109" s="3"/>
    </row>
    <row r="110" spans="1:6" x14ac:dyDescent="0.2">
      <c r="A110" s="4"/>
      <c r="B110" s="3"/>
    </row>
    <row r="111" spans="1:6" x14ac:dyDescent="0.2">
      <c r="A111" s="4"/>
      <c r="B111" s="3"/>
    </row>
    <row r="112" spans="1:6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118310530</v>
      </c>
      <c r="E11" s="146">
        <v>506294564</v>
      </c>
      <c r="F11" s="60">
        <f>H11-D11</f>
        <v>0</v>
      </c>
      <c r="G11" s="37">
        <f>I11-E11</f>
        <v>0</v>
      </c>
      <c r="H11" s="65">
        <f t="shared" ref="H11:I15" si="0">D11</f>
        <v>118310530</v>
      </c>
      <c r="I11" s="66">
        <f t="shared" si="0"/>
        <v>506294564</v>
      </c>
      <c r="J11" s="37"/>
      <c r="K11" s="38"/>
      <c r="L11" s="60">
        <f t="shared" ref="L11:M15" si="1">H11+J11</f>
        <v>118310530</v>
      </c>
      <c r="M11" s="38">
        <f t="shared" si="1"/>
        <v>506294564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50611404</v>
      </c>
      <c r="E13" s="146">
        <v>217669162</v>
      </c>
      <c r="F13" s="60">
        <f t="shared" si="2"/>
        <v>0</v>
      </c>
      <c r="G13" s="37">
        <f t="shared" si="2"/>
        <v>0</v>
      </c>
      <c r="H13" s="65">
        <f t="shared" si="0"/>
        <v>50611404</v>
      </c>
      <c r="I13" s="66">
        <f t="shared" si="0"/>
        <v>217669162</v>
      </c>
      <c r="J13" s="37"/>
      <c r="K13" s="38"/>
      <c r="L13" s="60">
        <f t="shared" si="1"/>
        <v>50611404</v>
      </c>
      <c r="M13" s="38">
        <f t="shared" si="1"/>
        <v>217669162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168921934</v>
      </c>
      <c r="E16" s="166">
        <v>723963726</v>
      </c>
      <c r="F16" s="61">
        <f t="shared" ref="F16:M16" si="3">SUM(F11:F15)</f>
        <v>0</v>
      </c>
      <c r="G16" s="39">
        <f t="shared" si="3"/>
        <v>0</v>
      </c>
      <c r="H16" s="61">
        <f>SUM(H11:H15)</f>
        <v>168921934</v>
      </c>
      <c r="I16" s="39">
        <f>SUM(I11:I15)</f>
        <v>723963726</v>
      </c>
      <c r="J16" s="133">
        <f t="shared" si="3"/>
        <v>0</v>
      </c>
      <c r="K16" s="39">
        <f t="shared" si="3"/>
        <v>0</v>
      </c>
      <c r="L16" s="61">
        <f t="shared" si="3"/>
        <v>168921934</v>
      </c>
      <c r="M16" s="39">
        <f t="shared" si="3"/>
        <v>723963726</v>
      </c>
    </row>
    <row r="17" spans="1:13" x14ac:dyDescent="0.2">
      <c r="A17" s="9"/>
      <c r="B17" s="7"/>
      <c r="C17" s="6"/>
      <c r="D17" s="149"/>
      <c r="E17" s="149"/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/>
      <c r="E18" s="149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-125740421</v>
      </c>
      <c r="E19" s="146">
        <v>-536704709</v>
      </c>
      <c r="F19" s="60">
        <f>H19-D19</f>
        <v>0</v>
      </c>
      <c r="G19" s="37">
        <f>I19-E19</f>
        <v>0</v>
      </c>
      <c r="H19" s="65">
        <f t="shared" si="4"/>
        <v>-125740421</v>
      </c>
      <c r="I19" s="66">
        <f t="shared" si="4"/>
        <v>-536704709</v>
      </c>
      <c r="J19" s="37">
        <v>0</v>
      </c>
      <c r="K19" s="38">
        <v>0</v>
      </c>
      <c r="L19" s="60">
        <f t="shared" ref="L19:M23" si="5">H19+J19</f>
        <v>-125740421</v>
      </c>
      <c r="M19" s="38">
        <f t="shared" si="5"/>
        <v>-536704709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-43573513</v>
      </c>
      <c r="E21" s="146">
        <v>-186858667</v>
      </c>
      <c r="F21" s="60">
        <f t="shared" si="6"/>
        <v>0</v>
      </c>
      <c r="G21" s="37">
        <f t="shared" si="6"/>
        <v>0</v>
      </c>
      <c r="H21" s="65">
        <f t="shared" si="4"/>
        <v>-43573513</v>
      </c>
      <c r="I21" s="66">
        <f t="shared" si="4"/>
        <v>-186858667</v>
      </c>
      <c r="J21" s="37"/>
      <c r="K21" s="38"/>
      <c r="L21" s="60">
        <f t="shared" si="5"/>
        <v>-43573513</v>
      </c>
      <c r="M21" s="38">
        <f t="shared" si="5"/>
        <v>-186858667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178409</v>
      </c>
      <c r="E23" s="146">
        <v>718499</v>
      </c>
      <c r="F23" s="60">
        <f t="shared" si="6"/>
        <v>0</v>
      </c>
      <c r="G23" s="37">
        <f t="shared" si="6"/>
        <v>0</v>
      </c>
      <c r="H23" s="65">
        <f t="shared" si="4"/>
        <v>178409</v>
      </c>
      <c r="I23" s="66">
        <f t="shared" si="4"/>
        <v>718499</v>
      </c>
      <c r="J23" s="37"/>
      <c r="K23" s="38"/>
      <c r="L23" s="60">
        <f t="shared" si="5"/>
        <v>178409</v>
      </c>
      <c r="M23" s="38">
        <f t="shared" si="5"/>
        <v>718499</v>
      </c>
    </row>
    <row r="24" spans="1:13" x14ac:dyDescent="0.2">
      <c r="A24" s="9"/>
      <c r="B24" s="7" t="s">
        <v>33</v>
      </c>
      <c r="C24" s="6"/>
      <c r="D24" s="166">
        <v>-169135525</v>
      </c>
      <c r="E24" s="166">
        <v>-722844877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-169135525</v>
      </c>
      <c r="I24" s="39">
        <f>SUM(I19:I23)</f>
        <v>-722844877</v>
      </c>
      <c r="J24" s="133">
        <f t="shared" si="7"/>
        <v>0</v>
      </c>
      <c r="K24" s="39">
        <f t="shared" si="7"/>
        <v>0</v>
      </c>
      <c r="L24" s="61">
        <f t="shared" si="7"/>
        <v>-169135525</v>
      </c>
      <c r="M24" s="39">
        <f t="shared" si="7"/>
        <v>-722844877</v>
      </c>
    </row>
    <row r="25" spans="1:13" x14ac:dyDescent="0.2">
      <c r="A25" s="9"/>
      <c r="B25" s="7"/>
      <c r="C25" s="6"/>
      <c r="D25" s="149"/>
      <c r="E25" s="149"/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/>
      <c r="E26" s="149"/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/>
      <c r="E27" s="146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/>
      <c r="E28" s="146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/>
      <c r="E30" s="149"/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/>
      <c r="E31" s="149"/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92584</v>
      </c>
      <c r="E32" s="146">
        <v>401217</v>
      </c>
      <c r="F32" s="60">
        <f>H32-D32</f>
        <v>0</v>
      </c>
      <c r="G32" s="37">
        <f>I32-E32</f>
        <v>0</v>
      </c>
      <c r="H32" s="65">
        <f t="shared" ref="H32:I35" si="9">D32</f>
        <v>92584</v>
      </c>
      <c r="I32" s="66">
        <f t="shared" si="9"/>
        <v>401217</v>
      </c>
      <c r="J32" s="37"/>
      <c r="K32" s="38"/>
      <c r="L32" s="60">
        <f t="shared" ref="L32:M35" si="10">H32+J32</f>
        <v>92584</v>
      </c>
      <c r="M32" s="38">
        <f t="shared" si="10"/>
        <v>401217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-35514</v>
      </c>
      <c r="E35" s="146">
        <v>-119517</v>
      </c>
      <c r="F35" s="60">
        <f t="shared" si="11"/>
        <v>0</v>
      </c>
      <c r="G35" s="37">
        <f t="shared" si="11"/>
        <v>0</v>
      </c>
      <c r="H35" s="65">
        <f t="shared" si="9"/>
        <v>-35514</v>
      </c>
      <c r="I35" s="66">
        <f t="shared" si="9"/>
        <v>-119517</v>
      </c>
      <c r="J35" s="37">
        <v>0</v>
      </c>
      <c r="K35" s="38">
        <v>0</v>
      </c>
      <c r="L35" s="60">
        <f t="shared" si="10"/>
        <v>-35514</v>
      </c>
      <c r="M35" s="38">
        <f t="shared" si="10"/>
        <v>-119517</v>
      </c>
    </row>
    <row r="36" spans="1:13" x14ac:dyDescent="0.2">
      <c r="A36" s="9"/>
      <c r="B36" s="7" t="s">
        <v>43</v>
      </c>
      <c r="C36" s="6"/>
      <c r="D36" s="166">
        <v>57070</v>
      </c>
      <c r="E36" s="166">
        <v>281700</v>
      </c>
      <c r="F36" s="61">
        <f>SUM(F32:F35)</f>
        <v>0</v>
      </c>
      <c r="G36" s="39">
        <f>SUM(G32:G35)</f>
        <v>0</v>
      </c>
      <c r="H36" s="61">
        <f>SUM(H32:H35)</f>
        <v>57070</v>
      </c>
      <c r="I36" s="39">
        <f>SUM(I32:I35)</f>
        <v>281700</v>
      </c>
      <c r="J36" s="133">
        <f>SUM(J32:J34)</f>
        <v>0</v>
      </c>
      <c r="K36" s="39">
        <f>SUM(K32:K34)</f>
        <v>0</v>
      </c>
      <c r="L36" s="61">
        <f>SUM(L32:L35)</f>
        <v>57070</v>
      </c>
      <c r="M36" s="39">
        <f>SUM(M32:M35)</f>
        <v>281700</v>
      </c>
    </row>
    <row r="37" spans="1:13" x14ac:dyDescent="0.2">
      <c r="A37" s="9"/>
      <c r="B37" s="7"/>
      <c r="C37" s="6"/>
      <c r="D37" s="149"/>
      <c r="E37" s="149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/>
      <c r="E38" s="149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/>
      <c r="E44" s="149"/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/>
      <c r="E45" s="146"/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/>
      <c r="E46" s="149"/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/>
      <c r="E47" s="146"/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/>
      <c r="E48" s="149"/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156521</v>
      </c>
      <c r="E49" s="146">
        <v>-663649.04</v>
      </c>
      <c r="F49" s="60">
        <f>H49-D49</f>
        <v>0</v>
      </c>
      <c r="G49" s="37">
        <f>I49-E49</f>
        <v>0</v>
      </c>
      <c r="H49" s="65">
        <f>D49</f>
        <v>156521</v>
      </c>
      <c r="I49" s="66">
        <f>E49</f>
        <v>-663649.04</v>
      </c>
      <c r="J49" s="37"/>
      <c r="K49" s="38"/>
      <c r="L49" s="60">
        <f>H49+J49</f>
        <v>156521</v>
      </c>
      <c r="M49" s="38">
        <f>I49+K49</f>
        <v>-663649.04</v>
      </c>
    </row>
    <row r="50" spans="1:15" x14ac:dyDescent="0.2">
      <c r="A50" s="9"/>
      <c r="B50" s="7"/>
      <c r="C50" s="6"/>
      <c r="D50" s="149"/>
      <c r="E50" s="149"/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-178409</v>
      </c>
      <c r="E51" s="146">
        <v>-718499</v>
      </c>
      <c r="F51" s="60">
        <f>H51-D51</f>
        <v>0</v>
      </c>
      <c r="G51" s="37">
        <f>I51-E51</f>
        <v>0</v>
      </c>
      <c r="H51" s="65">
        <f>D51</f>
        <v>-178409</v>
      </c>
      <c r="I51" s="66">
        <f>E51</f>
        <v>-718499</v>
      </c>
      <c r="J51" s="37"/>
      <c r="K51" s="38"/>
      <c r="L51" s="60">
        <f>H51+J51</f>
        <v>-178409</v>
      </c>
      <c r="M51" s="38">
        <f>I51+K51</f>
        <v>-718499</v>
      </c>
    </row>
    <row r="52" spans="1:15" x14ac:dyDescent="0.2">
      <c r="A52" s="9"/>
      <c r="B52" s="7"/>
      <c r="C52" s="6"/>
      <c r="D52" s="149"/>
      <c r="E52" s="149"/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/>
      <c r="E53" s="149"/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/>
      <c r="E54" s="146">
        <v>-212416.14660000009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-212416.14660000009</v>
      </c>
      <c r="J54" s="37"/>
      <c r="K54" s="38"/>
      <c r="L54" s="60">
        <f>H54+J54</f>
        <v>0</v>
      </c>
      <c r="M54" s="38">
        <f>I54+K54</f>
        <v>-212416.14660000009</v>
      </c>
    </row>
    <row r="55" spans="1:15" x14ac:dyDescent="0.2">
      <c r="A55" s="9">
        <v>25</v>
      </c>
      <c r="B55" s="7"/>
      <c r="C55" s="18" t="s">
        <v>56</v>
      </c>
      <c r="D55" s="146"/>
      <c r="E55" s="146">
        <v>-1777260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-1777260</v>
      </c>
      <c r="J55" s="37"/>
      <c r="K55" s="38"/>
      <c r="L55" s="60">
        <f>H55+J55</f>
        <v>0</v>
      </c>
      <c r="M55" s="38">
        <f>I55+K55</f>
        <v>-1777260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-1989676.1466000001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-1989676.1466000001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-1989676.1466000001</v>
      </c>
    </row>
    <row r="57" spans="1:15" x14ac:dyDescent="0.2">
      <c r="A57" s="9"/>
      <c r="B57" s="7"/>
      <c r="C57" s="6"/>
      <c r="D57" s="149"/>
      <c r="E57" s="149"/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/>
      <c r="E58" s="149"/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/>
      <c r="E59" s="146"/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/>
      <c r="E60" s="146"/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/>
      <c r="E62" s="149"/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/>
      <c r="E63" s="149"/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/>
      <c r="E64" s="146"/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/>
      <c r="E65" s="146"/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/>
      <c r="E67" s="149"/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/>
      <c r="E68" s="149"/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/>
      <c r="E69" s="149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/>
      <c r="E70" s="146">
        <v>11822013.162300002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11822013.162300002</v>
      </c>
      <c r="J70" s="37"/>
      <c r="K70" s="38"/>
      <c r="L70" s="60">
        <f t="shared" si="20"/>
        <v>0</v>
      </c>
      <c r="M70" s="38">
        <f t="shared" si="20"/>
        <v>11822013.162300002</v>
      </c>
    </row>
    <row r="71" spans="1:13" x14ac:dyDescent="0.2">
      <c r="A71" s="9">
        <v>31</v>
      </c>
      <c r="B71" s="3"/>
      <c r="C71" s="10" t="s">
        <v>68</v>
      </c>
      <c r="D71" s="146"/>
      <c r="E71" s="146">
        <v>-15976612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-15976612</v>
      </c>
      <c r="J71" s="37"/>
      <c r="K71" s="38"/>
      <c r="L71" s="60">
        <f t="shared" si="20"/>
        <v>0</v>
      </c>
      <c r="M71" s="38">
        <f t="shared" si="20"/>
        <v>-15976612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-4154598.8376999982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-4154598.8376999982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-4154598.8376999982</v>
      </c>
    </row>
    <row r="73" spans="1:13" x14ac:dyDescent="0.2">
      <c r="A73" s="9">
        <v>32</v>
      </c>
      <c r="B73" s="3"/>
      <c r="C73" s="10" t="s">
        <v>70</v>
      </c>
      <c r="D73" s="146"/>
      <c r="E73" s="146"/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/>
      <c r="E74" s="146">
        <v>7700994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7700994</v>
      </c>
      <c r="J74" s="37"/>
      <c r="K74" s="38"/>
      <c r="L74" s="60">
        <f t="shared" si="24"/>
        <v>0</v>
      </c>
      <c r="M74" s="38">
        <f t="shared" si="24"/>
        <v>7700994</v>
      </c>
    </row>
    <row r="75" spans="1:13" x14ac:dyDescent="0.2">
      <c r="A75" s="9">
        <v>34</v>
      </c>
      <c r="B75" s="3"/>
      <c r="C75" s="10" t="s">
        <v>72</v>
      </c>
      <c r="D75" s="146"/>
      <c r="E75" s="146">
        <v>172538.1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172538.1</v>
      </c>
      <c r="J75" s="37"/>
      <c r="K75" s="38"/>
      <c r="L75" s="60">
        <f t="shared" si="24"/>
        <v>0</v>
      </c>
      <c r="M75" s="38">
        <f t="shared" si="24"/>
        <v>172538.1</v>
      </c>
    </row>
    <row r="76" spans="1:13" x14ac:dyDescent="0.2">
      <c r="A76" s="9">
        <v>35</v>
      </c>
      <c r="B76" s="3"/>
      <c r="C76" s="10" t="s">
        <v>73</v>
      </c>
      <c r="D76" s="146"/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/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/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/>
      <c r="E79" s="146">
        <v>1016486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1016486</v>
      </c>
      <c r="J79" s="37"/>
      <c r="K79" s="38"/>
      <c r="L79" s="60">
        <f t="shared" si="24"/>
        <v>0</v>
      </c>
      <c r="M79" s="38">
        <f t="shared" si="24"/>
        <v>1016486</v>
      </c>
    </row>
    <row r="80" spans="1:13" x14ac:dyDescent="0.2">
      <c r="A80" s="9">
        <v>39</v>
      </c>
      <c r="B80" s="3"/>
      <c r="C80" s="10" t="s">
        <v>77</v>
      </c>
      <c r="D80" s="146"/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/>
      <c r="E81" s="146">
        <v>333398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333398</v>
      </c>
      <c r="J81" s="37"/>
      <c r="K81" s="38"/>
      <c r="L81" s="60">
        <f t="shared" si="24"/>
        <v>0</v>
      </c>
      <c r="M81" s="38">
        <f t="shared" si="24"/>
        <v>333398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/>
      <c r="E82" s="141"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3097542.0757000144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3097542.0757000144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4331184</v>
      </c>
      <c r="E11" s="146">
        <v>18664400</v>
      </c>
      <c r="F11" s="60">
        <f>H11-D11</f>
        <v>0</v>
      </c>
      <c r="G11" s="37">
        <f>I11-E11</f>
        <v>0</v>
      </c>
      <c r="H11" s="65">
        <f t="shared" ref="H11:I15" si="0">D11</f>
        <v>4331184</v>
      </c>
      <c r="I11" s="66">
        <f t="shared" si="0"/>
        <v>18664400</v>
      </c>
      <c r="J11" s="37"/>
      <c r="K11" s="38"/>
      <c r="L11" s="60">
        <f t="shared" ref="L11:M15" si="1">H11+J11</f>
        <v>4331184</v>
      </c>
      <c r="M11" s="38">
        <f t="shared" si="1"/>
        <v>18664400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6364383</v>
      </c>
      <c r="E13" s="146">
        <v>27355816</v>
      </c>
      <c r="F13" s="60">
        <f t="shared" si="2"/>
        <v>0</v>
      </c>
      <c r="G13" s="37">
        <f t="shared" si="2"/>
        <v>0</v>
      </c>
      <c r="H13" s="65">
        <f t="shared" si="0"/>
        <v>6364383</v>
      </c>
      <c r="I13" s="66">
        <f t="shared" si="0"/>
        <v>27355816</v>
      </c>
      <c r="J13" s="37"/>
      <c r="K13" s="38"/>
      <c r="L13" s="60">
        <f t="shared" si="1"/>
        <v>6364383</v>
      </c>
      <c r="M13" s="38">
        <f t="shared" si="1"/>
        <v>27355816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10695567</v>
      </c>
      <c r="E16" s="166">
        <v>46020216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10695567</v>
      </c>
      <c r="I16" s="39">
        <f>SUM(I11:I15)</f>
        <v>46020216</v>
      </c>
      <c r="J16" s="133">
        <f t="shared" si="3"/>
        <v>0</v>
      </c>
      <c r="K16" s="39">
        <f t="shared" si="3"/>
        <v>0</v>
      </c>
      <c r="L16" s="61">
        <f t="shared" si="3"/>
        <v>10695567</v>
      </c>
      <c r="M16" s="39">
        <f t="shared" si="3"/>
        <v>46020216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0</v>
      </c>
      <c r="E19" s="146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37">
        <v>0</v>
      </c>
      <c r="K19" s="38">
        <v>0</v>
      </c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-10735001</v>
      </c>
      <c r="E21" s="146">
        <v>-46636512</v>
      </c>
      <c r="F21" s="60">
        <f t="shared" si="6"/>
        <v>0</v>
      </c>
      <c r="G21" s="37">
        <f t="shared" si="6"/>
        <v>0</v>
      </c>
      <c r="H21" s="65">
        <f t="shared" si="4"/>
        <v>-10735001</v>
      </c>
      <c r="I21" s="66">
        <f t="shared" si="4"/>
        <v>-46636512</v>
      </c>
      <c r="J21" s="37"/>
      <c r="K21" s="38"/>
      <c r="L21" s="60">
        <f t="shared" si="5"/>
        <v>-10735001</v>
      </c>
      <c r="M21" s="38">
        <f t="shared" si="5"/>
        <v>-46636512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3069</v>
      </c>
      <c r="E23" s="146">
        <v>12843</v>
      </c>
      <c r="F23" s="60">
        <f t="shared" si="6"/>
        <v>0</v>
      </c>
      <c r="G23" s="37">
        <f t="shared" si="6"/>
        <v>0</v>
      </c>
      <c r="H23" s="65">
        <f t="shared" si="4"/>
        <v>3069</v>
      </c>
      <c r="I23" s="66">
        <f t="shared" si="4"/>
        <v>12843</v>
      </c>
      <c r="J23" s="37"/>
      <c r="K23" s="38"/>
      <c r="L23" s="60">
        <f t="shared" si="5"/>
        <v>3069</v>
      </c>
      <c r="M23" s="38">
        <f t="shared" si="5"/>
        <v>12843</v>
      </c>
    </row>
    <row r="24" spans="1:13" x14ac:dyDescent="0.2">
      <c r="A24" s="9"/>
      <c r="B24" s="7" t="s">
        <v>33</v>
      </c>
      <c r="C24" s="6"/>
      <c r="D24" s="166">
        <v>-10731932</v>
      </c>
      <c r="E24" s="166">
        <v>-46623669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-10731932</v>
      </c>
      <c r="I24" s="39">
        <f>SUM(I19:I23)</f>
        <v>-46623669</v>
      </c>
      <c r="J24" s="133">
        <f t="shared" si="7"/>
        <v>0</v>
      </c>
      <c r="K24" s="39">
        <f t="shared" si="7"/>
        <v>0</v>
      </c>
      <c r="L24" s="61">
        <f t="shared" si="7"/>
        <v>-10731932</v>
      </c>
      <c r="M24" s="39">
        <f t="shared" si="7"/>
        <v>-46623669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51919</v>
      </c>
      <c r="E32" s="146">
        <v>539590</v>
      </c>
      <c r="F32" s="60">
        <f>H32-D32</f>
        <v>0</v>
      </c>
      <c r="G32" s="37">
        <f>I32-E32</f>
        <v>0</v>
      </c>
      <c r="H32" s="65">
        <f t="shared" ref="H32:I35" si="9">D32</f>
        <v>51919</v>
      </c>
      <c r="I32" s="66">
        <f t="shared" si="9"/>
        <v>539590</v>
      </c>
      <c r="J32" s="37"/>
      <c r="K32" s="38"/>
      <c r="L32" s="60">
        <f t="shared" ref="L32:M35" si="10">H32+J32</f>
        <v>51919</v>
      </c>
      <c r="M32" s="38">
        <f t="shared" si="10"/>
        <v>539590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51919</v>
      </c>
      <c r="E36" s="166">
        <v>539590</v>
      </c>
      <c r="F36" s="61">
        <f>SUM(F32:F35)</f>
        <v>0</v>
      </c>
      <c r="G36" s="39">
        <f>SUM(G32:G35)</f>
        <v>0</v>
      </c>
      <c r="H36" s="61">
        <f>SUM(H32:H35)</f>
        <v>51919</v>
      </c>
      <c r="I36" s="39">
        <f>SUM(I32:I35)</f>
        <v>539590</v>
      </c>
      <c r="J36" s="133">
        <f>SUM(J32:J34)</f>
        <v>0</v>
      </c>
      <c r="K36" s="39">
        <f>SUM(K32:K34)</f>
        <v>0</v>
      </c>
      <c r="L36" s="61">
        <f>SUM(L32:L35)</f>
        <v>51919</v>
      </c>
      <c r="M36" s="39">
        <f>SUM(M32:M35)</f>
        <v>539590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-15554</v>
      </c>
      <c r="E49" s="146">
        <v>-66882.2</v>
      </c>
      <c r="F49" s="60">
        <f>H49-D49</f>
        <v>0</v>
      </c>
      <c r="G49" s="37">
        <f>I49-E49</f>
        <v>0</v>
      </c>
      <c r="H49" s="65">
        <f>D49</f>
        <v>-15554</v>
      </c>
      <c r="I49" s="66">
        <f>E49</f>
        <v>-66882.2</v>
      </c>
      <c r="J49" s="37"/>
      <c r="K49" s="38"/>
      <c r="L49" s="60">
        <f>H49+J49</f>
        <v>-15554</v>
      </c>
      <c r="M49" s="38">
        <f>I49+K49</f>
        <v>-66882.2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-3069</v>
      </c>
      <c r="E51" s="146">
        <v>-12843</v>
      </c>
      <c r="F51" s="60">
        <f>H51-D51</f>
        <v>0</v>
      </c>
      <c r="G51" s="37">
        <f>I51-E51</f>
        <v>0</v>
      </c>
      <c r="H51" s="65">
        <f>D51</f>
        <v>-3069</v>
      </c>
      <c r="I51" s="66">
        <f>E51</f>
        <v>-12843</v>
      </c>
      <c r="J51" s="37"/>
      <c r="K51" s="38"/>
      <c r="L51" s="60">
        <f>H51+J51</f>
        <v>-3069</v>
      </c>
      <c r="M51" s="38">
        <f>I51+K51</f>
        <v>-12843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-2163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-2163</v>
      </c>
      <c r="J54" s="37"/>
      <c r="K54" s="38"/>
      <c r="L54" s="60">
        <f>H54+J54</f>
        <v>0</v>
      </c>
      <c r="M54" s="38">
        <f>I54+K54</f>
        <v>-2163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-9533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-9533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-9533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2321550.9972000001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2321550.9972000001</v>
      </c>
      <c r="J70" s="37"/>
      <c r="K70" s="38"/>
      <c r="L70" s="60">
        <f t="shared" si="20"/>
        <v>0</v>
      </c>
      <c r="M70" s="38">
        <f t="shared" si="20"/>
        <v>2321550.9972000001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-1741430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-1741430</v>
      </c>
      <c r="J71" s="37"/>
      <c r="K71" s="38"/>
      <c r="L71" s="60">
        <f t="shared" si="20"/>
        <v>0</v>
      </c>
      <c r="M71" s="38">
        <f t="shared" si="20"/>
        <v>-1741430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580120.9972000001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580120.9972000001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580120.9972000001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-527435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-527435</v>
      </c>
      <c r="J74" s="37"/>
      <c r="K74" s="38"/>
      <c r="L74" s="60">
        <f t="shared" si="23"/>
        <v>0</v>
      </c>
      <c r="M74" s="38">
        <f t="shared" si="23"/>
        <v>-527435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62347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62347</v>
      </c>
      <c r="J81" s="37"/>
      <c r="K81" s="38"/>
      <c r="L81" s="60">
        <f t="shared" si="23"/>
        <v>0</v>
      </c>
      <c r="M81" s="38">
        <f t="shared" si="23"/>
        <v>62347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-38088.202800002691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-38088.202800002691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-38088.202800002691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9877555</v>
      </c>
      <c r="E11" s="146">
        <v>43767603</v>
      </c>
      <c r="F11" s="60">
        <f>H11-D11</f>
        <v>0</v>
      </c>
      <c r="G11" s="37">
        <f>I11-E11</f>
        <v>0</v>
      </c>
      <c r="H11" s="65">
        <f t="shared" ref="H11:I15" si="0">D11</f>
        <v>9877555</v>
      </c>
      <c r="I11" s="66">
        <f t="shared" si="0"/>
        <v>43767603</v>
      </c>
      <c r="J11" s="37"/>
      <c r="K11" s="38"/>
      <c r="L11" s="60">
        <f t="shared" ref="L11:M15" si="1">H11+J11</f>
        <v>9877555</v>
      </c>
      <c r="M11" s="38">
        <f t="shared" si="1"/>
        <v>43767603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23219168</v>
      </c>
      <c r="E13" s="146">
        <v>102136858</v>
      </c>
      <c r="F13" s="60">
        <f t="shared" si="2"/>
        <v>0</v>
      </c>
      <c r="G13" s="37">
        <f t="shared" si="2"/>
        <v>0</v>
      </c>
      <c r="H13" s="65">
        <f t="shared" si="0"/>
        <v>23219168</v>
      </c>
      <c r="I13" s="66">
        <f t="shared" si="0"/>
        <v>102136858</v>
      </c>
      <c r="J13" s="37"/>
      <c r="K13" s="38"/>
      <c r="L13" s="60">
        <f t="shared" si="1"/>
        <v>23219168</v>
      </c>
      <c r="M13" s="38">
        <f t="shared" si="1"/>
        <v>102136858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">
      <c r="A16" s="9"/>
      <c r="B16" s="7" t="s">
        <v>30</v>
      </c>
      <c r="C16" s="6"/>
      <c r="D16" s="166">
        <v>33096723</v>
      </c>
      <c r="E16" s="166">
        <v>147406733</v>
      </c>
      <c r="F16" s="61">
        <f t="shared" ref="F16:M16" si="3">SUM(F11:F15)</f>
        <v>0</v>
      </c>
      <c r="G16" s="39">
        <f t="shared" si="3"/>
        <v>0</v>
      </c>
      <c r="H16" s="61">
        <f>SUM(H11:H15)</f>
        <v>33096723</v>
      </c>
      <c r="I16" s="39">
        <f>SUM(I11:I15)</f>
        <v>147406733</v>
      </c>
      <c r="J16" s="133">
        <f t="shared" si="3"/>
        <v>0</v>
      </c>
      <c r="K16" s="39">
        <f t="shared" si="3"/>
        <v>0</v>
      </c>
      <c r="L16" s="61">
        <f t="shared" si="3"/>
        <v>33096723</v>
      </c>
      <c r="M16" s="39">
        <f t="shared" si="3"/>
        <v>147406733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-3521108</v>
      </c>
      <c r="E19" s="146">
        <v>-14969052</v>
      </c>
      <c r="F19" s="60">
        <f>H19-D19</f>
        <v>0</v>
      </c>
      <c r="G19" s="37">
        <f>I19-E19</f>
        <v>0</v>
      </c>
      <c r="H19" s="65">
        <f t="shared" si="4"/>
        <v>-3521108</v>
      </c>
      <c r="I19" s="66">
        <f t="shared" si="4"/>
        <v>-14969052</v>
      </c>
      <c r="J19" s="37">
        <v>0</v>
      </c>
      <c r="K19" s="38">
        <v>0</v>
      </c>
      <c r="L19" s="60">
        <f t="shared" ref="L19:M23" si="5">H19+J19</f>
        <v>-3521108</v>
      </c>
      <c r="M19" s="38">
        <f t="shared" si="5"/>
        <v>-14969052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-29734470</v>
      </c>
      <c r="E21" s="146">
        <v>-129522006</v>
      </c>
      <c r="F21" s="60">
        <f t="shared" si="6"/>
        <v>0</v>
      </c>
      <c r="G21" s="37">
        <f t="shared" si="6"/>
        <v>0</v>
      </c>
      <c r="H21" s="65">
        <f t="shared" si="4"/>
        <v>-29734470</v>
      </c>
      <c r="I21" s="66">
        <f t="shared" si="4"/>
        <v>-129522006</v>
      </c>
      <c r="J21" s="37"/>
      <c r="K21" s="38"/>
      <c r="L21" s="60">
        <f t="shared" si="5"/>
        <v>-29734470</v>
      </c>
      <c r="M21" s="38">
        <f t="shared" si="5"/>
        <v>-129522006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151464</v>
      </c>
      <c r="E23" s="146">
        <v>634061</v>
      </c>
      <c r="F23" s="60">
        <f t="shared" si="6"/>
        <v>0</v>
      </c>
      <c r="G23" s="37">
        <f t="shared" si="6"/>
        <v>0</v>
      </c>
      <c r="H23" s="65">
        <f t="shared" si="4"/>
        <v>151464</v>
      </c>
      <c r="I23" s="66">
        <f t="shared" si="4"/>
        <v>634061</v>
      </c>
      <c r="J23" s="37"/>
      <c r="K23" s="38"/>
      <c r="L23" s="60">
        <f t="shared" si="5"/>
        <v>151464</v>
      </c>
      <c r="M23" s="38">
        <f t="shared" si="5"/>
        <v>634061</v>
      </c>
    </row>
    <row r="24" spans="1:13" x14ac:dyDescent="0.2">
      <c r="A24" s="9"/>
      <c r="B24" s="7" t="s">
        <v>33</v>
      </c>
      <c r="C24" s="6"/>
      <c r="D24" s="166">
        <v>-33104114</v>
      </c>
      <c r="E24" s="166">
        <v>-143856997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-33104114</v>
      </c>
      <c r="I24" s="39">
        <f>SUM(I19:I23)</f>
        <v>-143856997</v>
      </c>
      <c r="J24" s="133">
        <f t="shared" si="7"/>
        <v>0</v>
      </c>
      <c r="K24" s="39">
        <f t="shared" si="7"/>
        <v>0</v>
      </c>
      <c r="L24" s="61">
        <f t="shared" si="7"/>
        <v>-33104114</v>
      </c>
      <c r="M24" s="39">
        <f t="shared" si="7"/>
        <v>-143856997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7391</v>
      </c>
      <c r="E49" s="146">
        <v>31411.75</v>
      </c>
      <c r="F49" s="60">
        <f>H49-D49</f>
        <v>0</v>
      </c>
      <c r="G49" s="37">
        <f>I49-E49</f>
        <v>0</v>
      </c>
      <c r="H49" s="65">
        <f>D49</f>
        <v>7391</v>
      </c>
      <c r="I49" s="66">
        <f>E49</f>
        <v>31411.75</v>
      </c>
      <c r="J49" s="37"/>
      <c r="K49" s="38"/>
      <c r="L49" s="60">
        <f>H49+J49</f>
        <v>7391</v>
      </c>
      <c r="M49" s="38">
        <f>I49+K49</f>
        <v>31411.75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-151464</v>
      </c>
      <c r="E51" s="146">
        <v>-634061</v>
      </c>
      <c r="F51" s="60">
        <f>H51-D51</f>
        <v>0</v>
      </c>
      <c r="G51" s="37">
        <f>I51-E51</f>
        <v>0</v>
      </c>
      <c r="H51" s="65">
        <f>D51</f>
        <v>-151464</v>
      </c>
      <c r="I51" s="66">
        <f>E51</f>
        <v>-634061</v>
      </c>
      <c r="J51" s="37"/>
      <c r="K51" s="38"/>
      <c r="L51" s="60">
        <f>H51+J51</f>
        <v>-151464</v>
      </c>
      <c r="M51" s="38">
        <f>I51+K51</f>
        <v>-634061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-43511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-43511</v>
      </c>
      <c r="J54" s="37"/>
      <c r="K54" s="38"/>
      <c r="L54" s="60">
        <f>H54+J54</f>
        <v>0</v>
      </c>
      <c r="M54" s="38">
        <f>I54+K54</f>
        <v>-43511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-1545783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-1545783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-1545783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10336992.175900005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10336992.175900005</v>
      </c>
      <c r="J70" s="37"/>
      <c r="K70" s="38"/>
      <c r="L70" s="60">
        <f t="shared" si="20"/>
        <v>0</v>
      </c>
      <c r="M70" s="38">
        <f t="shared" si="20"/>
        <v>10336992.175900005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-8677221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-8677221</v>
      </c>
      <c r="J71" s="37"/>
      <c r="K71" s="38"/>
      <c r="L71" s="60">
        <f t="shared" si="20"/>
        <v>0</v>
      </c>
      <c r="M71" s="38">
        <f t="shared" si="20"/>
        <v>-8677221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1659771.1759000048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1659771.1759000048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1659771.1759000048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-467646.63550000021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-467646.63550000021</v>
      </c>
      <c r="J74" s="37"/>
      <c r="K74" s="38"/>
      <c r="L74" s="60">
        <f t="shared" si="23"/>
        <v>0</v>
      </c>
      <c r="M74" s="38">
        <f t="shared" si="23"/>
        <v>-467646.63550000021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-998728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-998728</v>
      </c>
      <c r="J81" s="37"/>
      <c r="K81" s="38"/>
      <c r="L81" s="60">
        <f t="shared" si="23"/>
        <v>0</v>
      </c>
      <c r="M81" s="38">
        <f t="shared" si="23"/>
        <v>-998728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1594700.2903999984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1594700.2903999984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1594700.2903999984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1377361</v>
      </c>
      <c r="E11" s="146">
        <v>5802033</v>
      </c>
      <c r="F11" s="60">
        <f>H11-D11</f>
        <v>0</v>
      </c>
      <c r="G11" s="37">
        <f>I11-E11</f>
        <v>0</v>
      </c>
      <c r="H11" s="65">
        <f t="shared" ref="H11:I15" si="0">D11</f>
        <v>1377361</v>
      </c>
      <c r="I11" s="66">
        <f t="shared" si="0"/>
        <v>5802033</v>
      </c>
      <c r="J11" s="37"/>
      <c r="K11" s="38"/>
      <c r="L11" s="60">
        <f t="shared" ref="L11:M15" si="1">H11+J11</f>
        <v>1377361</v>
      </c>
      <c r="M11" s="38">
        <f t="shared" si="1"/>
        <v>5802033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1377361</v>
      </c>
      <c r="E16" s="166">
        <v>5802033</v>
      </c>
      <c r="F16" s="61">
        <f t="shared" ref="F16:M16" si="3">SUM(F11:F15)</f>
        <v>0</v>
      </c>
      <c r="G16" s="39">
        <f t="shared" si="3"/>
        <v>0</v>
      </c>
      <c r="H16" s="61">
        <f>SUM(H11:H15)</f>
        <v>1377361</v>
      </c>
      <c r="I16" s="39">
        <f>SUM(I11:I15)</f>
        <v>5802033</v>
      </c>
      <c r="J16" s="133">
        <f t="shared" si="3"/>
        <v>0</v>
      </c>
      <c r="K16" s="39">
        <f t="shared" si="3"/>
        <v>0</v>
      </c>
      <c r="L16" s="61">
        <f t="shared" si="3"/>
        <v>1377361</v>
      </c>
      <c r="M16" s="39">
        <f t="shared" si="3"/>
        <v>5802033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-1395244</v>
      </c>
      <c r="E19" s="146">
        <v>-5739334</v>
      </c>
      <c r="F19" s="60">
        <f>H19-D19</f>
        <v>0</v>
      </c>
      <c r="G19" s="37">
        <f>I19-E19</f>
        <v>0</v>
      </c>
      <c r="H19" s="65">
        <f t="shared" si="4"/>
        <v>-1395244</v>
      </c>
      <c r="I19" s="66">
        <f t="shared" si="4"/>
        <v>-5739334</v>
      </c>
      <c r="J19" s="37">
        <v>0</v>
      </c>
      <c r="K19" s="38">
        <v>0</v>
      </c>
      <c r="L19" s="60">
        <f t="shared" ref="L19:M23" si="5">H19+J19</f>
        <v>-1395244</v>
      </c>
      <c r="M19" s="38">
        <f t="shared" si="5"/>
        <v>-5739334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-1395244</v>
      </c>
      <c r="E24" s="166">
        <v>-5739334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-1395244</v>
      </c>
      <c r="I24" s="39">
        <f>SUM(I19:I23)</f>
        <v>-5739334</v>
      </c>
      <c r="J24" s="133">
        <f t="shared" si="7"/>
        <v>0</v>
      </c>
      <c r="K24" s="39">
        <f t="shared" si="7"/>
        <v>0</v>
      </c>
      <c r="L24" s="61">
        <f t="shared" si="7"/>
        <v>-1395244</v>
      </c>
      <c r="M24" s="39">
        <f t="shared" si="7"/>
        <v>-5739334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17883</v>
      </c>
      <c r="E49" s="146">
        <v>79130.603274660549</v>
      </c>
      <c r="F49" s="60">
        <f>H49-D49</f>
        <v>0</v>
      </c>
      <c r="G49" s="37">
        <f>I49-E49</f>
        <v>0</v>
      </c>
      <c r="H49" s="65">
        <f>D49</f>
        <v>17883</v>
      </c>
      <c r="I49" s="66">
        <f>E49</f>
        <v>79130.603274660549</v>
      </c>
      <c r="J49" s="37"/>
      <c r="K49" s="38"/>
      <c r="L49" s="60">
        <f>H49+J49</f>
        <v>17883</v>
      </c>
      <c r="M49" s="38">
        <f>I49+K49</f>
        <v>79130.603274660549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16443493.423999999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16443493.423999999</v>
      </c>
      <c r="J70" s="37"/>
      <c r="K70" s="38"/>
      <c r="L70" s="60">
        <f t="shared" si="20"/>
        <v>0</v>
      </c>
      <c r="M70" s="38">
        <f t="shared" si="20"/>
        <v>16443493.423999999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37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16443493.423999999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16443493.423999999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16443493.423999999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-6607767.8269999996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-6607767.8269999996</v>
      </c>
      <c r="J74" s="37"/>
      <c r="K74" s="38"/>
      <c r="L74" s="60">
        <f t="shared" si="23"/>
        <v>0</v>
      </c>
      <c r="M74" s="38">
        <f t="shared" si="23"/>
        <v>-6607767.8269999996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-9289031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-9289031</v>
      </c>
      <c r="J81" s="37"/>
      <c r="K81" s="38"/>
      <c r="L81" s="60">
        <f t="shared" si="23"/>
        <v>0</v>
      </c>
      <c r="M81" s="38">
        <f t="shared" si="23"/>
        <v>-9289031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688524.20027465967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688524.20027465967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688524.20027465967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6">
        <v>153756420</v>
      </c>
      <c r="E11" s="216">
        <v>663373729</v>
      </c>
      <c r="F11" s="60">
        <f>H11-D11</f>
        <v>0</v>
      </c>
      <c r="G11" s="37">
        <f>I11-E11</f>
        <v>0</v>
      </c>
      <c r="H11" s="65">
        <f>D11</f>
        <v>153756420</v>
      </c>
      <c r="I11" s="66">
        <f>E11</f>
        <v>663373729</v>
      </c>
      <c r="J11" s="60"/>
      <c r="K11" s="38"/>
      <c r="L11" s="60">
        <f t="shared" ref="L11:M15" si="0">H11+J11</f>
        <v>153756420</v>
      </c>
      <c r="M11" s="38">
        <f t="shared" si="0"/>
        <v>663373729</v>
      </c>
    </row>
    <row r="12" spans="1:26" x14ac:dyDescent="0.2">
      <c r="A12" s="9">
        <v>2</v>
      </c>
      <c r="B12" s="7"/>
      <c r="C12" s="18" t="s">
        <v>26</v>
      </c>
      <c r="D12" s="216"/>
      <c r="E12" s="216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6">
        <v>98199788</v>
      </c>
      <c r="E13" s="216">
        <v>425874002</v>
      </c>
      <c r="F13" s="60">
        <f t="shared" si="1"/>
        <v>0</v>
      </c>
      <c r="G13" s="37">
        <f t="shared" si="1"/>
        <v>0</v>
      </c>
      <c r="H13" s="65">
        <f t="shared" si="2"/>
        <v>98199788</v>
      </c>
      <c r="I13" s="66">
        <f t="shared" si="2"/>
        <v>425874002</v>
      </c>
      <c r="J13" s="60"/>
      <c r="K13" s="38"/>
      <c r="L13" s="60">
        <f t="shared" si="0"/>
        <v>98199788</v>
      </c>
      <c r="M13" s="38">
        <f t="shared" si="0"/>
        <v>425874002</v>
      </c>
    </row>
    <row r="14" spans="1:26" x14ac:dyDescent="0.2">
      <c r="A14" s="9">
        <v>4</v>
      </c>
      <c r="B14" s="7"/>
      <c r="C14" s="18" t="s">
        <v>28</v>
      </c>
      <c r="D14" s="216">
        <v>0</v>
      </c>
      <c r="E14" s="216">
        <v>30520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30520</v>
      </c>
      <c r="J14" s="60"/>
      <c r="K14" s="38"/>
      <c r="L14" s="60">
        <f t="shared" si="0"/>
        <v>0</v>
      </c>
      <c r="M14" s="38">
        <f t="shared" si="0"/>
        <v>30520</v>
      </c>
    </row>
    <row r="15" spans="1:26" x14ac:dyDescent="0.2">
      <c r="A15" s="9">
        <v>5</v>
      </c>
      <c r="B15" s="7"/>
      <c r="C15" s="18" t="s">
        <v>29</v>
      </c>
      <c r="D15" s="216">
        <v>0</v>
      </c>
      <c r="E15" s="21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7">
        <v>251956208</v>
      </c>
      <c r="E16" s="217">
        <v>1089278251</v>
      </c>
      <c r="F16" s="61">
        <f t="shared" ref="F16:M16" si="3">SUM(F11:F15)</f>
        <v>0</v>
      </c>
      <c r="G16" s="39">
        <f t="shared" si="3"/>
        <v>0</v>
      </c>
      <c r="H16" s="61">
        <f>SUM(H11:H15)</f>
        <v>251956208</v>
      </c>
      <c r="I16" s="39">
        <f>SUM(I11:I15)</f>
        <v>1089278251</v>
      </c>
      <c r="J16" s="61">
        <f t="shared" si="3"/>
        <v>0</v>
      </c>
      <c r="K16" s="39">
        <f t="shared" si="3"/>
        <v>0</v>
      </c>
      <c r="L16" s="61">
        <f t="shared" si="3"/>
        <v>251956208</v>
      </c>
      <c r="M16" s="39">
        <f t="shared" si="3"/>
        <v>1089278251</v>
      </c>
    </row>
    <row r="17" spans="1:13" x14ac:dyDescent="0.2">
      <c r="A17" s="9"/>
      <c r="B17" s="7"/>
      <c r="C17" s="6"/>
      <c r="D17" s="218"/>
      <c r="E17" s="21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8"/>
      <c r="E18" s="21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6">
        <v>-160335517</v>
      </c>
      <c r="E19" s="216">
        <v>-690300032</v>
      </c>
      <c r="F19" s="60">
        <f>H19-D19</f>
        <v>0</v>
      </c>
      <c r="G19" s="37">
        <f>I19-E19</f>
        <v>0</v>
      </c>
      <c r="H19" s="65">
        <f t="shared" si="4"/>
        <v>-160335517</v>
      </c>
      <c r="I19" s="66">
        <f t="shared" si="4"/>
        <v>-690300032</v>
      </c>
      <c r="J19" s="60"/>
      <c r="K19" s="38"/>
      <c r="L19" s="60">
        <f t="shared" ref="L19:M23" si="5">H19+J19</f>
        <v>-160335517</v>
      </c>
      <c r="M19" s="38">
        <f t="shared" si="5"/>
        <v>-690300032</v>
      </c>
    </row>
    <row r="20" spans="1:13" x14ac:dyDescent="0.2">
      <c r="A20" s="9">
        <v>7</v>
      </c>
      <c r="B20" s="7"/>
      <c r="C20" s="18" t="s">
        <v>26</v>
      </c>
      <c r="D20" s="216"/>
      <c r="E20" s="216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6">
        <v>-92207938</v>
      </c>
      <c r="E21" s="216">
        <v>-398424782</v>
      </c>
      <c r="F21" s="60">
        <f t="shared" si="6"/>
        <v>0</v>
      </c>
      <c r="G21" s="37">
        <f t="shared" si="6"/>
        <v>0</v>
      </c>
      <c r="H21" s="65">
        <f t="shared" si="4"/>
        <v>-92207938</v>
      </c>
      <c r="I21" s="66">
        <f t="shared" si="4"/>
        <v>-398424782</v>
      </c>
      <c r="J21" s="60"/>
      <c r="K21" s="38"/>
      <c r="L21" s="60">
        <f t="shared" si="5"/>
        <v>-92207938</v>
      </c>
      <c r="M21" s="38">
        <f t="shared" si="5"/>
        <v>-398424782</v>
      </c>
    </row>
    <row r="22" spans="1:13" x14ac:dyDescent="0.2">
      <c r="A22" s="9">
        <v>9</v>
      </c>
      <c r="B22" s="7"/>
      <c r="C22" s="18" t="s">
        <v>28</v>
      </c>
      <c r="D22" s="216"/>
      <c r="E22" s="216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6">
        <v>574829</v>
      </c>
      <c r="E23" s="216">
        <v>2438737</v>
      </c>
      <c r="F23" s="60">
        <f t="shared" si="6"/>
        <v>0</v>
      </c>
      <c r="G23" s="37">
        <f t="shared" si="6"/>
        <v>0</v>
      </c>
      <c r="H23" s="65">
        <f t="shared" si="4"/>
        <v>574829</v>
      </c>
      <c r="I23" s="66">
        <f t="shared" si="4"/>
        <v>2438737</v>
      </c>
      <c r="J23" s="60"/>
      <c r="K23" s="38"/>
      <c r="L23" s="60">
        <f t="shared" si="5"/>
        <v>574829</v>
      </c>
      <c r="M23" s="38">
        <f t="shared" si="5"/>
        <v>2438737</v>
      </c>
    </row>
    <row r="24" spans="1:13" x14ac:dyDescent="0.2">
      <c r="A24" s="9"/>
      <c r="B24" s="7" t="s">
        <v>33</v>
      </c>
      <c r="C24" s="6"/>
      <c r="D24" s="217">
        <v>-251968626</v>
      </c>
      <c r="E24" s="217">
        <v>-1086286077</v>
      </c>
      <c r="F24" s="61">
        <f t="shared" ref="F24:M24" si="7">SUM(F19:F23)</f>
        <v>0</v>
      </c>
      <c r="G24" s="39">
        <f t="shared" si="7"/>
        <v>0</v>
      </c>
      <c r="H24" s="61">
        <f>SUM(H19:H23)</f>
        <v>-251968626</v>
      </c>
      <c r="I24" s="39">
        <f>SUM(I19:I23)</f>
        <v>-1086286077</v>
      </c>
      <c r="J24" s="61">
        <f t="shared" si="7"/>
        <v>0</v>
      </c>
      <c r="K24" s="39">
        <f t="shared" si="7"/>
        <v>0</v>
      </c>
      <c r="L24" s="61">
        <f t="shared" si="7"/>
        <v>-251968626</v>
      </c>
      <c r="M24" s="39">
        <f t="shared" si="7"/>
        <v>-1086286077</v>
      </c>
    </row>
    <row r="25" spans="1:13" x14ac:dyDescent="0.2">
      <c r="A25" s="9"/>
      <c r="B25" s="7"/>
      <c r="C25" s="6"/>
      <c r="D25" s="218"/>
      <c r="E25" s="21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8"/>
      <c r="E26" s="21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6"/>
      <c r="E27" s="216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6"/>
      <c r="E28" s="216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7">
        <v>0</v>
      </c>
      <c r="E29" s="217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8"/>
      <c r="E30" s="21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8"/>
      <c r="E31" s="21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6">
        <v>-15987</v>
      </c>
      <c r="E32" s="216">
        <v>-68946</v>
      </c>
      <c r="F32" s="60">
        <f>H32-D32</f>
        <v>0</v>
      </c>
      <c r="G32" s="37">
        <f>I32-E32</f>
        <v>0</v>
      </c>
      <c r="H32" s="65">
        <f t="shared" ref="H32:I35" si="9">D32</f>
        <v>-15987</v>
      </c>
      <c r="I32" s="66">
        <f t="shared" si="9"/>
        <v>-68946</v>
      </c>
      <c r="J32" s="60"/>
      <c r="K32" s="38"/>
      <c r="L32" s="60">
        <f t="shared" ref="L32:M35" si="10">H32+J32</f>
        <v>-15987</v>
      </c>
      <c r="M32" s="38">
        <f t="shared" si="10"/>
        <v>-68946</v>
      </c>
    </row>
    <row r="33" spans="1:13" x14ac:dyDescent="0.2">
      <c r="A33" s="9">
        <v>14</v>
      </c>
      <c r="B33" s="7"/>
      <c r="C33" s="18" t="s">
        <v>40</v>
      </c>
      <c r="D33" s="216">
        <v>678108</v>
      </c>
      <c r="E33" s="216">
        <v>2882796</v>
      </c>
      <c r="F33" s="60">
        <f t="shared" ref="F33:G35" si="11">H33-D33</f>
        <v>0</v>
      </c>
      <c r="G33" s="37">
        <f t="shared" si="11"/>
        <v>0</v>
      </c>
      <c r="H33" s="65">
        <f t="shared" si="9"/>
        <v>678108</v>
      </c>
      <c r="I33" s="66">
        <f t="shared" si="9"/>
        <v>2882796</v>
      </c>
      <c r="J33" s="60"/>
      <c r="K33" s="38"/>
      <c r="L33" s="60">
        <f t="shared" si="10"/>
        <v>678108</v>
      </c>
      <c r="M33" s="38">
        <f t="shared" si="10"/>
        <v>2882796</v>
      </c>
    </row>
    <row r="34" spans="1:13" x14ac:dyDescent="0.2">
      <c r="A34" s="9">
        <v>15</v>
      </c>
      <c r="B34" s="7"/>
      <c r="C34" s="18" t="s">
        <v>41</v>
      </c>
      <c r="D34" s="216">
        <v>-624629</v>
      </c>
      <c r="E34" s="216">
        <v>-2675858</v>
      </c>
      <c r="F34" s="60">
        <f t="shared" si="11"/>
        <v>0</v>
      </c>
      <c r="G34" s="37">
        <f t="shared" si="11"/>
        <v>0</v>
      </c>
      <c r="H34" s="65">
        <f t="shared" si="9"/>
        <v>-624629</v>
      </c>
      <c r="I34" s="66">
        <f t="shared" si="9"/>
        <v>-2675858</v>
      </c>
      <c r="J34" s="60"/>
      <c r="K34" s="38"/>
      <c r="L34" s="60">
        <f t="shared" si="10"/>
        <v>-624629</v>
      </c>
      <c r="M34" s="38">
        <f t="shared" si="10"/>
        <v>-2675858</v>
      </c>
    </row>
    <row r="35" spans="1:13" x14ac:dyDescent="0.2">
      <c r="A35" s="9">
        <v>16</v>
      </c>
      <c r="B35" s="7"/>
      <c r="C35" s="18" t="s">
        <v>42</v>
      </c>
      <c r="D35" s="216">
        <v>530010</v>
      </c>
      <c r="E35" s="216">
        <v>2113994</v>
      </c>
      <c r="F35" s="60">
        <f t="shared" si="11"/>
        <v>0</v>
      </c>
      <c r="G35" s="37">
        <f t="shared" si="11"/>
        <v>0</v>
      </c>
      <c r="H35" s="65">
        <f t="shared" si="9"/>
        <v>530010</v>
      </c>
      <c r="I35" s="66">
        <f t="shared" si="9"/>
        <v>2113994</v>
      </c>
      <c r="J35" s="60"/>
      <c r="K35" s="38"/>
      <c r="L35" s="60">
        <f t="shared" si="10"/>
        <v>530010</v>
      </c>
      <c r="M35" s="38">
        <f t="shared" si="10"/>
        <v>2113994</v>
      </c>
    </row>
    <row r="36" spans="1:13" x14ac:dyDescent="0.2">
      <c r="A36" s="9"/>
      <c r="B36" s="7" t="s">
        <v>43</v>
      </c>
      <c r="C36" s="6"/>
      <c r="D36" s="217">
        <v>567502</v>
      </c>
      <c r="E36" s="217">
        <v>2251986</v>
      </c>
      <c r="F36" s="61">
        <f>SUM(F32:F35)</f>
        <v>0</v>
      </c>
      <c r="G36" s="39">
        <f>SUM(G32:G35)</f>
        <v>0</v>
      </c>
      <c r="H36" s="61">
        <f>SUM(H32:H35)</f>
        <v>567502</v>
      </c>
      <c r="I36" s="39">
        <f>SUM(I32:I35)</f>
        <v>2251986</v>
      </c>
      <c r="J36" s="61">
        <f>SUM(J32:J34)</f>
        <v>0</v>
      </c>
      <c r="K36" s="39">
        <f>SUM(K32:K34)</f>
        <v>0</v>
      </c>
      <c r="L36" s="61">
        <f>SUM(L32:L35)</f>
        <v>567502</v>
      </c>
      <c r="M36" s="39">
        <f>SUM(M32:M35)</f>
        <v>2251986</v>
      </c>
    </row>
    <row r="37" spans="1:13" x14ac:dyDescent="0.2">
      <c r="A37" s="9"/>
      <c r="B37" s="7"/>
      <c r="C37" s="6"/>
      <c r="D37" s="218"/>
      <c r="E37" s="218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8"/>
      <c r="E38" s="21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6">
        <v>1423689</v>
      </c>
      <c r="E39" s="216">
        <v>6198360</v>
      </c>
      <c r="F39" s="60">
        <f t="shared" ref="F39:G41" si="13">H39-D39</f>
        <v>0</v>
      </c>
      <c r="G39" s="37">
        <f t="shared" si="13"/>
        <v>0</v>
      </c>
      <c r="H39" s="65">
        <f t="shared" si="12"/>
        <v>1423689</v>
      </c>
      <c r="I39" s="66">
        <f t="shared" si="12"/>
        <v>6198360</v>
      </c>
      <c r="J39" s="60"/>
      <c r="K39" s="38"/>
      <c r="L39" s="60">
        <f t="shared" ref="L39:M41" si="14">H39+J39</f>
        <v>1423689</v>
      </c>
      <c r="M39" s="38">
        <f t="shared" si="14"/>
        <v>6198360</v>
      </c>
    </row>
    <row r="40" spans="1:13" ht="22.5" customHeight="1" x14ac:dyDescent="0.2">
      <c r="A40" s="9">
        <v>18</v>
      </c>
      <c r="B40" s="7"/>
      <c r="C40" s="18" t="s">
        <v>46</v>
      </c>
      <c r="D40" s="216">
        <v>-1006097</v>
      </c>
      <c r="E40" s="216">
        <v>-4370253</v>
      </c>
      <c r="F40" s="60">
        <f t="shared" si="13"/>
        <v>0</v>
      </c>
      <c r="G40" s="37">
        <f t="shared" si="13"/>
        <v>0</v>
      </c>
      <c r="H40" s="65">
        <f t="shared" si="12"/>
        <v>-1006097</v>
      </c>
      <c r="I40" s="66">
        <f t="shared" si="12"/>
        <v>-4370253</v>
      </c>
      <c r="J40" s="60"/>
      <c r="K40" s="38"/>
      <c r="L40" s="60">
        <f t="shared" si="14"/>
        <v>-1006097</v>
      </c>
      <c r="M40" s="38">
        <f t="shared" si="14"/>
        <v>-4370253</v>
      </c>
    </row>
    <row r="41" spans="1:13" x14ac:dyDescent="0.2">
      <c r="A41" s="9">
        <v>19</v>
      </c>
      <c r="B41" s="7"/>
      <c r="C41" s="18" t="s">
        <v>47</v>
      </c>
      <c r="D41" s="216">
        <v>0</v>
      </c>
      <c r="E41" s="21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7">
        <v>-1006097</v>
      </c>
      <c r="E42" s="217">
        <v>-4370253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-1006097</v>
      </c>
      <c r="I42" s="39">
        <f>SUM(I40:I41)</f>
        <v>-4370253</v>
      </c>
      <c r="J42" s="61">
        <f t="shared" si="15"/>
        <v>0</v>
      </c>
      <c r="K42" s="39">
        <f t="shared" si="15"/>
        <v>0</v>
      </c>
      <c r="L42" s="61">
        <f t="shared" si="15"/>
        <v>-1006097</v>
      </c>
      <c r="M42" s="39">
        <f t="shared" si="15"/>
        <v>-4370253</v>
      </c>
    </row>
    <row r="43" spans="1:13" ht="21" customHeight="1" x14ac:dyDescent="0.2">
      <c r="A43" s="9"/>
      <c r="B43" s="7" t="s">
        <v>49</v>
      </c>
      <c r="C43" s="6"/>
      <c r="D43" s="217">
        <v>417592</v>
      </c>
      <c r="E43" s="217">
        <v>1828107</v>
      </c>
      <c r="F43" s="61">
        <f t="shared" ref="F43:M43" si="16">F42+F39</f>
        <v>0</v>
      </c>
      <c r="G43" s="39">
        <f t="shared" si="16"/>
        <v>0</v>
      </c>
      <c r="H43" s="61">
        <f>H42+H39</f>
        <v>417592</v>
      </c>
      <c r="I43" s="39">
        <f>I42+I39</f>
        <v>1828107</v>
      </c>
      <c r="J43" s="61">
        <f t="shared" si="16"/>
        <v>0</v>
      </c>
      <c r="K43" s="39">
        <f t="shared" si="16"/>
        <v>0</v>
      </c>
      <c r="L43" s="61">
        <f t="shared" si="16"/>
        <v>417592</v>
      </c>
      <c r="M43" s="39">
        <f t="shared" si="16"/>
        <v>1828107</v>
      </c>
    </row>
    <row r="44" spans="1:13" x14ac:dyDescent="0.2">
      <c r="A44" s="9"/>
      <c r="B44" s="7"/>
      <c r="C44" s="6"/>
      <c r="D44" s="218"/>
      <c r="E44" s="21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6">
        <v>0</v>
      </c>
      <c r="E45" s="21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8"/>
      <c r="E46" s="21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6">
        <v>0</v>
      </c>
      <c r="E47" s="21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8"/>
      <c r="E48" s="21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6">
        <v>-972676</v>
      </c>
      <c r="E49" s="216">
        <v>-4175600.8004000005</v>
      </c>
      <c r="F49" s="60">
        <f>H49-D49</f>
        <v>0</v>
      </c>
      <c r="G49" s="37">
        <f>I49-E49</f>
        <v>0</v>
      </c>
      <c r="H49" s="65">
        <f>D49</f>
        <v>-972676</v>
      </c>
      <c r="I49" s="66">
        <f>E49</f>
        <v>-4175600.8004000005</v>
      </c>
      <c r="J49" s="60"/>
      <c r="K49" s="38"/>
      <c r="L49" s="60">
        <f>H49+J49</f>
        <v>-972676</v>
      </c>
      <c r="M49" s="38">
        <f>I49+K49</f>
        <v>-4175600.8004000005</v>
      </c>
    </row>
    <row r="50" spans="1:15" x14ac:dyDescent="0.2">
      <c r="A50" s="9"/>
      <c r="B50" s="7"/>
      <c r="C50" s="6"/>
      <c r="D50" s="218"/>
      <c r="E50" s="21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6">
        <v>-574829</v>
      </c>
      <c r="E51" s="216">
        <v>-2438737</v>
      </c>
      <c r="F51" s="60">
        <f>H51-D51</f>
        <v>0</v>
      </c>
      <c r="G51" s="37">
        <f>I51-E51</f>
        <v>0</v>
      </c>
      <c r="H51" s="65">
        <f>D51</f>
        <v>-574829</v>
      </c>
      <c r="I51" s="66">
        <f>E51</f>
        <v>-2438737</v>
      </c>
      <c r="J51" s="60"/>
      <c r="K51" s="38"/>
      <c r="L51" s="60">
        <f>H51+J51</f>
        <v>-574829</v>
      </c>
      <c r="M51" s="38">
        <f>I51+K51</f>
        <v>-2438737</v>
      </c>
    </row>
    <row r="52" spans="1:15" x14ac:dyDescent="0.2">
      <c r="A52" s="9"/>
      <c r="B52" s="7"/>
      <c r="C52" s="6"/>
      <c r="D52" s="218"/>
      <c r="E52" s="21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8"/>
      <c r="E53" s="21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6">
        <v>0</v>
      </c>
      <c r="E54" s="216">
        <v>-2048301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-2048301</v>
      </c>
      <c r="J54" s="60"/>
      <c r="K54" s="38"/>
      <c r="L54" s="60">
        <f>H54+J54</f>
        <v>0</v>
      </c>
      <c r="M54" s="38">
        <f>I54+K54</f>
        <v>-2048301</v>
      </c>
    </row>
    <row r="55" spans="1:15" x14ac:dyDescent="0.2">
      <c r="A55" s="9">
        <v>25</v>
      </c>
      <c r="B55" s="7"/>
      <c r="C55" s="18" t="s">
        <v>56</v>
      </c>
      <c r="D55" s="216">
        <v>0</v>
      </c>
      <c r="E55" s="216">
        <v>-2220811.5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-2220811.5</v>
      </c>
      <c r="J55" s="60"/>
      <c r="K55" s="38"/>
      <c r="L55" s="60">
        <f>H55+J55</f>
        <v>0</v>
      </c>
      <c r="M55" s="38">
        <f>I55+K55</f>
        <v>-2220811.5</v>
      </c>
    </row>
    <row r="56" spans="1:15" x14ac:dyDescent="0.2">
      <c r="A56" s="9"/>
      <c r="B56" s="7" t="s">
        <v>57</v>
      </c>
      <c r="C56" s="6"/>
      <c r="D56" s="217">
        <v>0</v>
      </c>
      <c r="E56" s="217">
        <v>-4269112.5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-4269112.5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-4269112.5</v>
      </c>
    </row>
    <row r="57" spans="1:15" x14ac:dyDescent="0.2">
      <c r="A57" s="9"/>
      <c r="B57" s="7"/>
      <c r="C57" s="6"/>
      <c r="D57" s="218"/>
      <c r="E57" s="21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8"/>
      <c r="E58" s="21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6">
        <v>0</v>
      </c>
      <c r="E59" s="21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6">
        <v>0</v>
      </c>
      <c r="E60" s="21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7">
        <v>0</v>
      </c>
      <c r="E61" s="217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8"/>
      <c r="E62" s="21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8"/>
      <c r="E63" s="21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6">
        <v>0</v>
      </c>
      <c r="E64" s="21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6">
        <v>0</v>
      </c>
      <c r="E65" s="21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7">
        <v>0</v>
      </c>
      <c r="E66" s="217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8"/>
      <c r="E67" s="21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8"/>
      <c r="E68" s="21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8"/>
      <c r="E69" s="21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6">
        <v>0</v>
      </c>
      <c r="E70" s="216">
        <v>-5134326.6295999996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-5134326.6295999996</v>
      </c>
      <c r="J70" s="60"/>
      <c r="K70" s="38"/>
      <c r="L70" s="60">
        <f>H70+J70</f>
        <v>0</v>
      </c>
      <c r="M70" s="38">
        <f>I70+K70</f>
        <v>-5134326.6295999996</v>
      </c>
    </row>
    <row r="71" spans="1:13" x14ac:dyDescent="0.2">
      <c r="A71" s="9">
        <v>31</v>
      </c>
      <c r="B71" s="3"/>
      <c r="C71" s="10" t="s">
        <v>68</v>
      </c>
      <c r="D71" s="216">
        <v>0</v>
      </c>
      <c r="E71" s="216">
        <v>-14964909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-14964909</v>
      </c>
      <c r="J71" s="60"/>
      <c r="K71" s="38"/>
      <c r="L71" s="60">
        <f>H71+J71</f>
        <v>0</v>
      </c>
      <c r="M71" s="38">
        <f>I71+K71</f>
        <v>-14964909</v>
      </c>
    </row>
    <row r="72" spans="1:13" x14ac:dyDescent="0.2">
      <c r="A72" s="9"/>
      <c r="B72" s="3"/>
      <c r="C72" s="55" t="s">
        <v>69</v>
      </c>
      <c r="D72" s="217">
        <v>0</v>
      </c>
      <c r="E72" s="217">
        <v>-20099235.6296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-20099235.6296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-20099235.6296</v>
      </c>
    </row>
    <row r="73" spans="1:13" x14ac:dyDescent="0.2">
      <c r="A73" s="9">
        <v>32</v>
      </c>
      <c r="B73" s="3"/>
      <c r="C73" s="10" t="s">
        <v>70</v>
      </c>
      <c r="D73" s="216">
        <v>0</v>
      </c>
      <c r="E73" s="216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6">
        <v>0</v>
      </c>
      <c r="E74" s="216">
        <v>13849134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13849134</v>
      </c>
      <c r="J74" s="60"/>
      <c r="K74" s="38"/>
      <c r="L74" s="60">
        <f t="shared" si="22"/>
        <v>0</v>
      </c>
      <c r="M74" s="38">
        <f t="shared" si="22"/>
        <v>13849134</v>
      </c>
    </row>
    <row r="75" spans="1:13" x14ac:dyDescent="0.2">
      <c r="A75" s="9">
        <v>34</v>
      </c>
      <c r="B75" s="3"/>
      <c r="C75" s="10" t="s">
        <v>72</v>
      </c>
      <c r="D75" s="216">
        <v>0</v>
      </c>
      <c r="E75" s="216">
        <v>210386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210386</v>
      </c>
      <c r="J75" s="60"/>
      <c r="K75" s="38"/>
      <c r="L75" s="60">
        <f t="shared" si="22"/>
        <v>0</v>
      </c>
      <c r="M75" s="38">
        <f t="shared" si="22"/>
        <v>210386</v>
      </c>
    </row>
    <row r="76" spans="1:13" x14ac:dyDescent="0.2">
      <c r="A76" s="9">
        <v>35</v>
      </c>
      <c r="B76" s="3"/>
      <c r="C76" s="10" t="s">
        <v>73</v>
      </c>
      <c r="D76" s="216">
        <v>0</v>
      </c>
      <c r="E76" s="216">
        <v>-867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</v>
      </c>
      <c r="J76" s="60"/>
      <c r="K76" s="38"/>
      <c r="L76" s="60">
        <f t="shared" si="22"/>
        <v>0</v>
      </c>
      <c r="M76" s="38">
        <f t="shared" si="22"/>
        <v>-867</v>
      </c>
    </row>
    <row r="77" spans="1:13" x14ac:dyDescent="0.2">
      <c r="A77" s="9">
        <v>36</v>
      </c>
      <c r="B77" s="3"/>
      <c r="C77" s="10" t="s">
        <v>74</v>
      </c>
      <c r="D77" s="216">
        <v>0</v>
      </c>
      <c r="E77" s="216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6">
        <v>0</v>
      </c>
      <c r="E78" s="216">
        <v>23733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23733</v>
      </c>
      <c r="J78" s="60"/>
      <c r="K78" s="38"/>
      <c r="L78" s="60">
        <f t="shared" si="22"/>
        <v>0</v>
      </c>
      <c r="M78" s="38">
        <f t="shared" si="22"/>
        <v>23733</v>
      </c>
    </row>
    <row r="79" spans="1:13" x14ac:dyDescent="0.2">
      <c r="A79" s="9">
        <v>38</v>
      </c>
      <c r="B79" s="3"/>
      <c r="C79" s="10" t="s">
        <v>76</v>
      </c>
      <c r="D79" s="216">
        <v>0</v>
      </c>
      <c r="E79" s="216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6">
        <v>0</v>
      </c>
      <c r="E80" s="216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6">
        <v>0</v>
      </c>
      <c r="E81" s="216">
        <v>963669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963669</v>
      </c>
      <c r="J81" s="60"/>
      <c r="K81" s="38"/>
      <c r="L81" s="60">
        <f t="shared" si="22"/>
        <v>0</v>
      </c>
      <c r="M81" s="38">
        <f t="shared" si="22"/>
        <v>963669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-8911113.9300000481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-8911113.9300000481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-8911113.9300000481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-42632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-42632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-42632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-42632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-42632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-42632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-8953745.9300000481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-8953745.9300000481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-8953745.9300000481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E52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65293826</v>
      </c>
      <c r="E11" s="146">
        <v>295459076</v>
      </c>
      <c r="F11" s="65">
        <f>H11-D11</f>
        <v>0</v>
      </c>
      <c r="G11" s="63">
        <f>I11-E11</f>
        <v>0</v>
      </c>
      <c r="H11" s="65">
        <f>D11</f>
        <v>65293826</v>
      </c>
      <c r="I11" s="66">
        <f>E11</f>
        <v>295459076</v>
      </c>
      <c r="J11" s="60"/>
      <c r="K11" s="38"/>
      <c r="L11" s="60">
        <f t="shared" ref="L11:M15" si="0">H11+J11</f>
        <v>65293826</v>
      </c>
      <c r="M11" s="38">
        <f t="shared" si="0"/>
        <v>295459076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8679509</v>
      </c>
      <c r="E13" s="146">
        <v>39511966</v>
      </c>
      <c r="F13" s="65">
        <f t="shared" si="1"/>
        <v>0</v>
      </c>
      <c r="G13" s="63">
        <f t="shared" si="1"/>
        <v>0</v>
      </c>
      <c r="H13" s="65">
        <f t="shared" si="2"/>
        <v>8679509</v>
      </c>
      <c r="I13" s="66">
        <f t="shared" si="2"/>
        <v>39511966</v>
      </c>
      <c r="J13" s="60"/>
      <c r="K13" s="38"/>
      <c r="L13" s="60">
        <f t="shared" si="0"/>
        <v>8679509</v>
      </c>
      <c r="M13" s="38">
        <f t="shared" si="0"/>
        <v>39511966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73973335</v>
      </c>
      <c r="E16" s="166">
        <v>334971042</v>
      </c>
      <c r="F16" s="61">
        <f t="shared" ref="F16:M16" si="3">SUM(F11:F15)</f>
        <v>0</v>
      </c>
      <c r="G16" s="39">
        <f t="shared" si="3"/>
        <v>0</v>
      </c>
      <c r="H16" s="61">
        <f>SUM(H11:H15)</f>
        <v>73973335</v>
      </c>
      <c r="I16" s="39">
        <f>SUM(I11:I15)</f>
        <v>334971042</v>
      </c>
      <c r="J16" s="61">
        <f t="shared" si="3"/>
        <v>0</v>
      </c>
      <c r="K16" s="39">
        <f t="shared" si="3"/>
        <v>0</v>
      </c>
      <c r="L16" s="61">
        <f t="shared" si="3"/>
        <v>73973335</v>
      </c>
      <c r="M16" s="39">
        <f t="shared" si="3"/>
        <v>334971042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-60041053</v>
      </c>
      <c r="E19" s="146">
        <v>-271749316</v>
      </c>
      <c r="F19" s="65">
        <f>H19-D19</f>
        <v>0</v>
      </c>
      <c r="G19" s="63">
        <f>I19-E19</f>
        <v>0</v>
      </c>
      <c r="H19" s="65">
        <f t="shared" si="4"/>
        <v>-60041053</v>
      </c>
      <c r="I19" s="66">
        <f t="shared" si="4"/>
        <v>-271749316</v>
      </c>
      <c r="J19" s="60"/>
      <c r="K19" s="38"/>
      <c r="L19" s="60">
        <f t="shared" ref="L19:M23" si="5">H19+J19</f>
        <v>-60041053</v>
      </c>
      <c r="M19" s="38">
        <f t="shared" si="5"/>
        <v>-271749316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-15310495</v>
      </c>
      <c r="E21" s="146">
        <v>-69724975</v>
      </c>
      <c r="F21" s="65">
        <f t="shared" si="6"/>
        <v>0</v>
      </c>
      <c r="G21" s="63">
        <f t="shared" si="6"/>
        <v>0</v>
      </c>
      <c r="H21" s="65">
        <f t="shared" si="4"/>
        <v>-15310495</v>
      </c>
      <c r="I21" s="66">
        <f t="shared" si="4"/>
        <v>-69724975</v>
      </c>
      <c r="J21" s="60"/>
      <c r="K21" s="38"/>
      <c r="L21" s="60">
        <f t="shared" si="5"/>
        <v>-15310495</v>
      </c>
      <c r="M21" s="38">
        <f t="shared" si="5"/>
        <v>-69724975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113651</v>
      </c>
      <c r="E23" s="146">
        <v>503435</v>
      </c>
      <c r="F23" s="65">
        <f t="shared" si="6"/>
        <v>0</v>
      </c>
      <c r="G23" s="63">
        <f t="shared" si="6"/>
        <v>0</v>
      </c>
      <c r="H23" s="65">
        <f t="shared" si="4"/>
        <v>113651</v>
      </c>
      <c r="I23" s="66">
        <f t="shared" si="4"/>
        <v>503435</v>
      </c>
      <c r="J23" s="60"/>
      <c r="K23" s="38"/>
      <c r="L23" s="60">
        <f t="shared" si="5"/>
        <v>113651</v>
      </c>
      <c r="M23" s="38">
        <f t="shared" si="5"/>
        <v>503435</v>
      </c>
    </row>
    <row r="24" spans="1:13" x14ac:dyDescent="0.2">
      <c r="A24" s="9"/>
      <c r="B24" s="7" t="s">
        <v>33</v>
      </c>
      <c r="C24" s="6"/>
      <c r="D24" s="166">
        <v>-75237897</v>
      </c>
      <c r="E24" s="166">
        <v>-340970856</v>
      </c>
      <c r="F24" s="61">
        <f t="shared" ref="F24:M24" si="7">SUM(F19:F23)</f>
        <v>0</v>
      </c>
      <c r="G24" s="39">
        <f t="shared" si="7"/>
        <v>0</v>
      </c>
      <c r="H24" s="61">
        <f>SUM(H19:H23)</f>
        <v>-75237897</v>
      </c>
      <c r="I24" s="39">
        <f>SUM(I19:I23)</f>
        <v>-340970856</v>
      </c>
      <c r="J24" s="61">
        <f t="shared" si="7"/>
        <v>0</v>
      </c>
      <c r="K24" s="39">
        <f t="shared" si="7"/>
        <v>0</v>
      </c>
      <c r="L24" s="61">
        <f t="shared" si="7"/>
        <v>-75237897</v>
      </c>
      <c r="M24" s="39">
        <f t="shared" si="7"/>
        <v>-340970856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62465</v>
      </c>
      <c r="E32" s="146">
        <v>282829</v>
      </c>
      <c r="F32" s="65">
        <f>H32-D32</f>
        <v>0</v>
      </c>
      <c r="G32" s="63">
        <f>I32-E32</f>
        <v>0</v>
      </c>
      <c r="H32" s="65">
        <f t="shared" ref="H32:I35" si="9">D32</f>
        <v>62465</v>
      </c>
      <c r="I32" s="66">
        <f t="shared" si="9"/>
        <v>282829</v>
      </c>
      <c r="J32" s="60"/>
      <c r="K32" s="38"/>
      <c r="L32" s="60">
        <f t="shared" ref="L32:M35" si="10">H32+J32</f>
        <v>62465</v>
      </c>
      <c r="M32" s="38">
        <f t="shared" si="10"/>
        <v>282829</v>
      </c>
    </row>
    <row r="33" spans="1:13" x14ac:dyDescent="0.2">
      <c r="A33" s="9">
        <v>14</v>
      </c>
      <c r="B33" s="7"/>
      <c r="C33" s="18" t="s">
        <v>40</v>
      </c>
      <c r="D33" s="146">
        <v>208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208</v>
      </c>
      <c r="I33" s="66">
        <f t="shared" si="9"/>
        <v>0</v>
      </c>
      <c r="J33" s="60"/>
      <c r="K33" s="38"/>
      <c r="L33" s="60">
        <f t="shared" si="10"/>
        <v>208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248589</v>
      </c>
      <c r="E35" s="146">
        <v>1404828</v>
      </c>
      <c r="F35" s="65">
        <f t="shared" si="11"/>
        <v>0</v>
      </c>
      <c r="G35" s="63">
        <f t="shared" si="11"/>
        <v>0</v>
      </c>
      <c r="H35" s="65">
        <f t="shared" si="9"/>
        <v>248589</v>
      </c>
      <c r="I35" s="66">
        <f t="shared" si="9"/>
        <v>1404828</v>
      </c>
      <c r="J35" s="60"/>
      <c r="K35" s="38"/>
      <c r="L35" s="60">
        <f t="shared" si="10"/>
        <v>248589</v>
      </c>
      <c r="M35" s="38">
        <f t="shared" si="10"/>
        <v>1404828</v>
      </c>
    </row>
    <row r="36" spans="1:13" x14ac:dyDescent="0.2">
      <c r="A36" s="9"/>
      <c r="B36" s="7" t="s">
        <v>43</v>
      </c>
      <c r="C36" s="6"/>
      <c r="D36" s="166">
        <v>311262</v>
      </c>
      <c r="E36" s="166">
        <v>1687657</v>
      </c>
      <c r="F36" s="61">
        <f>SUM(F32:F35)</f>
        <v>0</v>
      </c>
      <c r="G36" s="39">
        <f>SUM(G32:G35)</f>
        <v>0</v>
      </c>
      <c r="H36" s="61">
        <f>SUM(H32:H35)</f>
        <v>311262</v>
      </c>
      <c r="I36" s="39">
        <f>SUM(I32:I35)</f>
        <v>1687657</v>
      </c>
      <c r="J36" s="61">
        <f>SUM(J32:J34)</f>
        <v>0</v>
      </c>
      <c r="K36" s="39">
        <f>SUM(K32:K34)</f>
        <v>0</v>
      </c>
      <c r="L36" s="61">
        <f>SUM(L32:L35)</f>
        <v>311262</v>
      </c>
      <c r="M36" s="39">
        <f>SUM(M32:M35)</f>
        <v>1687657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1058782</v>
      </c>
      <c r="E39" s="146">
        <v>220712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1058782</v>
      </c>
      <c r="I39" s="66">
        <f t="shared" si="12"/>
        <v>220712</v>
      </c>
      <c r="J39" s="60"/>
      <c r="K39" s="38"/>
      <c r="L39" s="60">
        <f t="shared" ref="L39:M41" si="14">H39+J39</f>
        <v>1058782</v>
      </c>
      <c r="M39" s="38">
        <f t="shared" si="14"/>
        <v>220712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-1000000</v>
      </c>
      <c r="E40" s="146">
        <v>-10</v>
      </c>
      <c r="F40" s="65">
        <f t="shared" si="13"/>
        <v>0</v>
      </c>
      <c r="G40" s="63">
        <f t="shared" si="13"/>
        <v>0</v>
      </c>
      <c r="H40" s="65">
        <f t="shared" si="12"/>
        <v>-1000000</v>
      </c>
      <c r="I40" s="66">
        <f t="shared" si="12"/>
        <v>-10</v>
      </c>
      <c r="J40" s="60"/>
      <c r="K40" s="38"/>
      <c r="L40" s="60">
        <f t="shared" si="14"/>
        <v>-1000000</v>
      </c>
      <c r="M40" s="38">
        <f t="shared" si="14"/>
        <v>-10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-1000000</v>
      </c>
      <c r="E42" s="166">
        <v>-10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-1000000</v>
      </c>
      <c r="I42" s="39">
        <f>SUM(I40:I41)</f>
        <v>-10</v>
      </c>
      <c r="J42" s="61">
        <f t="shared" si="15"/>
        <v>0</v>
      </c>
      <c r="K42" s="39">
        <f t="shared" si="15"/>
        <v>0</v>
      </c>
      <c r="L42" s="61">
        <f t="shared" si="15"/>
        <v>-1000000</v>
      </c>
      <c r="M42" s="39">
        <f t="shared" si="15"/>
        <v>-10</v>
      </c>
    </row>
    <row r="43" spans="1:13" ht="21" customHeight="1" x14ac:dyDescent="0.2">
      <c r="A43" s="9"/>
      <c r="B43" s="7" t="s">
        <v>49</v>
      </c>
      <c r="C43" s="6"/>
      <c r="D43" s="166">
        <v>58782</v>
      </c>
      <c r="E43" s="166">
        <v>220702</v>
      </c>
      <c r="F43" s="61">
        <f t="shared" ref="F43:M43" si="16">F42+F39</f>
        <v>0</v>
      </c>
      <c r="G43" s="39">
        <f t="shared" si="16"/>
        <v>0</v>
      </c>
      <c r="H43" s="61">
        <f>H42+H39</f>
        <v>58782</v>
      </c>
      <c r="I43" s="39">
        <f>I42+I39</f>
        <v>220702</v>
      </c>
      <c r="J43" s="61">
        <f t="shared" si="16"/>
        <v>0</v>
      </c>
      <c r="K43" s="39">
        <f t="shared" si="16"/>
        <v>0</v>
      </c>
      <c r="L43" s="61">
        <f t="shared" si="16"/>
        <v>58782</v>
      </c>
      <c r="M43" s="39">
        <f t="shared" si="16"/>
        <v>220702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894518</v>
      </c>
      <c r="E49" s="146">
        <v>4034276.18</v>
      </c>
      <c r="F49" s="65">
        <f>H49-D49</f>
        <v>0</v>
      </c>
      <c r="G49" s="63">
        <f>I49-E49</f>
        <v>0</v>
      </c>
      <c r="H49" s="65">
        <f>D49</f>
        <v>894518</v>
      </c>
      <c r="I49" s="66">
        <f>E49</f>
        <v>4034276.18</v>
      </c>
      <c r="J49" s="60"/>
      <c r="K49" s="38"/>
      <c r="L49" s="60">
        <f>H49+J49</f>
        <v>894518</v>
      </c>
      <c r="M49" s="38">
        <f>I49+K49</f>
        <v>4034276.18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-113651</v>
      </c>
      <c r="E51" s="146">
        <v>-503435</v>
      </c>
      <c r="F51" s="65">
        <f>H51-D51</f>
        <v>0</v>
      </c>
      <c r="G51" s="63">
        <f>I51-E51</f>
        <v>0</v>
      </c>
      <c r="H51" s="65">
        <f>D51</f>
        <v>-113651</v>
      </c>
      <c r="I51" s="66">
        <f>E51</f>
        <v>-503435</v>
      </c>
      <c r="J51" s="60"/>
      <c r="K51" s="38"/>
      <c r="L51" s="60">
        <f>H51+J51</f>
        <v>-113651</v>
      </c>
      <c r="M51" s="38">
        <f>I51+K51</f>
        <v>-503435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-341659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-341659</v>
      </c>
      <c r="J54" s="60"/>
      <c r="K54" s="38"/>
      <c r="L54" s="60">
        <f>H54+J54</f>
        <v>0</v>
      </c>
      <c r="M54" s="38">
        <f>I54+K54</f>
        <v>-341659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-320894.12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-320894.12</v>
      </c>
      <c r="J55" s="60"/>
      <c r="K55" s="38"/>
      <c r="L55" s="60">
        <f>H55+J55</f>
        <v>0</v>
      </c>
      <c r="M55" s="38">
        <f>I55+K55</f>
        <v>-320894.12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-662553.12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-662553.12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-662553.12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1198403.767599999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1198403.767599999</v>
      </c>
      <c r="J70" s="60"/>
      <c r="K70" s="38"/>
      <c r="L70" s="60">
        <f>H70+J70</f>
        <v>0</v>
      </c>
      <c r="M70" s="38">
        <f>I70+K70</f>
        <v>1198403.767599999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-6919988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-6919988</v>
      </c>
      <c r="J71" s="60"/>
      <c r="K71" s="38"/>
      <c r="L71" s="60">
        <f>H71+J71</f>
        <v>0</v>
      </c>
      <c r="M71" s="38">
        <f>I71+K71</f>
        <v>-6919988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-5721584.232400001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-5721584.232400001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-5721584.232400001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6805714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6805714</v>
      </c>
      <c r="J74" s="60"/>
      <c r="K74" s="38"/>
      <c r="L74" s="60">
        <f t="shared" si="22"/>
        <v>0</v>
      </c>
      <c r="M74" s="38">
        <f t="shared" si="22"/>
        <v>6805714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18346.419999999998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18346.419999999998</v>
      </c>
      <c r="J75" s="60"/>
      <c r="K75" s="38"/>
      <c r="L75" s="60">
        <f t="shared" si="22"/>
        <v>0</v>
      </c>
      <c r="M75" s="38">
        <f t="shared" si="22"/>
        <v>18346.419999999998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-504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-504</v>
      </c>
      <c r="J76" s="60"/>
      <c r="K76" s="38"/>
      <c r="L76" s="60">
        <f t="shared" si="22"/>
        <v>0</v>
      </c>
      <c r="M76" s="38">
        <f t="shared" si="22"/>
        <v>-504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-38551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-38551</v>
      </c>
      <c r="J81" s="65"/>
      <c r="K81" s="66"/>
      <c r="L81" s="60">
        <f t="shared" si="22"/>
        <v>0</v>
      </c>
      <c r="M81" s="38">
        <f t="shared" si="22"/>
        <v>-38551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-159745.75239998323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-159745.75239998323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-159745.75239998323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153756420</v>
      </c>
      <c r="E11" s="66">
        <f>'EAST-EGM-FLSH'!E11+'EAST-LRC-FLSH'!E11</f>
        <v>663373729</v>
      </c>
      <c r="F11" s="37">
        <f>H11-D11</f>
        <v>0</v>
      </c>
      <c r="G11" s="37">
        <f>I11-E11</f>
        <v>0</v>
      </c>
      <c r="H11" s="60">
        <f>'EAST-EGM-FLSH'!H11+'EAST-LRC-FLSH'!H11</f>
        <v>153756420</v>
      </c>
      <c r="I11" s="38">
        <f>'EAST-EGM-FLSH'!I11+'EAST-LRC-FLSH'!I11</f>
        <v>663373729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153756420</v>
      </c>
      <c r="M11" s="38">
        <f t="shared" si="0"/>
        <v>663373729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98199788</v>
      </c>
      <c r="E13" s="66">
        <f>'EAST-EGM-FLSH'!E13+'EAST-LRC-FLSH'!E13</f>
        <v>425874002</v>
      </c>
      <c r="F13" s="60">
        <f t="shared" si="1"/>
        <v>0</v>
      </c>
      <c r="G13" s="37">
        <f t="shared" si="1"/>
        <v>0</v>
      </c>
      <c r="H13" s="60">
        <f>'EAST-EGM-FLSH'!H13+'EAST-LRC-FLSH'!H13</f>
        <v>98199788</v>
      </c>
      <c r="I13" s="38">
        <f>'EAST-EGM-FLSH'!I13+'EAST-LRC-FLSH'!I13</f>
        <v>425874002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98199788</v>
      </c>
      <c r="M13" s="38">
        <f t="shared" si="0"/>
        <v>425874002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30520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30520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30520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251956208</v>
      </c>
      <c r="E16" s="39">
        <f>SUM(E11:E15)</f>
        <v>1089278251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251956208</v>
      </c>
      <c r="I16" s="39">
        <f t="shared" si="2"/>
        <v>1089278251</v>
      </c>
      <c r="J16" s="61">
        <f t="shared" si="2"/>
        <v>0</v>
      </c>
      <c r="K16" s="39">
        <f t="shared" si="2"/>
        <v>0</v>
      </c>
      <c r="L16" s="61">
        <f t="shared" si="2"/>
        <v>251956208</v>
      </c>
      <c r="M16" s="39">
        <f t="shared" si="2"/>
        <v>1089278251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-160335517</v>
      </c>
      <c r="E19" s="66">
        <f>'EAST-EGM-FLSH'!E19+'EAST-LRC-FLSH'!E19</f>
        <v>-690300032</v>
      </c>
      <c r="F19" s="60">
        <f>H19-D19</f>
        <v>0</v>
      </c>
      <c r="G19" s="37">
        <f>I19-E19</f>
        <v>0</v>
      </c>
      <c r="H19" s="60">
        <f>'EAST-EGM-FLSH'!H19+'EAST-LRC-FLSH'!H19</f>
        <v>-160335517</v>
      </c>
      <c r="I19" s="38">
        <f>'EAST-EGM-FLSH'!I19+'EAST-LRC-FLSH'!I19</f>
        <v>-690300032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-160335517</v>
      </c>
      <c r="M19" s="38">
        <f t="shared" si="3"/>
        <v>-690300032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-92207938</v>
      </c>
      <c r="E21" s="66">
        <f>'EAST-EGM-FLSH'!E21+'EAST-LRC-FLSH'!E21</f>
        <v>-398424782</v>
      </c>
      <c r="F21" s="60">
        <f t="shared" si="4"/>
        <v>0</v>
      </c>
      <c r="G21" s="37">
        <f t="shared" si="4"/>
        <v>0</v>
      </c>
      <c r="H21" s="60">
        <f>'EAST-EGM-FLSH'!H21+'EAST-LRC-FLSH'!H21</f>
        <v>-92207938</v>
      </c>
      <c r="I21" s="38">
        <f>'EAST-EGM-FLSH'!I21+'EAST-LRC-FLSH'!I21</f>
        <v>-398424782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-92207938</v>
      </c>
      <c r="M21" s="38">
        <f t="shared" si="3"/>
        <v>-398424782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574829</v>
      </c>
      <c r="E23" s="66">
        <f>'EAST-EGM-FLSH'!E23+'EAST-LRC-FLSH'!E23</f>
        <v>2438737</v>
      </c>
      <c r="F23" s="60">
        <f t="shared" si="4"/>
        <v>0</v>
      </c>
      <c r="G23" s="37">
        <f t="shared" si="4"/>
        <v>0</v>
      </c>
      <c r="H23" s="60">
        <f>'EAST-EGM-FLSH'!H23+'EAST-LRC-FLSH'!H23</f>
        <v>574829</v>
      </c>
      <c r="I23" s="38">
        <f>'EAST-EGM-FLSH'!I23+'EAST-LRC-FLSH'!I23</f>
        <v>2438737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574829</v>
      </c>
      <c r="M23" s="38">
        <f t="shared" si="3"/>
        <v>2438737</v>
      </c>
    </row>
    <row r="24" spans="1:13" x14ac:dyDescent="0.2">
      <c r="A24" s="9"/>
      <c r="B24" s="7" t="s">
        <v>33</v>
      </c>
      <c r="C24" s="6"/>
      <c r="D24" s="61">
        <f>SUM(D19:D23)</f>
        <v>-251968626</v>
      </c>
      <c r="E24" s="39">
        <f>SUM(E19:E23)</f>
        <v>-1086286077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-251968626</v>
      </c>
      <c r="I24" s="39">
        <f t="shared" si="5"/>
        <v>-1086286077</v>
      </c>
      <c r="J24" s="61">
        <f t="shared" si="5"/>
        <v>0</v>
      </c>
      <c r="K24" s="39">
        <f t="shared" si="5"/>
        <v>0</v>
      </c>
      <c r="L24" s="61">
        <f t="shared" si="5"/>
        <v>-251968626</v>
      </c>
      <c r="M24" s="39">
        <f t="shared" si="5"/>
        <v>-1086286077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-15987</v>
      </c>
      <c r="E32" s="66">
        <f>'EAST-EGM-FLSH'!E32+'EAST-LRC-FLSH'!E32</f>
        <v>-68946</v>
      </c>
      <c r="F32" s="60">
        <f>H32-D32</f>
        <v>0</v>
      </c>
      <c r="G32" s="37">
        <f>I32-E32</f>
        <v>0</v>
      </c>
      <c r="H32" s="60">
        <f>'EAST-EGM-FLSH'!H32+'EAST-LRC-FLSH'!H32</f>
        <v>-15987</v>
      </c>
      <c r="I32" s="38">
        <f>'EAST-EGM-FLSH'!I32+'EAST-LRC-FLSH'!I32</f>
        <v>-68946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-15987</v>
      </c>
      <c r="M32" s="38">
        <f t="shared" si="7"/>
        <v>-68946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678108</v>
      </c>
      <c r="E33" s="66">
        <f>'EAST-EGM-FLSH'!E33+'EAST-LRC-FLSH'!E33</f>
        <v>2882796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678108</v>
      </c>
      <c r="I33" s="38">
        <f>'EAST-EGM-FLSH'!I33+'EAST-LRC-FLSH'!I33</f>
        <v>2882796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678108</v>
      </c>
      <c r="M33" s="38">
        <f t="shared" si="7"/>
        <v>2882796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-624629</v>
      </c>
      <c r="E34" s="66">
        <f>'EAST-EGM-FLSH'!E34+'EAST-LRC-FLSH'!E34</f>
        <v>-2675858</v>
      </c>
      <c r="F34" s="60">
        <f t="shared" si="8"/>
        <v>0</v>
      </c>
      <c r="G34" s="37">
        <f t="shared" si="8"/>
        <v>0</v>
      </c>
      <c r="H34" s="60">
        <f>'EAST-EGM-FLSH'!H34+'EAST-LRC-FLSH'!H34</f>
        <v>-624629</v>
      </c>
      <c r="I34" s="38">
        <f>'EAST-EGM-FLSH'!I34+'EAST-LRC-FLSH'!I34</f>
        <v>-2675858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-624629</v>
      </c>
      <c r="M34" s="38">
        <f t="shared" si="7"/>
        <v>-2675858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530010</v>
      </c>
      <c r="E35" s="66">
        <f>'EAST-EGM-FLSH'!E35+'EAST-LRC-FLSH'!E35</f>
        <v>2113994</v>
      </c>
      <c r="F35" s="60">
        <f t="shared" si="8"/>
        <v>0</v>
      </c>
      <c r="G35" s="37">
        <f t="shared" si="8"/>
        <v>0</v>
      </c>
      <c r="H35" s="60">
        <f>'EAST-EGM-FLSH'!H35+'EAST-LRC-FLSH'!H35</f>
        <v>530010</v>
      </c>
      <c r="I35" s="38">
        <f>'EAST-EGM-FLSH'!I35+'EAST-LRC-FLSH'!I35</f>
        <v>2113994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530010</v>
      </c>
      <c r="M35" s="38">
        <f t="shared" si="7"/>
        <v>2113994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567502</v>
      </c>
      <c r="E36" s="39">
        <f t="shared" si="9"/>
        <v>2251986</v>
      </c>
      <c r="F36" s="61">
        <f t="shared" si="9"/>
        <v>0</v>
      </c>
      <c r="G36" s="39">
        <f t="shared" si="9"/>
        <v>0</v>
      </c>
      <c r="H36" s="61">
        <f t="shared" si="9"/>
        <v>567502</v>
      </c>
      <c r="I36" s="39">
        <f t="shared" si="9"/>
        <v>2251986</v>
      </c>
      <c r="J36" s="61">
        <f>SUM(J32:J34)</f>
        <v>0</v>
      </c>
      <c r="K36" s="39">
        <f>SUM(K32:K34)</f>
        <v>0</v>
      </c>
      <c r="L36" s="61">
        <f>SUM(L32:L35)</f>
        <v>567502</v>
      </c>
      <c r="M36" s="39">
        <f>SUM(M32:M35)</f>
        <v>2251986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1423689</v>
      </c>
      <c r="E39" s="66">
        <f>'EAST-EGM-FLSH'!E39+'EAST-LRC-FLSH'!E39</f>
        <v>6198360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1423689</v>
      </c>
      <c r="I39" s="38">
        <f>'EAST-EGM-FLSH'!I39+'EAST-LRC-FLSH'!I39</f>
        <v>6198360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1423689</v>
      </c>
      <c r="M39" s="38">
        <f t="shared" si="11"/>
        <v>6198360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-1006097</v>
      </c>
      <c r="E40" s="66">
        <f>'EAST-EGM-FLSH'!E40+'EAST-LRC-FLSH'!E40</f>
        <v>-4370253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-1006097</v>
      </c>
      <c r="I40" s="38">
        <f>'EAST-EGM-FLSH'!I40+'EAST-LRC-FLSH'!I40</f>
        <v>-4370253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-1006097</v>
      </c>
      <c r="M40" s="38">
        <f t="shared" si="11"/>
        <v>-4370253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-1006097</v>
      </c>
      <c r="E42" s="39">
        <f>SUM(E40:E41)</f>
        <v>-4370253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-1006097</v>
      </c>
      <c r="I42" s="39">
        <f t="shared" si="12"/>
        <v>-4370253</v>
      </c>
      <c r="J42" s="61">
        <f t="shared" si="12"/>
        <v>0</v>
      </c>
      <c r="K42" s="39">
        <f t="shared" si="12"/>
        <v>0</v>
      </c>
      <c r="L42" s="61">
        <f t="shared" si="12"/>
        <v>-1006097</v>
      </c>
      <c r="M42" s="39">
        <f t="shared" si="12"/>
        <v>-4370253</v>
      </c>
    </row>
    <row r="43" spans="1:13" ht="21" customHeight="1" x14ac:dyDescent="0.2">
      <c r="A43" s="9"/>
      <c r="B43" s="7" t="s">
        <v>49</v>
      </c>
      <c r="C43" s="6"/>
      <c r="D43" s="61">
        <f>D42+D39</f>
        <v>417592</v>
      </c>
      <c r="E43" s="39">
        <f>E42+E39</f>
        <v>1828107</v>
      </c>
      <c r="F43" s="61">
        <f t="shared" ref="F43:M43" si="13">F42+F39</f>
        <v>0</v>
      </c>
      <c r="G43" s="39">
        <f t="shared" si="13"/>
        <v>0</v>
      </c>
      <c r="H43" s="61">
        <f t="shared" si="13"/>
        <v>417592</v>
      </c>
      <c r="I43" s="39">
        <f t="shared" si="13"/>
        <v>1828107</v>
      </c>
      <c r="J43" s="61">
        <f t="shared" si="13"/>
        <v>0</v>
      </c>
      <c r="K43" s="39">
        <f t="shared" si="13"/>
        <v>0</v>
      </c>
      <c r="L43" s="61">
        <f t="shared" si="13"/>
        <v>417592</v>
      </c>
      <c r="M43" s="39">
        <f t="shared" si="13"/>
        <v>1828107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-972676</v>
      </c>
      <c r="E49" s="66">
        <f>'EAST-EGM-FLSH'!E49+'EAST-LRC-FLSH'!E49</f>
        <v>-4175600.8004000005</v>
      </c>
      <c r="F49" s="60">
        <f>H49-D49</f>
        <v>0</v>
      </c>
      <c r="G49" s="37">
        <f>I49-E49</f>
        <v>0</v>
      </c>
      <c r="H49" s="60">
        <f>'EAST-EGM-FLSH'!H49+'EAST-LRC-FLSH'!H49</f>
        <v>-972676</v>
      </c>
      <c r="I49" s="38">
        <f>'EAST-EGM-FLSH'!I49+'EAST-LRC-FLSH'!I49</f>
        <v>-4175600.8004000005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-972676</v>
      </c>
      <c r="M49" s="38">
        <f>I49+K49</f>
        <v>-4175600.8004000005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-574829</v>
      </c>
      <c r="E51" s="66">
        <f>'EAST-EGM-FLSH'!E51+'EAST-LRC-FLSH'!E51</f>
        <v>-2438737</v>
      </c>
      <c r="F51" s="60">
        <f>H51-D51</f>
        <v>0</v>
      </c>
      <c r="G51" s="37">
        <f>I51-E51</f>
        <v>0</v>
      </c>
      <c r="H51" s="60">
        <f>'EAST-EGM-FLSH'!H51+'EAST-LRC-FLSH'!H51</f>
        <v>-574829</v>
      </c>
      <c r="I51" s="38">
        <f>'EAST-EGM-FLSH'!I51+'EAST-LRC-FLSH'!I51</f>
        <v>-2438737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-574829</v>
      </c>
      <c r="M51" s="38">
        <f>I51+K51</f>
        <v>-2438737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-2048301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-2048301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-2048301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-2220811.5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-2220811.5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-2220811.5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-4269112.5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-4269112.5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-4269112.5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-5134326.6295999996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-5134326.6295999996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-5134326.6295999996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-14964909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-14964909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-14964909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-20099235.6296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-20099235.6296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-20099235.6296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13849134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13849134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13849134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210386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210386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210386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-867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-867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-867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23733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23733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23733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963669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963669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963669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-8911113.9300000481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-8911113.9300000481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-8911113.9300000481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-8911113.9300000481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-42632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-42632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-42632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-42632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-42632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-42632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-8953745.9300000481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-8953745.9300000481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-8953745.9300000481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9" sqref="E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537385</v>
      </c>
      <c r="E32" s="38">
        <v>3</v>
      </c>
      <c r="F32" s="65">
        <f>H32-D32</f>
        <v>0</v>
      </c>
      <c r="G32" s="63">
        <f>I32-E32</f>
        <v>0</v>
      </c>
      <c r="H32" s="65">
        <f t="shared" ref="H32:I35" si="9">D32</f>
        <v>537385</v>
      </c>
      <c r="I32" s="66">
        <f t="shared" si="9"/>
        <v>3</v>
      </c>
      <c r="J32" s="60"/>
      <c r="K32" s="38"/>
      <c r="L32" s="60">
        <f t="shared" ref="L32:M35" si="10">H32+J32</f>
        <v>537385</v>
      </c>
      <c r="M32" s="38">
        <f t="shared" si="10"/>
        <v>3</v>
      </c>
    </row>
    <row r="33" spans="1:13" x14ac:dyDescent="0.2">
      <c r="A33" s="9">
        <v>14</v>
      </c>
      <c r="B33" s="7"/>
      <c r="C33" s="18" t="s">
        <v>40</v>
      </c>
      <c r="D33" s="60">
        <v>-536755</v>
      </c>
      <c r="E33" s="38">
        <v>-16109</v>
      </c>
      <c r="F33" s="65">
        <f t="shared" ref="F33:G35" si="11">H33-D33</f>
        <v>0</v>
      </c>
      <c r="G33" s="63">
        <f t="shared" si="11"/>
        <v>0</v>
      </c>
      <c r="H33" s="65">
        <f t="shared" si="9"/>
        <v>-536755</v>
      </c>
      <c r="I33" s="66">
        <f t="shared" si="9"/>
        <v>-16109</v>
      </c>
      <c r="J33" s="60"/>
      <c r="K33" s="38"/>
      <c r="L33" s="60">
        <f t="shared" si="10"/>
        <v>-536755</v>
      </c>
      <c r="M33" s="38">
        <f t="shared" si="10"/>
        <v>-16109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630</v>
      </c>
      <c r="E36" s="39">
        <v>-16106</v>
      </c>
      <c r="F36" s="61">
        <f>SUM(F32:F35)</f>
        <v>0</v>
      </c>
      <c r="G36" s="39">
        <f>SUM(G32:G35)</f>
        <v>0</v>
      </c>
      <c r="H36" s="61">
        <f>SUM(H32:H35)</f>
        <v>630</v>
      </c>
      <c r="I36" s="39">
        <f>SUM(I32:I35)</f>
        <v>-16106</v>
      </c>
      <c r="J36" s="61">
        <f>SUM(J32:J34)</f>
        <v>0</v>
      </c>
      <c r="K36" s="39">
        <f>SUM(K32:K34)</f>
        <v>0</v>
      </c>
      <c r="L36" s="61">
        <f>SUM(L32:L35)</f>
        <v>630</v>
      </c>
      <c r="M36" s="39">
        <f>SUM(M32:M35)</f>
        <v>-16106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-15687545.484167419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-15687545.484167419</v>
      </c>
      <c r="J49" s="60"/>
      <c r="K49" s="38"/>
      <c r="L49" s="60">
        <f>H49+J49</f>
        <v>-3662971</v>
      </c>
      <c r="M49" s="38">
        <f>I49+K49</f>
        <v>-15687545.484167419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519130.8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519130.8</v>
      </c>
      <c r="J70" s="60"/>
      <c r="K70" s="38"/>
      <c r="L70" s="60">
        <f t="shared" si="20"/>
        <v>0</v>
      </c>
      <c r="M70" s="38">
        <f t="shared" si="20"/>
        <v>519130.8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-6879227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-6879227</v>
      </c>
      <c r="J71" s="60"/>
      <c r="K71" s="38"/>
      <c r="L71" s="60">
        <f t="shared" si="20"/>
        <v>0</v>
      </c>
      <c r="M71" s="38">
        <f t="shared" si="20"/>
        <v>-6879227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-6360096.2000000002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-6360096.2000000002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-6360096.2000000002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5792644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5792644</v>
      </c>
      <c r="J74" s="60"/>
      <c r="K74" s="38"/>
      <c r="L74" s="60">
        <f t="shared" si="23"/>
        <v>0</v>
      </c>
      <c r="M74" s="38">
        <f t="shared" si="23"/>
        <v>5792644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308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308</v>
      </c>
      <c r="J75" s="60"/>
      <c r="K75" s="38"/>
      <c r="L75" s="60">
        <f t="shared" si="23"/>
        <v>0</v>
      </c>
      <c r="M75" s="38">
        <f t="shared" si="23"/>
        <v>308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-1000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-1000</v>
      </c>
      <c r="J76" s="60"/>
      <c r="K76" s="38"/>
      <c r="L76" s="60">
        <f t="shared" si="23"/>
        <v>0</v>
      </c>
      <c r="M76" s="38">
        <f t="shared" si="23"/>
        <v>-1000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2228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2228</v>
      </c>
      <c r="J81" s="60"/>
      <c r="K81" s="38"/>
      <c r="L81" s="60">
        <f t="shared" si="23"/>
        <v>0</v>
      </c>
      <c r="M81" s="38">
        <f t="shared" si="23"/>
        <v>2228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630</v>
      </c>
      <c r="E82" s="141">
        <f>SUM(E72:E81)+E16+E24+E29+E36+E43+E45+E47+E49+E51+E56+E61+E66</f>
        <v>-5146614.224167414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630</v>
      </c>
      <c r="I82" s="135">
        <f>SUM(I72:I81)+I16+I24+I29+I36+I43+I45+I47+I49+I51+I56+I61+I66</f>
        <v>-5146614.224167414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630</v>
      </c>
      <c r="M82" s="74">
        <f>SUM(M72:M81)+M16+M24+M29+M36+M43+M45+M47+M49+M51+M56+M61+M66</f>
        <v>-5146614.224167414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855660.56746232137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-825266+700516+182427</f>
        <v>57677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57677</v>
      </c>
      <c r="J86" s="148"/>
      <c r="K86" s="148"/>
      <c r="L86" s="148">
        <f t="shared" ref="L86:M88" si="27">H86+J86</f>
        <v>0</v>
      </c>
      <c r="M86" s="148">
        <f t="shared" si="27"/>
        <v>57677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-686167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-686167</v>
      </c>
      <c r="J88" s="150"/>
      <c r="K88" s="150"/>
      <c r="L88" s="150">
        <f t="shared" si="27"/>
        <v>0</v>
      </c>
      <c r="M88" s="150">
        <f t="shared" si="27"/>
        <v>-686167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-628490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-628490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-628490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630</v>
      </c>
      <c r="E91" s="155">
        <f t="shared" ref="E91:M91" si="29">+E82+E89</f>
        <v>-5775104.224167414</v>
      </c>
      <c r="F91" s="155">
        <f t="shared" si="29"/>
        <v>0</v>
      </c>
      <c r="G91" s="155">
        <f t="shared" si="29"/>
        <v>0</v>
      </c>
      <c r="H91" s="155">
        <f t="shared" si="29"/>
        <v>630</v>
      </c>
      <c r="I91" s="155">
        <f t="shared" si="29"/>
        <v>-5775104.224167414</v>
      </c>
      <c r="J91" s="155">
        <f t="shared" si="29"/>
        <v>0</v>
      </c>
      <c r="K91" s="155">
        <f t="shared" si="29"/>
        <v>0</v>
      </c>
      <c r="L91" s="155">
        <f t="shared" si="29"/>
        <v>630</v>
      </c>
      <c r="M91" s="155">
        <f t="shared" si="29"/>
        <v>-5775104.224167414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I10" activePane="bottomRight" state="frozen"/>
      <selection pane="topRight"/>
      <selection pane="bottomLeft"/>
      <selection pane="bottomRight" activeCell="M19" sqref="M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9">
        <v>3157520</v>
      </c>
      <c r="E11" s="149">
        <v>28080810.49000001</v>
      </c>
      <c r="F11" s="60">
        <f>H11-D11</f>
        <v>0</v>
      </c>
      <c r="G11" s="37">
        <f>I11-E11</f>
        <v>0</v>
      </c>
      <c r="H11" s="65">
        <f>D11</f>
        <v>3157520</v>
      </c>
      <c r="I11" s="66">
        <f>E11</f>
        <v>28080810.49000001</v>
      </c>
      <c r="J11" s="60"/>
      <c r="K11" s="38"/>
      <c r="L11" s="60">
        <f t="shared" ref="L11:M15" si="0">H11+J11</f>
        <v>3157520</v>
      </c>
      <c r="M11" s="38">
        <f t="shared" si="0"/>
        <v>28080810.49000001</v>
      </c>
    </row>
    <row r="12" spans="1:26" x14ac:dyDescent="0.2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9">
        <v>14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14</v>
      </c>
      <c r="I13" s="66">
        <f t="shared" si="2"/>
        <v>0</v>
      </c>
      <c r="J13" s="60"/>
      <c r="K13" s="38"/>
      <c r="L13" s="60">
        <f t="shared" si="0"/>
        <v>14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3157534</v>
      </c>
      <c r="E16" s="166">
        <v>28080810.49000001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3157534</v>
      </c>
      <c r="I16" s="39">
        <f>SUM(I11:I15)</f>
        <v>28080810.49000001</v>
      </c>
      <c r="J16" s="61">
        <f t="shared" si="3"/>
        <v>0</v>
      </c>
      <c r="K16" s="39">
        <f t="shared" si="3"/>
        <v>0</v>
      </c>
      <c r="L16" s="61">
        <f t="shared" si="3"/>
        <v>3157534</v>
      </c>
      <c r="M16" s="39">
        <f t="shared" si="3"/>
        <v>28080810.49000001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9">
        <v>-366385</v>
      </c>
      <c r="E19" s="149">
        <v>-9636253.2400000095</v>
      </c>
      <c r="F19" s="60">
        <f>H19-D19</f>
        <v>0</v>
      </c>
      <c r="G19" s="37">
        <f>I19-E19</f>
        <v>0</v>
      </c>
      <c r="H19" s="65">
        <f t="shared" si="4"/>
        <v>-366385</v>
      </c>
      <c r="I19" s="66">
        <f t="shared" si="4"/>
        <v>-9636253.2400000095</v>
      </c>
      <c r="J19" s="60"/>
      <c r="K19" s="38"/>
      <c r="L19" s="60">
        <f t="shared" ref="L19:M23" si="5">H19+J19</f>
        <v>-366385</v>
      </c>
      <c r="M19" s="38">
        <f t="shared" si="5"/>
        <v>-9636253.2400000095</v>
      </c>
    </row>
    <row r="20" spans="1:13" x14ac:dyDescent="0.2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9">
        <v>0</v>
      </c>
      <c r="E21" s="149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9">
        <v>-7996</v>
      </c>
      <c r="E23" s="149">
        <v>-20999</v>
      </c>
      <c r="F23" s="60">
        <f t="shared" si="6"/>
        <v>0</v>
      </c>
      <c r="G23" s="37">
        <f t="shared" si="6"/>
        <v>0</v>
      </c>
      <c r="H23" s="65">
        <f t="shared" si="4"/>
        <v>-7996</v>
      </c>
      <c r="I23" s="66">
        <f t="shared" si="4"/>
        <v>-20999</v>
      </c>
      <c r="J23" s="60"/>
      <c r="K23" s="38"/>
      <c r="L23" s="60">
        <f t="shared" si="5"/>
        <v>-7996</v>
      </c>
      <c r="M23" s="38">
        <f t="shared" si="5"/>
        <v>-20999</v>
      </c>
    </row>
    <row r="24" spans="1:13" x14ac:dyDescent="0.2">
      <c r="A24" s="9"/>
      <c r="B24" s="7" t="s">
        <v>33</v>
      </c>
      <c r="C24" s="6"/>
      <c r="D24" s="166">
        <v>-374381</v>
      </c>
      <c r="E24" s="166">
        <v>-9657252.2400000095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-374381</v>
      </c>
      <c r="I24" s="39">
        <f>SUM(I19:I23)</f>
        <v>-9657252.2400000095</v>
      </c>
      <c r="J24" s="61">
        <f t="shared" si="7"/>
        <v>0</v>
      </c>
      <c r="K24" s="39">
        <f t="shared" si="7"/>
        <v>0</v>
      </c>
      <c r="L24" s="61">
        <f t="shared" si="7"/>
        <v>-374381</v>
      </c>
      <c r="M24" s="39">
        <f t="shared" si="7"/>
        <v>-9657252.2400000095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9">
        <v>-356532</v>
      </c>
      <c r="E27" s="149">
        <v>15210999.480000019</v>
      </c>
      <c r="F27" s="60">
        <f>H27-D27</f>
        <v>0</v>
      </c>
      <c r="G27" s="37">
        <f>I27-E27</f>
        <v>0</v>
      </c>
      <c r="H27" s="65">
        <f>D27</f>
        <v>-356532</v>
      </c>
      <c r="I27" s="66">
        <f>E27</f>
        <v>15210999.480000019</v>
      </c>
      <c r="J27" s="60"/>
      <c r="K27" s="38"/>
      <c r="L27" s="60">
        <f>H27+J27</f>
        <v>-356532</v>
      </c>
      <c r="M27" s="38">
        <f>I27+K27</f>
        <v>15210999.480000019</v>
      </c>
    </row>
    <row r="28" spans="1:13" x14ac:dyDescent="0.2">
      <c r="A28" s="9">
        <v>12</v>
      </c>
      <c r="B28" s="7"/>
      <c r="C28" s="18" t="s">
        <v>36</v>
      </c>
      <c r="D28" s="149">
        <v>103705</v>
      </c>
      <c r="E28" s="149">
        <v>-16792921.189999998</v>
      </c>
      <c r="F28" s="60">
        <f>H28-D28</f>
        <v>0</v>
      </c>
      <c r="G28" s="37">
        <f>I28-E28</f>
        <v>0</v>
      </c>
      <c r="H28" s="65">
        <f>D28</f>
        <v>103705</v>
      </c>
      <c r="I28" s="66">
        <f>E28</f>
        <v>-16792921.189999998</v>
      </c>
      <c r="J28" s="60"/>
      <c r="K28" s="38"/>
      <c r="L28" s="60">
        <f>H28+J28</f>
        <v>103705</v>
      </c>
      <c r="M28" s="38">
        <f>I28+K28</f>
        <v>-16792921.189999998</v>
      </c>
    </row>
    <row r="29" spans="1:13" x14ac:dyDescent="0.2">
      <c r="A29" s="9"/>
      <c r="B29" s="7" t="s">
        <v>37</v>
      </c>
      <c r="C29" s="6"/>
      <c r="D29" s="166">
        <v>-252827</v>
      </c>
      <c r="E29" s="166">
        <v>-1581921.7099999785</v>
      </c>
      <c r="F29" s="61">
        <f t="shared" ref="F29:M29" si="8">SUM(F27:F28)</f>
        <v>0</v>
      </c>
      <c r="G29" s="39">
        <f t="shared" si="8"/>
        <v>0</v>
      </c>
      <c r="H29" s="61">
        <f>SUM(H27:H28)</f>
        <v>-252827</v>
      </c>
      <c r="I29" s="39">
        <f>SUM(I27:I28)</f>
        <v>-1581921.7099999785</v>
      </c>
      <c r="J29" s="61">
        <f t="shared" si="8"/>
        <v>0</v>
      </c>
      <c r="K29" s="39">
        <f t="shared" si="8"/>
        <v>0</v>
      </c>
      <c r="L29" s="61">
        <f t="shared" si="8"/>
        <v>-252827</v>
      </c>
      <c r="M29" s="39">
        <f t="shared" si="8"/>
        <v>-1581921.7099999785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9">
        <v>0</v>
      </c>
      <c r="E39" s="149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9">
        <v>0</v>
      </c>
      <c r="E40" s="149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9">
        <v>-2530942</v>
      </c>
      <c r="E49" s="149">
        <v>-10839361.748370286</v>
      </c>
      <c r="F49" s="60">
        <f>H49-D49</f>
        <v>0</v>
      </c>
      <c r="G49" s="37">
        <f>I49-E49</f>
        <v>0</v>
      </c>
      <c r="H49" s="65">
        <f>D49</f>
        <v>-2530942</v>
      </c>
      <c r="I49" s="66">
        <f>E49</f>
        <v>-10839361.748370286</v>
      </c>
      <c r="J49" s="60"/>
      <c r="K49" s="38"/>
      <c r="L49" s="60">
        <f>H49+J49</f>
        <v>-2530942</v>
      </c>
      <c r="M49" s="38">
        <f>I49+K49</f>
        <v>-10839361.748370286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-616</v>
      </c>
      <c r="E82" s="141">
        <f>SUM(E72:E81)+E16+E24+E29+E36+E43+E45+E47+E49+E51+E56+E61+E66</f>
        <v>6002274.7916297354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-616</v>
      </c>
      <c r="I82" s="135">
        <f>SUM(I72:I81)+I16+I24+I29+I36+I43+I45+I47+I49+I51+I56+I61+I66</f>
        <v>6002274.7916297354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-616</v>
      </c>
      <c r="M82" s="74">
        <f>SUM(M72:M81)+M16+M24+M29+M36+M43+M45+M47+M49+M51+M56+M61+M66</f>
        <v>6002274.7916297354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53851393</v>
      </c>
      <c r="E11" s="60">
        <v>231073644</v>
      </c>
      <c r="F11" s="60">
        <f>H11-D11</f>
        <v>0</v>
      </c>
      <c r="G11" s="37">
        <f>I11-E11</f>
        <v>0</v>
      </c>
      <c r="H11" s="65">
        <f>D11</f>
        <v>53851393</v>
      </c>
      <c r="I11" s="66">
        <f>E11</f>
        <v>231073644</v>
      </c>
      <c r="J11" s="60"/>
      <c r="K11" s="38"/>
      <c r="L11" s="60">
        <f t="shared" ref="L11:M15" si="0">H11+J11</f>
        <v>53851393</v>
      </c>
      <c r="M11" s="38">
        <f t="shared" si="0"/>
        <v>231073644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531200</v>
      </c>
      <c r="E13" s="60">
        <v>2195040</v>
      </c>
      <c r="F13" s="60">
        <f t="shared" si="1"/>
        <v>0</v>
      </c>
      <c r="G13" s="37">
        <f t="shared" si="1"/>
        <v>0</v>
      </c>
      <c r="H13" s="65">
        <f t="shared" si="2"/>
        <v>531200</v>
      </c>
      <c r="I13" s="66">
        <f t="shared" si="2"/>
        <v>2195040</v>
      </c>
      <c r="J13" s="60"/>
      <c r="K13" s="38"/>
      <c r="L13" s="60">
        <f t="shared" si="0"/>
        <v>531200</v>
      </c>
      <c r="M13" s="38">
        <f t="shared" si="0"/>
        <v>2195040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54382593</v>
      </c>
      <c r="E16" s="39">
        <v>233268684</v>
      </c>
      <c r="F16" s="61">
        <f t="shared" ref="F16:M16" si="3">SUM(F11:F15)</f>
        <v>0</v>
      </c>
      <c r="G16" s="39">
        <f t="shared" si="3"/>
        <v>0</v>
      </c>
      <c r="H16" s="61">
        <f>SUM(H11:H15)</f>
        <v>54382593</v>
      </c>
      <c r="I16" s="39">
        <f>SUM(I11:I15)</f>
        <v>233268684</v>
      </c>
      <c r="J16" s="61">
        <f t="shared" si="3"/>
        <v>0</v>
      </c>
      <c r="K16" s="39">
        <f t="shared" si="3"/>
        <v>0</v>
      </c>
      <c r="L16" s="61">
        <f t="shared" si="3"/>
        <v>54382593</v>
      </c>
      <c r="M16" s="39">
        <f t="shared" si="3"/>
        <v>233268684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-61030753</v>
      </c>
      <c r="E19" s="60">
        <v>-260483091</v>
      </c>
      <c r="F19" s="60">
        <f>H19-D19</f>
        <v>0</v>
      </c>
      <c r="G19" s="37">
        <f>I19-E19</f>
        <v>0</v>
      </c>
      <c r="H19" s="65">
        <f t="shared" si="4"/>
        <v>-61030753</v>
      </c>
      <c r="I19" s="66">
        <f t="shared" si="4"/>
        <v>-260483091</v>
      </c>
      <c r="J19" s="60"/>
      <c r="K19" s="38"/>
      <c r="L19" s="60">
        <f t="shared" ref="L19:M23" si="5">H19+J19</f>
        <v>-61030753</v>
      </c>
      <c r="M19" s="38">
        <f t="shared" si="5"/>
        <v>-260483091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-1345522</v>
      </c>
      <c r="E21" s="60">
        <v>-5615570</v>
      </c>
      <c r="F21" s="60">
        <f t="shared" si="6"/>
        <v>0</v>
      </c>
      <c r="G21" s="37">
        <f t="shared" si="6"/>
        <v>0</v>
      </c>
      <c r="H21" s="65">
        <f t="shared" si="4"/>
        <v>-1345522</v>
      </c>
      <c r="I21" s="66">
        <f t="shared" si="4"/>
        <v>-5615570</v>
      </c>
      <c r="J21" s="60"/>
      <c r="K21" s="38"/>
      <c r="L21" s="60">
        <f t="shared" si="5"/>
        <v>-1345522</v>
      </c>
      <c r="M21" s="38">
        <f t="shared" si="5"/>
        <v>-5615570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8963</v>
      </c>
      <c r="E23" s="60">
        <v>37729</v>
      </c>
      <c r="F23" s="60">
        <f t="shared" si="6"/>
        <v>0</v>
      </c>
      <c r="G23" s="37">
        <f t="shared" si="6"/>
        <v>0</v>
      </c>
      <c r="H23" s="65">
        <f t="shared" si="4"/>
        <v>8963</v>
      </c>
      <c r="I23" s="66">
        <f t="shared" si="4"/>
        <v>37729</v>
      </c>
      <c r="J23" s="60"/>
      <c r="K23" s="38"/>
      <c r="L23" s="60">
        <f t="shared" si="5"/>
        <v>8963</v>
      </c>
      <c r="M23" s="38">
        <f t="shared" si="5"/>
        <v>37729</v>
      </c>
    </row>
    <row r="24" spans="1:13" x14ac:dyDescent="0.2">
      <c r="A24" s="9"/>
      <c r="B24" s="7" t="s">
        <v>33</v>
      </c>
      <c r="C24" s="6"/>
      <c r="D24" s="61">
        <v>-62367312</v>
      </c>
      <c r="E24" s="39">
        <v>-266060932</v>
      </c>
      <c r="F24" s="61">
        <f t="shared" ref="F24:M24" si="7">SUM(F19:F23)</f>
        <v>0</v>
      </c>
      <c r="G24" s="39">
        <f t="shared" si="7"/>
        <v>0</v>
      </c>
      <c r="H24" s="61">
        <f>SUM(H19:H23)</f>
        <v>-62367312</v>
      </c>
      <c r="I24" s="39">
        <f>SUM(I19:I23)</f>
        <v>-266060932</v>
      </c>
      <c r="J24" s="61">
        <f t="shared" si="7"/>
        <v>0</v>
      </c>
      <c r="K24" s="39">
        <f t="shared" si="7"/>
        <v>0</v>
      </c>
      <c r="L24" s="61">
        <f t="shared" si="7"/>
        <v>-62367312</v>
      </c>
      <c r="M24" s="39">
        <f t="shared" si="7"/>
        <v>-266060932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84958346</v>
      </c>
      <c r="E27" s="60">
        <v>364399214</v>
      </c>
      <c r="F27" s="60">
        <f>H27-D27</f>
        <v>0</v>
      </c>
      <c r="G27" s="37">
        <f>I27-E27</f>
        <v>0</v>
      </c>
      <c r="H27" s="65">
        <f>D27</f>
        <v>84958346</v>
      </c>
      <c r="I27" s="66">
        <f>E27</f>
        <v>364399214</v>
      </c>
      <c r="J27" s="60"/>
      <c r="K27" s="38"/>
      <c r="L27" s="60">
        <f>H27+J27</f>
        <v>84958346</v>
      </c>
      <c r="M27" s="38">
        <f>I27+K27</f>
        <v>364399214</v>
      </c>
    </row>
    <row r="28" spans="1:13" x14ac:dyDescent="0.2">
      <c r="A28" s="9">
        <v>12</v>
      </c>
      <c r="B28" s="7"/>
      <c r="C28" s="18" t="s">
        <v>36</v>
      </c>
      <c r="D28" s="60">
        <v>-83346867</v>
      </c>
      <c r="E28" s="60">
        <v>-357411158</v>
      </c>
      <c r="F28" s="60">
        <f>H28-D28</f>
        <v>0</v>
      </c>
      <c r="G28" s="37">
        <f>I28-E28</f>
        <v>0</v>
      </c>
      <c r="H28" s="65">
        <f>D28</f>
        <v>-83346867</v>
      </c>
      <c r="I28" s="66">
        <f>E28</f>
        <v>-357411158</v>
      </c>
      <c r="J28" s="60"/>
      <c r="K28" s="38"/>
      <c r="L28" s="60">
        <f>H28+J28</f>
        <v>-83346867</v>
      </c>
      <c r="M28" s="38">
        <f>I28+K28</f>
        <v>-357411158</v>
      </c>
    </row>
    <row r="29" spans="1:13" x14ac:dyDescent="0.2">
      <c r="A29" s="9"/>
      <c r="B29" s="7" t="s">
        <v>37</v>
      </c>
      <c r="C29" s="6"/>
      <c r="D29" s="61">
        <v>1611479</v>
      </c>
      <c r="E29" s="39">
        <v>6988056</v>
      </c>
      <c r="F29" s="61">
        <f t="shared" ref="F29:M29" si="8">SUM(F27:F28)</f>
        <v>0</v>
      </c>
      <c r="G29" s="39">
        <f t="shared" si="8"/>
        <v>0</v>
      </c>
      <c r="H29" s="61">
        <f>SUM(H27:H28)</f>
        <v>1611479</v>
      </c>
      <c r="I29" s="39">
        <f>SUM(I27:I28)</f>
        <v>6988056</v>
      </c>
      <c r="J29" s="61">
        <f t="shared" si="8"/>
        <v>0</v>
      </c>
      <c r="K29" s="39">
        <f t="shared" si="8"/>
        <v>0</v>
      </c>
      <c r="L29" s="61">
        <f t="shared" si="8"/>
        <v>1611479</v>
      </c>
      <c r="M29" s="39">
        <f t="shared" si="8"/>
        <v>6988056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3036024</v>
      </c>
      <c r="E39" s="60">
        <v>13255287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3036024</v>
      </c>
      <c r="I39" s="66">
        <f t="shared" si="12"/>
        <v>13255287</v>
      </c>
      <c r="J39" s="60"/>
      <c r="K39" s="38"/>
      <c r="L39" s="60">
        <f t="shared" ref="L39:M41" si="14">H39+J39</f>
        <v>3036024</v>
      </c>
      <c r="M39" s="38">
        <f t="shared" si="14"/>
        <v>13255287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-2569968</v>
      </c>
      <c r="E40" s="60">
        <v>-11256460</v>
      </c>
      <c r="F40" s="60">
        <f t="shared" si="13"/>
        <v>0</v>
      </c>
      <c r="G40" s="37">
        <f t="shared" si="13"/>
        <v>0</v>
      </c>
      <c r="H40" s="65">
        <f t="shared" si="12"/>
        <v>-2569968</v>
      </c>
      <c r="I40" s="66">
        <f t="shared" si="12"/>
        <v>-11256460</v>
      </c>
      <c r="J40" s="60"/>
      <c r="K40" s="38"/>
      <c r="L40" s="60">
        <f t="shared" si="14"/>
        <v>-2569968</v>
      </c>
      <c r="M40" s="38">
        <f t="shared" si="14"/>
        <v>-11256460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-2569968</v>
      </c>
      <c r="E42" s="39">
        <v>-11256460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-2569968</v>
      </c>
      <c r="I42" s="39">
        <f>SUM(I40:I41)</f>
        <v>-11256460</v>
      </c>
      <c r="J42" s="61">
        <f t="shared" si="15"/>
        <v>0</v>
      </c>
      <c r="K42" s="39">
        <f t="shared" si="15"/>
        <v>0</v>
      </c>
      <c r="L42" s="61">
        <f t="shared" si="15"/>
        <v>-2569968</v>
      </c>
      <c r="M42" s="39">
        <f t="shared" si="15"/>
        <v>-11256460</v>
      </c>
    </row>
    <row r="43" spans="1:13" ht="21" customHeight="1" x14ac:dyDescent="0.2">
      <c r="A43" s="9"/>
      <c r="B43" s="7" t="s">
        <v>49</v>
      </c>
      <c r="C43" s="6"/>
      <c r="D43" s="61">
        <v>466056</v>
      </c>
      <c r="E43" s="39">
        <v>1998827</v>
      </c>
      <c r="F43" s="61">
        <f t="shared" ref="F43:M43" si="16">F42+F39</f>
        <v>0</v>
      </c>
      <c r="G43" s="39">
        <f t="shared" si="16"/>
        <v>0</v>
      </c>
      <c r="H43" s="61">
        <f>H42+H39</f>
        <v>466056</v>
      </c>
      <c r="I43" s="39">
        <f>I42+I39</f>
        <v>1998827</v>
      </c>
      <c r="J43" s="61">
        <f t="shared" si="16"/>
        <v>0</v>
      </c>
      <c r="K43" s="39">
        <f t="shared" si="16"/>
        <v>0</v>
      </c>
      <c r="L43" s="61">
        <f t="shared" si="16"/>
        <v>466056</v>
      </c>
      <c r="M43" s="39">
        <f t="shared" si="16"/>
        <v>1998827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5907184</v>
      </c>
      <c r="E49" s="60">
        <v>25298922.018041104</v>
      </c>
      <c r="F49" s="60">
        <f>H49-D49</f>
        <v>0</v>
      </c>
      <c r="G49" s="37">
        <f>I49-E49</f>
        <v>0</v>
      </c>
      <c r="H49" s="65">
        <f>D49</f>
        <v>5907184</v>
      </c>
      <c r="I49" s="66">
        <f>E49</f>
        <v>25298922.018041104</v>
      </c>
      <c r="J49" s="60"/>
      <c r="K49" s="38"/>
      <c r="L49" s="60">
        <f>H49+J49</f>
        <v>5907184</v>
      </c>
      <c r="M49" s="38">
        <f>I49+K49</f>
        <v>25298922.018041104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-1907166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-1907166</v>
      </c>
      <c r="J54" s="60"/>
      <c r="K54" s="38"/>
      <c r="L54" s="60">
        <f>H54+J54</f>
        <v>0</v>
      </c>
      <c r="M54" s="38">
        <f>I54+K54</f>
        <v>-1907166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-1907166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-1907166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-1907166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-413608.98195889592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-413608.98195889592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-413608.98195889592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69066982</v>
      </c>
      <c r="E11" s="38">
        <f>'TX-EGM-FLSH'!E11+'TX-HPLR-FLSH'!E11+'TX-HPLC-FLSH'!E11</f>
        <v>297584455</v>
      </c>
      <c r="F11" s="60">
        <f>H11-D11</f>
        <v>0</v>
      </c>
      <c r="G11" s="37">
        <f>I11-E11</f>
        <v>0</v>
      </c>
      <c r="H11" s="60">
        <f>'TX-EGM-FLSH'!H11+'TX-HPLR-FLSH'!H11+'TX-HPLC-FLSH'!H11</f>
        <v>69066982</v>
      </c>
      <c r="I11" s="38">
        <f>'TX-EGM-FLSH'!I11+'TX-HPLR-FLSH'!I11+'TX-HPLC-FLSH'!I11</f>
        <v>297584455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69066982</v>
      </c>
      <c r="M11" s="38">
        <f t="shared" si="0"/>
        <v>297584455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531214</v>
      </c>
      <c r="E13" s="38">
        <f>'TX-EGM-FLSH'!E13+'TX-HPLR-FLSH'!E13+'TX-HPLC-FLSH'!E13</f>
        <v>2195040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531214</v>
      </c>
      <c r="I13" s="38">
        <f>'TX-EGM-FLSH'!I13+'TX-HPLR-FLSH'!I13+'TX-HPLC-FLSH'!I13</f>
        <v>2195040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531214</v>
      </c>
      <c r="M13" s="38">
        <f t="shared" si="0"/>
        <v>2195040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69598196</v>
      </c>
      <c r="E16" s="39">
        <f>SUM(E11:E15)</f>
        <v>299779495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69598196</v>
      </c>
      <c r="I16" s="39">
        <f t="shared" si="2"/>
        <v>299779495</v>
      </c>
      <c r="J16" s="61">
        <f t="shared" si="2"/>
        <v>0</v>
      </c>
      <c r="K16" s="39">
        <f t="shared" si="2"/>
        <v>0</v>
      </c>
      <c r="L16" s="61">
        <f t="shared" si="2"/>
        <v>69598196</v>
      </c>
      <c r="M16" s="39">
        <f t="shared" si="2"/>
        <v>299779495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-69114043</v>
      </c>
      <c r="E19" s="38">
        <f>'TX-EGM-FLSH'!E19+'TX-HPLR-FLSH'!E19+'TX-HPLC-FLSH'!E19</f>
        <v>-294886911</v>
      </c>
      <c r="F19" s="60">
        <f>H19-D19</f>
        <v>0</v>
      </c>
      <c r="G19" s="37">
        <f>I19-E19</f>
        <v>0</v>
      </c>
      <c r="H19" s="60">
        <f>'TX-EGM-FLSH'!H19+'TX-HPLR-FLSH'!H19+'TX-HPLC-FLSH'!H19</f>
        <v>-69114043</v>
      </c>
      <c r="I19" s="38">
        <f>'TX-EGM-FLSH'!I19+'TX-HPLR-FLSH'!I19+'TX-HPLC-FLSH'!I19</f>
        <v>-294886911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-69114043</v>
      </c>
      <c r="M19" s="38">
        <f t="shared" si="3"/>
        <v>-294886911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-1345522</v>
      </c>
      <c r="E21" s="38">
        <f>'TX-EGM-FLSH'!E21+'TX-HPLR-FLSH'!E21+'TX-HPLC-FLSH'!E21</f>
        <v>-5615570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-1345522</v>
      </c>
      <c r="I21" s="38">
        <f>'TX-EGM-FLSH'!I21+'TX-HPLR-FLSH'!I21+'TX-HPLC-FLSH'!I21</f>
        <v>-5615570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-1345522</v>
      </c>
      <c r="M21" s="38">
        <f t="shared" si="3"/>
        <v>-5615570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17754</v>
      </c>
      <c r="E23" s="38">
        <f>'TX-EGM-FLSH'!E23+'TX-HPLR-FLSH'!E23+'TX-HPLC-FLSH'!E23</f>
        <v>74802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17754</v>
      </c>
      <c r="I23" s="38">
        <f>'TX-EGM-FLSH'!I23+'TX-HPLR-FLSH'!I23+'TX-HPLC-FLSH'!I23</f>
        <v>74802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17754</v>
      </c>
      <c r="M23" s="38">
        <f t="shared" si="3"/>
        <v>74802</v>
      </c>
    </row>
    <row r="24" spans="1:13" x14ac:dyDescent="0.2">
      <c r="A24" s="9"/>
      <c r="B24" s="7" t="s">
        <v>33</v>
      </c>
      <c r="C24" s="6"/>
      <c r="D24" s="61">
        <f>SUM(D19:D23)</f>
        <v>-70441811</v>
      </c>
      <c r="E24" s="39">
        <f>SUM(E19:E23)</f>
        <v>-300427679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-70441811</v>
      </c>
      <c r="I24" s="39">
        <f t="shared" si="5"/>
        <v>-300427679</v>
      </c>
      <c r="J24" s="61">
        <f t="shared" si="5"/>
        <v>0</v>
      </c>
      <c r="K24" s="39">
        <f t="shared" si="5"/>
        <v>0</v>
      </c>
      <c r="L24" s="61">
        <f t="shared" si="5"/>
        <v>-70441811</v>
      </c>
      <c r="M24" s="39">
        <f t="shared" si="5"/>
        <v>-300427679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106930710</v>
      </c>
      <c r="E27" s="38">
        <f>'TX-EGM-FLSH'!E27+'TX-HPLR-FLSH'!E27+'TX-HPLC-FLSH'!E27</f>
        <v>458167932</v>
      </c>
      <c r="F27" s="60">
        <f>H27-D27</f>
        <v>0</v>
      </c>
      <c r="G27" s="37">
        <f>I27-E27</f>
        <v>0</v>
      </c>
      <c r="H27" s="60">
        <f>'TX-EGM-FLSH'!H27+'TX-HPLR-FLSH'!H27+'TX-HPLC-FLSH'!H27</f>
        <v>106930710</v>
      </c>
      <c r="I27" s="38">
        <f>'TX-EGM-FLSH'!I27+'TX-HPLR-FLSH'!I27+'TX-HPLC-FLSH'!I27</f>
        <v>458167932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106930710</v>
      </c>
      <c r="M27" s="38">
        <f>I27+K27</f>
        <v>458167932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-106267038</v>
      </c>
      <c r="E28" s="38">
        <f>'TX-EGM-FLSH'!E28+'TX-HPLR-FLSH'!E28+'TX-HPLC-FLSH'!E28</f>
        <v>-455261050</v>
      </c>
      <c r="F28" s="60">
        <f>H28-D28</f>
        <v>0</v>
      </c>
      <c r="G28" s="37">
        <f>I28-E28</f>
        <v>0</v>
      </c>
      <c r="H28" s="60">
        <f>'TX-EGM-FLSH'!H28+'TX-HPLR-FLSH'!H28+'TX-HPLC-FLSH'!H28</f>
        <v>-106267038</v>
      </c>
      <c r="I28" s="38">
        <f>'TX-EGM-FLSH'!I28+'TX-HPLR-FLSH'!I28+'TX-HPLC-FLSH'!I28</f>
        <v>-455261050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-106267038</v>
      </c>
      <c r="M28" s="38">
        <f>I28+K28</f>
        <v>-455261050</v>
      </c>
    </row>
    <row r="29" spans="1:13" x14ac:dyDescent="0.2">
      <c r="A29" s="9"/>
      <c r="B29" s="7" t="s">
        <v>37</v>
      </c>
      <c r="C29" s="6"/>
      <c r="D29" s="61">
        <f>SUM(D27:D28)</f>
        <v>663672</v>
      </c>
      <c r="E29" s="39">
        <f>SUM(E27:E28)</f>
        <v>2906882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663672</v>
      </c>
      <c r="I29" s="39">
        <f t="shared" si="6"/>
        <v>2906882</v>
      </c>
      <c r="J29" s="61">
        <f t="shared" si="6"/>
        <v>0</v>
      </c>
      <c r="K29" s="39">
        <f t="shared" si="6"/>
        <v>0</v>
      </c>
      <c r="L29" s="61">
        <f t="shared" si="6"/>
        <v>663672</v>
      </c>
      <c r="M29" s="39">
        <f t="shared" si="6"/>
        <v>2906882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537385</v>
      </c>
      <c r="E32" s="38">
        <f>'TX-EGM-FLSH'!E32+'TX-HPLR-FLSH'!E32+'TX-HPLC-FLSH'!E32</f>
        <v>3</v>
      </c>
      <c r="F32" s="60">
        <f>H32-D32</f>
        <v>0</v>
      </c>
      <c r="G32" s="37">
        <f>I32-E32</f>
        <v>0</v>
      </c>
      <c r="H32" s="60">
        <f>'TX-EGM-FLSH'!H32+'TX-HPLR-FLSH'!H32+'TX-HPLC-FLSH'!H32</f>
        <v>537385</v>
      </c>
      <c r="I32" s="38">
        <f>'TX-EGM-FLSH'!I32+'TX-HPLR-FLSH'!I32+'TX-HPLC-FLSH'!I32</f>
        <v>3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537385</v>
      </c>
      <c r="M32" s="38">
        <f t="shared" si="7"/>
        <v>3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-536755</v>
      </c>
      <c r="E33" s="38">
        <f>'TX-EGM-FLSH'!E33+'TX-HPLR-FLSH'!E33+'TX-HPLC-FLSH'!E33</f>
        <v>-16109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-536755</v>
      </c>
      <c r="I33" s="38">
        <f>'TX-EGM-FLSH'!I33+'TX-HPLR-FLSH'!I33+'TX-HPLC-FLSH'!I33</f>
        <v>-16109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-536755</v>
      </c>
      <c r="M33" s="38">
        <f t="shared" si="7"/>
        <v>-16109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630</v>
      </c>
      <c r="E36" s="39">
        <f t="shared" si="9"/>
        <v>-16106</v>
      </c>
      <c r="F36" s="61">
        <f t="shared" si="9"/>
        <v>0</v>
      </c>
      <c r="G36" s="39">
        <f t="shared" si="9"/>
        <v>0</v>
      </c>
      <c r="H36" s="61">
        <f t="shared" si="9"/>
        <v>630</v>
      </c>
      <c r="I36" s="39">
        <f t="shared" si="9"/>
        <v>-16106</v>
      </c>
      <c r="J36" s="61">
        <f>SUM(J32:J34)</f>
        <v>0</v>
      </c>
      <c r="K36" s="39">
        <f>SUM(K32:K34)</f>
        <v>0</v>
      </c>
      <c r="L36" s="61">
        <f>SUM(L32:L35)</f>
        <v>630</v>
      </c>
      <c r="M36" s="39">
        <f>SUM(M32:M35)</f>
        <v>-16106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3036024</v>
      </c>
      <c r="E39" s="38">
        <f>'TX-EGM-FLSH'!E39+'TX-HPLR-FLSH'!E39+'TX-HPLC-FLSH'!E39</f>
        <v>13255287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3036024</v>
      </c>
      <c r="I39" s="38">
        <f>'TX-EGM-FLSH'!I39+'TX-HPLR-FLSH'!I39+'TX-HPLC-FLSH'!I39</f>
        <v>13255287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3036024</v>
      </c>
      <c r="M39" s="38">
        <f t="shared" si="11"/>
        <v>13255287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-2569968</v>
      </c>
      <c r="E40" s="38">
        <f>'TX-EGM-FLSH'!E40+'TX-HPLR-FLSH'!E40+'TX-HPLC-FLSH'!E40</f>
        <v>-11256460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-2569968</v>
      </c>
      <c r="I40" s="38">
        <f>'TX-EGM-FLSH'!I40+'TX-HPLR-FLSH'!I40+'TX-HPLC-FLSH'!I40</f>
        <v>-11256460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-2569968</v>
      </c>
      <c r="M40" s="38">
        <f t="shared" si="11"/>
        <v>-11256460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-2569968</v>
      </c>
      <c r="E42" s="39">
        <f>SUM(E40:E41)</f>
        <v>-11256460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-2569968</v>
      </c>
      <c r="I42" s="39">
        <f t="shared" si="12"/>
        <v>-11256460</v>
      </c>
      <c r="J42" s="61">
        <f t="shared" si="12"/>
        <v>0</v>
      </c>
      <c r="K42" s="39">
        <f t="shared" si="12"/>
        <v>0</v>
      </c>
      <c r="L42" s="61">
        <f t="shared" si="12"/>
        <v>-2569968</v>
      </c>
      <c r="M42" s="39">
        <f t="shared" si="12"/>
        <v>-11256460</v>
      </c>
    </row>
    <row r="43" spans="1:13" ht="21" customHeight="1" x14ac:dyDescent="0.2">
      <c r="A43" s="9"/>
      <c r="B43" s="7" t="s">
        <v>49</v>
      </c>
      <c r="C43" s="6"/>
      <c r="D43" s="61">
        <f>D42+D39</f>
        <v>466056</v>
      </c>
      <c r="E43" s="39">
        <f>E42+E39</f>
        <v>1998827</v>
      </c>
      <c r="F43" s="61">
        <f t="shared" ref="F43:M43" si="13">F42+F39</f>
        <v>0</v>
      </c>
      <c r="G43" s="39">
        <f t="shared" si="13"/>
        <v>0</v>
      </c>
      <c r="H43" s="61">
        <f t="shared" si="13"/>
        <v>466056</v>
      </c>
      <c r="I43" s="39">
        <f t="shared" si="13"/>
        <v>1998827</v>
      </c>
      <c r="J43" s="61">
        <f t="shared" si="13"/>
        <v>0</v>
      </c>
      <c r="K43" s="39">
        <f t="shared" si="13"/>
        <v>0</v>
      </c>
      <c r="L43" s="61">
        <f t="shared" si="13"/>
        <v>466056</v>
      </c>
      <c r="M43" s="39">
        <f t="shared" si="13"/>
        <v>1998827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-286729</v>
      </c>
      <c r="E49" s="38">
        <f>'TX-EGM-FLSH'!E49+'TX-HPLR-FLSH'!E49+'TX-HPLC-FLSH'!E49</f>
        <v>-1227985.2144966014</v>
      </c>
      <c r="F49" s="60">
        <f>H49-D49</f>
        <v>0</v>
      </c>
      <c r="G49" s="37">
        <f>I49-E49</f>
        <v>0</v>
      </c>
      <c r="H49" s="60">
        <f>'TX-EGM-FLSH'!H49+'TX-HPLR-FLSH'!H49+'TX-HPLC-FLSH'!H49</f>
        <v>-286729</v>
      </c>
      <c r="I49" s="38">
        <f>'TX-EGM-FLSH'!I49+'TX-HPLR-FLSH'!I49+'TX-HPLC-FLSH'!I49</f>
        <v>-1227985.2144966014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-286729</v>
      </c>
      <c r="M49" s="38">
        <f>I49+K49</f>
        <v>-1227985.2144966014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-1907166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-1907166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-1907166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-1907166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-1907166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-1907166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519130.8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519130.8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519130.8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-6879227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-6879227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-6879227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-6360096.2000000002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-6360096.2000000002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-6360096.2000000002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5792644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5792644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5792644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308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308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308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-1000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-1000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-1000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2228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2228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14</v>
      </c>
      <c r="E82" s="74">
        <f>SUM(E72:E81)+E16+E24+E29+E36+E43+E45+E47+E49+E51+E56+E61+E66</f>
        <v>442051.58550341055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</v>
      </c>
      <c r="I82" s="74">
        <f>SUM(I72:I81)+I16+I24+I29+I36+I43+I45+I47+I49+I51+I56+I61+I66</f>
        <v>442051.58550341055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</v>
      </c>
      <c r="M82" s="74">
        <f>SUM(M72:M81)+M16+M24+M29+M36+M43+M45+M47+M49+M51+M56+M61+M66</f>
        <v>442051.58550341055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855660.56746232137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57677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57677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57677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-686167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-686167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-686167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-628490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-628490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-628490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14</v>
      </c>
      <c r="E91" s="155">
        <f t="shared" ref="E91:M91" si="21">+E82+E89</f>
        <v>-186438.41449658945</v>
      </c>
      <c r="F91" s="155">
        <f t="shared" si="21"/>
        <v>0</v>
      </c>
      <c r="G91" s="155">
        <f t="shared" si="21"/>
        <v>0</v>
      </c>
      <c r="H91" s="155">
        <f t="shared" si="21"/>
        <v>14</v>
      </c>
      <c r="I91" s="155">
        <f t="shared" si="21"/>
        <v>-186438.41449658945</v>
      </c>
      <c r="J91" s="155">
        <f t="shared" si="21"/>
        <v>0</v>
      </c>
      <c r="K91" s="155">
        <f t="shared" si="21"/>
        <v>0</v>
      </c>
      <c r="L91" s="155">
        <f t="shared" si="21"/>
        <v>14</v>
      </c>
      <c r="M91" s="155">
        <f t="shared" si="21"/>
        <v>-186438.41449658945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1" sqref="D11:E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58210378</v>
      </c>
      <c r="E11" s="65">
        <v>245061994</v>
      </c>
      <c r="F11" s="60">
        <f>H11-D11</f>
        <v>0</v>
      </c>
      <c r="G11" s="37">
        <f>I11-E11</f>
        <v>0</v>
      </c>
      <c r="H11" s="65">
        <f>D11</f>
        <v>58210378</v>
      </c>
      <c r="I11" s="66">
        <f>E11</f>
        <v>245061994</v>
      </c>
      <c r="J11" s="60"/>
      <c r="K11" s="38"/>
      <c r="L11" s="60">
        <f t="shared" ref="L11:M15" si="0">H11+J11</f>
        <v>58210378</v>
      </c>
      <c r="M11" s="38">
        <f t="shared" si="0"/>
        <v>245061994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12953024</v>
      </c>
      <c r="E13" s="65">
        <v>54506391</v>
      </c>
      <c r="F13" s="60">
        <f t="shared" si="1"/>
        <v>0</v>
      </c>
      <c r="G13" s="37">
        <f t="shared" si="1"/>
        <v>0</v>
      </c>
      <c r="H13" s="65">
        <f t="shared" si="2"/>
        <v>12953024</v>
      </c>
      <c r="I13" s="66">
        <f t="shared" si="2"/>
        <v>54506391</v>
      </c>
      <c r="J13" s="60"/>
      <c r="K13" s="38"/>
      <c r="L13" s="60">
        <f t="shared" si="0"/>
        <v>12953024</v>
      </c>
      <c r="M13" s="38">
        <f t="shared" si="0"/>
        <v>54506391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71163402</v>
      </c>
      <c r="E16" s="39">
        <v>299568385</v>
      </c>
      <c r="F16" s="61">
        <f t="shared" ref="F16:M16" si="3">SUM(F11:F15)</f>
        <v>0</v>
      </c>
      <c r="G16" s="39">
        <f t="shared" si="3"/>
        <v>0</v>
      </c>
      <c r="H16" s="61">
        <f>SUM(H11:H15)</f>
        <v>71163402</v>
      </c>
      <c r="I16" s="39">
        <f>SUM(I11:I15)</f>
        <v>299568385</v>
      </c>
      <c r="J16" s="61">
        <f t="shared" si="3"/>
        <v>0</v>
      </c>
      <c r="K16" s="39">
        <f t="shared" si="3"/>
        <v>0</v>
      </c>
      <c r="L16" s="61">
        <f t="shared" si="3"/>
        <v>71163402</v>
      </c>
      <c r="M16" s="39">
        <f t="shared" si="3"/>
        <v>299568385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-59069841</v>
      </c>
      <c r="E19" s="65">
        <v>-245268436</v>
      </c>
      <c r="F19" s="60">
        <f>H19-D19</f>
        <v>0</v>
      </c>
      <c r="G19" s="37">
        <f>I19-E19</f>
        <v>0</v>
      </c>
      <c r="H19" s="65">
        <f t="shared" si="4"/>
        <v>-59069841</v>
      </c>
      <c r="I19" s="66">
        <f t="shared" si="4"/>
        <v>-245268436</v>
      </c>
      <c r="J19" s="60"/>
      <c r="K19" s="38"/>
      <c r="L19" s="60">
        <f t="shared" ref="L19:M23" si="5">H19+J19</f>
        <v>-59069841</v>
      </c>
      <c r="M19" s="38">
        <f t="shared" si="5"/>
        <v>-245268436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-13576708</v>
      </c>
      <c r="E21" s="65">
        <v>-56797029</v>
      </c>
      <c r="F21" s="60">
        <f t="shared" si="6"/>
        <v>0</v>
      </c>
      <c r="G21" s="37">
        <f t="shared" si="6"/>
        <v>0</v>
      </c>
      <c r="H21" s="65">
        <f t="shared" si="4"/>
        <v>-13576708</v>
      </c>
      <c r="I21" s="66">
        <f t="shared" si="4"/>
        <v>-56797029</v>
      </c>
      <c r="J21" s="60"/>
      <c r="K21" s="38"/>
      <c r="L21" s="60">
        <f t="shared" si="5"/>
        <v>-13576708</v>
      </c>
      <c r="M21" s="38">
        <f t="shared" si="5"/>
        <v>-56797029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231555</v>
      </c>
      <c r="E23" s="65">
        <v>933645</v>
      </c>
      <c r="F23" s="60">
        <f t="shared" si="6"/>
        <v>0</v>
      </c>
      <c r="G23" s="37">
        <f t="shared" si="6"/>
        <v>0</v>
      </c>
      <c r="H23" s="65">
        <f t="shared" si="4"/>
        <v>231555</v>
      </c>
      <c r="I23" s="66">
        <f t="shared" si="4"/>
        <v>933645</v>
      </c>
      <c r="J23" s="60"/>
      <c r="K23" s="38"/>
      <c r="L23" s="60">
        <f t="shared" si="5"/>
        <v>231555</v>
      </c>
      <c r="M23" s="38">
        <f t="shared" si="5"/>
        <v>933645</v>
      </c>
    </row>
    <row r="24" spans="1:13" x14ac:dyDescent="0.2">
      <c r="A24" s="9"/>
      <c r="B24" s="7" t="s">
        <v>33</v>
      </c>
      <c r="C24" s="6"/>
      <c r="D24" s="61">
        <v>-72414994</v>
      </c>
      <c r="E24" s="39">
        <v>-301131820</v>
      </c>
      <c r="F24" s="61">
        <f t="shared" ref="F24:M24" si="7">SUM(F19:F23)</f>
        <v>0</v>
      </c>
      <c r="G24" s="39">
        <f t="shared" si="7"/>
        <v>0</v>
      </c>
      <c r="H24" s="61">
        <f>SUM(H19:H23)</f>
        <v>-72414994</v>
      </c>
      <c r="I24" s="39">
        <f>SUM(I19:I23)</f>
        <v>-301131820</v>
      </c>
      <c r="J24" s="61">
        <f t="shared" si="7"/>
        <v>0</v>
      </c>
      <c r="K24" s="39">
        <f t="shared" si="7"/>
        <v>0</v>
      </c>
      <c r="L24" s="61">
        <f t="shared" si="7"/>
        <v>-72414994</v>
      </c>
      <c r="M24" s="39">
        <f t="shared" si="7"/>
        <v>-301131820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1146923</v>
      </c>
      <c r="E27" s="65">
        <v>4793070</v>
      </c>
      <c r="F27" s="60">
        <f>H27-D27</f>
        <v>0</v>
      </c>
      <c r="G27" s="37">
        <f>I27-E27</f>
        <v>0</v>
      </c>
      <c r="H27" s="65">
        <f>D27</f>
        <v>1146923</v>
      </c>
      <c r="I27" s="66">
        <f>E27</f>
        <v>4793070</v>
      </c>
      <c r="J27" s="60"/>
      <c r="K27" s="38"/>
      <c r="L27" s="60">
        <f>H27+J27</f>
        <v>1146923</v>
      </c>
      <c r="M27" s="38">
        <f>I27+K27</f>
        <v>4793070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1146923</v>
      </c>
      <c r="E29" s="39">
        <v>4793070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1146923</v>
      </c>
      <c r="I29" s="39">
        <f>SUM(I27:I28)</f>
        <v>4793070</v>
      </c>
      <c r="J29" s="61">
        <f t="shared" si="8"/>
        <v>0</v>
      </c>
      <c r="K29" s="39">
        <f t="shared" si="8"/>
        <v>0</v>
      </c>
      <c r="L29" s="61">
        <f t="shared" si="8"/>
        <v>1146923</v>
      </c>
      <c r="M29" s="39">
        <f t="shared" si="8"/>
        <v>4793070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40211</v>
      </c>
      <c r="E32" s="65">
        <v>156268</v>
      </c>
      <c r="F32" s="60">
        <f>H32-D32</f>
        <v>0</v>
      </c>
      <c r="G32" s="37">
        <f>I32-E32</f>
        <v>0</v>
      </c>
      <c r="H32" s="65">
        <f t="shared" ref="H32:I35" si="9">D32</f>
        <v>40211</v>
      </c>
      <c r="I32" s="66">
        <f t="shared" si="9"/>
        <v>156268</v>
      </c>
      <c r="J32" s="60"/>
      <c r="K32" s="38"/>
      <c r="L32" s="60">
        <f t="shared" ref="L32:M35" si="10">H32+J32</f>
        <v>40211</v>
      </c>
      <c r="M32" s="38">
        <f t="shared" si="10"/>
        <v>156268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29687</v>
      </c>
      <c r="E35" s="65">
        <v>365184</v>
      </c>
      <c r="F35" s="60">
        <f t="shared" si="11"/>
        <v>0</v>
      </c>
      <c r="G35" s="37">
        <f t="shared" si="11"/>
        <v>0</v>
      </c>
      <c r="H35" s="65">
        <f t="shared" si="9"/>
        <v>29687</v>
      </c>
      <c r="I35" s="66">
        <f t="shared" si="9"/>
        <v>365184</v>
      </c>
      <c r="J35" s="60"/>
      <c r="K35" s="38"/>
      <c r="L35" s="60">
        <f t="shared" si="10"/>
        <v>29687</v>
      </c>
      <c r="M35" s="38">
        <f t="shared" si="10"/>
        <v>365184</v>
      </c>
    </row>
    <row r="36" spans="1:13" x14ac:dyDescent="0.2">
      <c r="A36" s="9"/>
      <c r="B36" s="7" t="s">
        <v>43</v>
      </c>
      <c r="C36" s="6"/>
      <c r="D36" s="61">
        <v>69898</v>
      </c>
      <c r="E36" s="39">
        <v>521452</v>
      </c>
      <c r="F36" s="61">
        <f>SUM(F32:F35)</f>
        <v>0</v>
      </c>
      <c r="G36" s="39">
        <f>SUM(G32:G35)</f>
        <v>0</v>
      </c>
      <c r="H36" s="61">
        <f>SUM(H32:H35)</f>
        <v>69898</v>
      </c>
      <c r="I36" s="39">
        <f>SUM(I32:I35)</f>
        <v>521452</v>
      </c>
      <c r="J36" s="61">
        <f>SUM(J32:J34)</f>
        <v>0</v>
      </c>
      <c r="K36" s="39">
        <f>SUM(K32:K34)</f>
        <v>0</v>
      </c>
      <c r="L36" s="61">
        <f>SUM(L32:L35)</f>
        <v>69898</v>
      </c>
      <c r="M36" s="39">
        <f>SUM(M32:M35)</f>
        <v>521452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235600</v>
      </c>
      <c r="E39" s="65">
        <v>861532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235600</v>
      </c>
      <c r="I39" s="66">
        <f t="shared" si="12"/>
        <v>861532</v>
      </c>
      <c r="J39" s="60"/>
      <c r="K39" s="38"/>
      <c r="L39" s="60">
        <f t="shared" ref="L39:M41" si="14">H39+J39</f>
        <v>235600</v>
      </c>
      <c r="M39" s="38">
        <f t="shared" si="14"/>
        <v>861532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-201038</v>
      </c>
      <c r="E40" s="65">
        <v>-739643</v>
      </c>
      <c r="F40" s="60">
        <f t="shared" si="13"/>
        <v>0</v>
      </c>
      <c r="G40" s="37">
        <f t="shared" si="13"/>
        <v>0</v>
      </c>
      <c r="H40" s="65">
        <f t="shared" si="12"/>
        <v>-201038</v>
      </c>
      <c r="I40" s="66">
        <f t="shared" si="12"/>
        <v>-739643</v>
      </c>
      <c r="J40" s="60"/>
      <c r="K40" s="38"/>
      <c r="L40" s="60">
        <f t="shared" si="14"/>
        <v>-201038</v>
      </c>
      <c r="M40" s="38">
        <f t="shared" si="14"/>
        <v>-739643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-201038</v>
      </c>
      <c r="E42" s="39">
        <v>-739643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-201038</v>
      </c>
      <c r="I42" s="39">
        <f>SUM(I40:I41)</f>
        <v>-739643</v>
      </c>
      <c r="J42" s="61">
        <f t="shared" si="15"/>
        <v>0</v>
      </c>
      <c r="K42" s="39">
        <f t="shared" si="15"/>
        <v>0</v>
      </c>
      <c r="L42" s="61">
        <f t="shared" si="15"/>
        <v>-201038</v>
      </c>
      <c r="M42" s="39">
        <f t="shared" si="15"/>
        <v>-739643</v>
      </c>
    </row>
    <row r="43" spans="1:13" ht="21" customHeight="1" x14ac:dyDescent="0.2">
      <c r="A43" s="9"/>
      <c r="B43" s="7" t="s">
        <v>49</v>
      </c>
      <c r="C43" s="6"/>
      <c r="D43" s="61">
        <v>34562</v>
      </c>
      <c r="E43" s="39">
        <v>121889</v>
      </c>
      <c r="F43" s="61">
        <f t="shared" ref="F43:M43" si="16">F42+F39</f>
        <v>0</v>
      </c>
      <c r="G43" s="39">
        <f t="shared" si="16"/>
        <v>0</v>
      </c>
      <c r="H43" s="61">
        <f>H42+H39</f>
        <v>34562</v>
      </c>
      <c r="I43" s="39">
        <f>I42+I39</f>
        <v>121889</v>
      </c>
      <c r="J43" s="61">
        <f t="shared" si="16"/>
        <v>0</v>
      </c>
      <c r="K43" s="39">
        <f t="shared" si="16"/>
        <v>0</v>
      </c>
      <c r="L43" s="61">
        <f t="shared" si="16"/>
        <v>34562</v>
      </c>
      <c r="M43" s="39">
        <f t="shared" si="16"/>
        <v>121889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209</v>
      </c>
      <c r="E49" s="65">
        <v>835.53003451631116</v>
      </c>
      <c r="F49" s="60">
        <f>H49-D49</f>
        <v>0</v>
      </c>
      <c r="G49" s="37">
        <f>I49-E49</f>
        <v>0</v>
      </c>
      <c r="H49" s="65">
        <f>D49</f>
        <v>209</v>
      </c>
      <c r="I49" s="66">
        <f>E49</f>
        <v>835.53003451631116</v>
      </c>
      <c r="J49" s="60"/>
      <c r="K49" s="38"/>
      <c r="L49" s="60">
        <f>H49+J49</f>
        <v>209</v>
      </c>
      <c r="M49" s="38">
        <f>I49+K49</f>
        <v>835.53003451631116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-231555</v>
      </c>
      <c r="E51" s="65">
        <v>-933645</v>
      </c>
      <c r="F51" s="60">
        <f>H51-D51</f>
        <v>0</v>
      </c>
      <c r="G51" s="37">
        <f>I51-E51</f>
        <v>0</v>
      </c>
      <c r="H51" s="65">
        <f>D51</f>
        <v>-231555</v>
      </c>
      <c r="I51" s="66">
        <f>E51</f>
        <v>-933645</v>
      </c>
      <c r="J51" s="60"/>
      <c r="K51" s="38"/>
      <c r="L51" s="60">
        <f>H51+J51</f>
        <v>-231555</v>
      </c>
      <c r="M51" s="38">
        <f>I51+K51</f>
        <v>-933645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-251684.38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-251684.38</v>
      </c>
      <c r="J54" s="60"/>
      <c r="K54" s="38"/>
      <c r="L54" s="60">
        <f>H54+J54</f>
        <v>0</v>
      </c>
      <c r="M54" s="38">
        <f>I54+K54</f>
        <v>-251684.38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-1093891.19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-1093891.19</v>
      </c>
      <c r="J55" s="60"/>
      <c r="K55" s="38"/>
      <c r="L55" s="60">
        <f>H55+J55</f>
        <v>0</v>
      </c>
      <c r="M55" s="38">
        <f>I55+K55</f>
        <v>-1093891.19</v>
      </c>
    </row>
    <row r="56" spans="1:15" x14ac:dyDescent="0.2">
      <c r="A56" s="9"/>
      <c r="B56" s="7" t="s">
        <v>57</v>
      </c>
      <c r="C56" s="6"/>
      <c r="D56" s="61">
        <v>0</v>
      </c>
      <c r="E56" s="39">
        <v>-1345575.57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-1345575.5699999998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-1345575.5699999998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22698435.849599995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22698435.849599995</v>
      </c>
      <c r="J70" s="60"/>
      <c r="K70" s="38"/>
      <c r="L70" s="60">
        <f>H70+J70</f>
        <v>0</v>
      </c>
      <c r="M70" s="38">
        <f>I70+K70</f>
        <v>22698435.849599995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-35291625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-35291625</v>
      </c>
      <c r="J71" s="60"/>
      <c r="K71" s="38"/>
      <c r="L71" s="60">
        <f>H71+J71</f>
        <v>0</v>
      </c>
      <c r="M71" s="38">
        <f>I71+K71</f>
        <v>-35291625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-12593189.150400005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-12593189.150400005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-12593189.150400005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18553354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18553354</v>
      </c>
      <c r="J74" s="60"/>
      <c r="K74" s="38"/>
      <c r="L74" s="60">
        <f t="shared" si="22"/>
        <v>0</v>
      </c>
      <c r="M74" s="38">
        <f t="shared" si="22"/>
        <v>18553354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-30352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-30352</v>
      </c>
      <c r="J76" s="60"/>
      <c r="K76" s="38"/>
      <c r="L76" s="60">
        <f t="shared" si="22"/>
        <v>0</v>
      </c>
      <c r="M76" s="38">
        <f t="shared" si="22"/>
        <v>-30352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-22208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-22208</v>
      </c>
      <c r="J81" s="60"/>
      <c r="K81" s="38"/>
      <c r="L81" s="60">
        <f t="shared" si="22"/>
        <v>0</v>
      </c>
      <c r="M81" s="38">
        <f t="shared" si="22"/>
        <v>-22208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7502195.8096345328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7502195.8096345328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7502195.8096345328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7502195.8096345328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7502195.8096345328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7502195.8096345328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H87" sqref="H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3454894</v>
      </c>
      <c r="E11" s="65">
        <v>12336669</v>
      </c>
      <c r="F11" s="60">
        <f>H11-D11</f>
        <v>0</v>
      </c>
      <c r="G11" s="37">
        <f>I11-E11</f>
        <v>0</v>
      </c>
      <c r="H11" s="65">
        <f>D11</f>
        <v>3454894</v>
      </c>
      <c r="I11" s="66">
        <f>E11</f>
        <v>12336669</v>
      </c>
      <c r="J11" s="60"/>
      <c r="K11" s="38"/>
      <c r="L11" s="60">
        <f t="shared" ref="L11:M15" si="0">H11+J11</f>
        <v>3454894</v>
      </c>
      <c r="M11" s="38">
        <f t="shared" si="0"/>
        <v>12336669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5098819</v>
      </c>
      <c r="E13" s="65">
        <v>19858480</v>
      </c>
      <c r="F13" s="60">
        <f t="shared" si="1"/>
        <v>0</v>
      </c>
      <c r="G13" s="37">
        <f t="shared" si="1"/>
        <v>0</v>
      </c>
      <c r="H13" s="65">
        <f t="shared" si="2"/>
        <v>5098819</v>
      </c>
      <c r="I13" s="66">
        <f t="shared" si="2"/>
        <v>19858480</v>
      </c>
      <c r="J13" s="60"/>
      <c r="K13" s="38"/>
      <c r="L13" s="60">
        <f t="shared" si="0"/>
        <v>5098819</v>
      </c>
      <c r="M13" s="38">
        <f t="shared" si="0"/>
        <v>19858480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148976.09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148976.09</v>
      </c>
      <c r="J15" s="60"/>
      <c r="K15" s="38"/>
      <c r="L15" s="60">
        <f t="shared" si="0"/>
        <v>0</v>
      </c>
      <c r="M15" s="38">
        <f t="shared" si="0"/>
        <v>148976.09</v>
      </c>
    </row>
    <row r="16" spans="1:26" x14ac:dyDescent="0.2">
      <c r="A16" s="9"/>
      <c r="B16" s="7" t="s">
        <v>30</v>
      </c>
      <c r="C16" s="6"/>
      <c r="D16" s="61">
        <v>8553713</v>
      </c>
      <c r="E16" s="39">
        <v>32344125.09</v>
      </c>
      <c r="F16" s="61">
        <f t="shared" ref="F16:M16" si="3">SUM(F11:F15)</f>
        <v>0</v>
      </c>
      <c r="G16" s="39">
        <f t="shared" si="3"/>
        <v>0</v>
      </c>
      <c r="H16" s="61">
        <f>SUM(H11:H15)</f>
        <v>8553713</v>
      </c>
      <c r="I16" s="39">
        <f>SUM(I11:I15)</f>
        <v>32344125.09</v>
      </c>
      <c r="J16" s="61">
        <f t="shared" si="3"/>
        <v>0</v>
      </c>
      <c r="K16" s="39">
        <f t="shared" si="3"/>
        <v>0</v>
      </c>
      <c r="L16" s="61">
        <f t="shared" si="3"/>
        <v>8553713</v>
      </c>
      <c r="M16" s="39">
        <f t="shared" si="3"/>
        <v>32344125.09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-5280552</v>
      </c>
      <c r="E19" s="65">
        <v>-18326942</v>
      </c>
      <c r="F19" s="60">
        <f>H19-D19</f>
        <v>0</v>
      </c>
      <c r="G19" s="37">
        <f>I19-E19</f>
        <v>0</v>
      </c>
      <c r="H19" s="65">
        <f t="shared" si="4"/>
        <v>-5280552</v>
      </c>
      <c r="I19" s="66">
        <f t="shared" si="4"/>
        <v>-18326942</v>
      </c>
      <c r="J19" s="60"/>
      <c r="K19" s="38"/>
      <c r="L19" s="60">
        <f t="shared" ref="L19:M23" si="5">H19+J19</f>
        <v>-5280552</v>
      </c>
      <c r="M19" s="38">
        <f t="shared" si="5"/>
        <v>-18326942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-3517539</v>
      </c>
      <c r="E21" s="65">
        <v>-13563594</v>
      </c>
      <c r="F21" s="60">
        <f t="shared" si="6"/>
        <v>0</v>
      </c>
      <c r="G21" s="37">
        <f t="shared" si="6"/>
        <v>0</v>
      </c>
      <c r="H21" s="65">
        <f t="shared" si="4"/>
        <v>-3517539</v>
      </c>
      <c r="I21" s="66">
        <f t="shared" si="4"/>
        <v>-13563594</v>
      </c>
      <c r="J21" s="60"/>
      <c r="K21" s="38"/>
      <c r="L21" s="60">
        <f t="shared" si="5"/>
        <v>-3517539</v>
      </c>
      <c r="M21" s="38">
        <f t="shared" si="5"/>
        <v>-13563594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11741</v>
      </c>
      <c r="E23" s="65">
        <v>44321</v>
      </c>
      <c r="F23" s="60">
        <f t="shared" si="6"/>
        <v>0</v>
      </c>
      <c r="G23" s="37">
        <f t="shared" si="6"/>
        <v>0</v>
      </c>
      <c r="H23" s="65">
        <f t="shared" si="4"/>
        <v>11741</v>
      </c>
      <c r="I23" s="66">
        <f t="shared" si="4"/>
        <v>44321</v>
      </c>
      <c r="J23" s="60"/>
      <c r="K23" s="38"/>
      <c r="L23" s="60">
        <f t="shared" si="5"/>
        <v>11741</v>
      </c>
      <c r="M23" s="38">
        <f t="shared" si="5"/>
        <v>44321</v>
      </c>
    </row>
    <row r="24" spans="1:13" x14ac:dyDescent="0.2">
      <c r="A24" s="9"/>
      <c r="B24" s="7" t="s">
        <v>33</v>
      </c>
      <c r="C24" s="6"/>
      <c r="D24" s="61">
        <v>-8786350</v>
      </c>
      <c r="E24" s="39">
        <v>-31846215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-8786350</v>
      </c>
      <c r="I24" s="39">
        <f>SUM(I19:I23)</f>
        <v>-31846215</v>
      </c>
      <c r="J24" s="61">
        <f t="shared" si="7"/>
        <v>0</v>
      </c>
      <c r="K24" s="39">
        <f t="shared" si="7"/>
        <v>0</v>
      </c>
      <c r="L24" s="61">
        <f t="shared" si="7"/>
        <v>-8786350</v>
      </c>
      <c r="M24" s="39">
        <f t="shared" si="7"/>
        <v>-31846215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5326</v>
      </c>
      <c r="E32" s="65">
        <v>45234</v>
      </c>
      <c r="F32" s="60">
        <f>H32-D32</f>
        <v>0</v>
      </c>
      <c r="G32" s="37">
        <f>I32-E32</f>
        <v>0</v>
      </c>
      <c r="H32" s="65">
        <f t="shared" ref="H32:I35" si="9">D32</f>
        <v>5326</v>
      </c>
      <c r="I32" s="66">
        <f t="shared" si="9"/>
        <v>45234</v>
      </c>
      <c r="J32" s="60"/>
      <c r="K32" s="38"/>
      <c r="L32" s="60">
        <f t="shared" ref="L32:M35" si="10">H32+J32</f>
        <v>5326</v>
      </c>
      <c r="M32" s="38">
        <f t="shared" si="10"/>
        <v>45234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5326</v>
      </c>
      <c r="E36" s="39">
        <v>45234</v>
      </c>
      <c r="F36" s="61">
        <f>SUM(F32:F35)</f>
        <v>0</v>
      </c>
      <c r="G36" s="39">
        <f>SUM(G32:G35)</f>
        <v>0</v>
      </c>
      <c r="H36" s="61">
        <f>SUM(H32:H35)</f>
        <v>5326</v>
      </c>
      <c r="I36" s="39">
        <f>SUM(I32:I35)</f>
        <v>45234</v>
      </c>
      <c r="J36" s="61">
        <f>SUM(J32:J34)</f>
        <v>0</v>
      </c>
      <c r="K36" s="39">
        <f>SUM(K32:K34)</f>
        <v>0</v>
      </c>
      <c r="L36" s="61">
        <f>SUM(L32:L35)</f>
        <v>5326</v>
      </c>
      <c r="M36" s="39">
        <f>SUM(M32:M35)</f>
        <v>45234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227311</v>
      </c>
      <c r="E49" s="65">
        <v>774269.41283129342</v>
      </c>
      <c r="F49" s="60">
        <f>H49-D49</f>
        <v>0</v>
      </c>
      <c r="G49" s="37">
        <f>I49-E49</f>
        <v>0</v>
      </c>
      <c r="H49" s="65">
        <f>D49</f>
        <v>227311</v>
      </c>
      <c r="I49" s="66">
        <f>E49</f>
        <v>774269.41283129342</v>
      </c>
      <c r="J49" s="60"/>
      <c r="K49" s="38"/>
      <c r="L49" s="60">
        <f>H49+J49</f>
        <v>227311</v>
      </c>
      <c r="M49" s="38">
        <f>I49+K49</f>
        <v>774269.41283129342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-11741</v>
      </c>
      <c r="E51" s="65">
        <v>-44321</v>
      </c>
      <c r="F51" s="60">
        <f>H51-D51</f>
        <v>0</v>
      </c>
      <c r="G51" s="37">
        <f>I51-E51</f>
        <v>0</v>
      </c>
      <c r="H51" s="65">
        <f>D51</f>
        <v>-11741</v>
      </c>
      <c r="I51" s="66">
        <f>E51</f>
        <v>-44321</v>
      </c>
      <c r="J51" s="60"/>
      <c r="K51" s="38"/>
      <c r="L51" s="60">
        <f>H51+J51</f>
        <v>-11741</v>
      </c>
      <c r="M51" s="38">
        <f>I51+K51</f>
        <v>-44321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-342852.31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-342852.31</v>
      </c>
      <c r="J54" s="60"/>
      <c r="K54" s="38"/>
      <c r="L54" s="60">
        <f>H54+J54</f>
        <v>0</v>
      </c>
      <c r="M54" s="38">
        <f>I54+K54</f>
        <v>-342852.31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-585889.81999999995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-585889.81999999995</v>
      </c>
      <c r="J55" s="60"/>
      <c r="K55" s="38"/>
      <c r="L55" s="60">
        <f>H55+J55</f>
        <v>0</v>
      </c>
      <c r="M55" s="38">
        <f>I55+K55</f>
        <v>-585889.81999999995</v>
      </c>
    </row>
    <row r="56" spans="1:15" x14ac:dyDescent="0.2">
      <c r="A56" s="9"/>
      <c r="B56" s="7" t="s">
        <v>57</v>
      </c>
      <c r="C56" s="6"/>
      <c r="D56" s="61">
        <v>0</v>
      </c>
      <c r="E56" s="39">
        <v>-928742.13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-928742.12999999989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-928742.12999999989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1000000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1000000</v>
      </c>
      <c r="J70" s="60"/>
      <c r="K70" s="38"/>
      <c r="L70" s="60">
        <f>H70+J70</f>
        <v>0</v>
      </c>
      <c r="M70" s="38">
        <f>I70+K70</f>
        <v>1000000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-1096737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-1096737</v>
      </c>
      <c r="J71" s="60"/>
      <c r="K71" s="38"/>
      <c r="L71" s="60">
        <f>H71+J71</f>
        <v>0</v>
      </c>
      <c r="M71" s="38">
        <f>I71+K71</f>
        <v>-1096737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-96737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-96737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-96737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1775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1775</v>
      </c>
      <c r="J74" s="60"/>
      <c r="K74" s="38"/>
      <c r="L74" s="60">
        <f t="shared" si="22"/>
        <v>0</v>
      </c>
      <c r="M74" s="38">
        <f t="shared" si="22"/>
        <v>1775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-732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-732</v>
      </c>
      <c r="J76" s="60"/>
      <c r="K76" s="38"/>
      <c r="L76" s="60">
        <f t="shared" si="22"/>
        <v>0</v>
      </c>
      <c r="M76" s="38">
        <f t="shared" si="22"/>
        <v>-732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-28234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-28234</v>
      </c>
      <c r="J81" s="60"/>
      <c r="K81" s="38"/>
      <c r="L81" s="60">
        <f t="shared" si="22"/>
        <v>0</v>
      </c>
      <c r="M81" s="38">
        <f t="shared" si="22"/>
        <v>-28234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220422.37283129327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220422.37283129338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220422.37283129338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54892</v>
      </c>
      <c r="F86" s="67">
        <v>0</v>
      </c>
      <c r="G86" s="219">
        <v>0</v>
      </c>
      <c r="H86" s="222">
        <f t="shared" ref="H86:I88" si="24">D86</f>
        <v>0</v>
      </c>
      <c r="I86" s="219">
        <f t="shared" si="24"/>
        <v>54892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54892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0">
        <v>0</v>
      </c>
      <c r="F88" s="220">
        <v>0</v>
      </c>
      <c r="G88" s="221">
        <v>0</v>
      </c>
      <c r="H88" s="136">
        <f t="shared" si="24"/>
        <v>0</v>
      </c>
      <c r="I88" s="221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54892</v>
      </c>
      <c r="F89" s="223">
        <f t="shared" si="26"/>
        <v>0</v>
      </c>
      <c r="G89" s="223">
        <f t="shared" si="26"/>
        <v>0</v>
      </c>
      <c r="H89" s="155">
        <f t="shared" si="26"/>
        <v>0</v>
      </c>
      <c r="I89" s="155">
        <f t="shared" si="26"/>
        <v>54892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54892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275314.37283129327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275314.37283129338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275314.37283129338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pane="topRight"/>
      <selection pane="bottomLeft"/>
      <selection pane="bottomRight" activeCell="E91" sqref="E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-1405797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-1405797</v>
      </c>
      <c r="J12" s="60"/>
      <c r="K12" s="38"/>
      <c r="L12" s="60">
        <f t="shared" si="0"/>
        <v>0</v>
      </c>
      <c r="M12" s="38">
        <f t="shared" si="0"/>
        <v>-1405797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-1405797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-1405797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-1405797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2162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2162</v>
      </c>
      <c r="J60" s="65"/>
      <c r="K60" s="38"/>
      <c r="L60" s="60">
        <f>H60+J60</f>
        <v>0</v>
      </c>
      <c r="M60" s="38">
        <f>I60+K60</f>
        <v>2162</v>
      </c>
    </row>
    <row r="61" spans="1:15" x14ac:dyDescent="0.2">
      <c r="A61" s="9"/>
      <c r="B61" s="62" t="s">
        <v>61</v>
      </c>
      <c r="C61" s="6"/>
      <c r="D61" s="61">
        <v>0</v>
      </c>
      <c r="E61" s="39">
        <v>2162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2162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2162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143257916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143257916</v>
      </c>
      <c r="J70" s="65"/>
      <c r="K70" s="38"/>
      <c r="L70" s="60">
        <f t="shared" si="20"/>
        <v>0</v>
      </c>
      <c r="M70" s="38">
        <f t="shared" si="20"/>
        <v>143257916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-143891613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-143891613</v>
      </c>
      <c r="J71" s="65"/>
      <c r="K71" s="38"/>
      <c r="L71" s="60">
        <f t="shared" si="20"/>
        <v>0</v>
      </c>
      <c r="M71" s="38">
        <f t="shared" si="20"/>
        <v>-143891613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-633697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-633697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-633697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-39048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-39048</v>
      </c>
      <c r="J73" s="60"/>
      <c r="K73" s="38"/>
      <c r="L73" s="60">
        <f t="shared" ref="L73:M81" si="23">H73+J73</f>
        <v>0</v>
      </c>
      <c r="M73" s="38">
        <f t="shared" si="23"/>
        <v>-39048</v>
      </c>
    </row>
    <row r="74" spans="1:13" x14ac:dyDescent="0.2">
      <c r="A74" s="9">
        <v>33</v>
      </c>
      <c r="B74" s="3"/>
      <c r="C74" s="10" t="s">
        <v>71</v>
      </c>
      <c r="D74" s="60"/>
      <c r="E74" s="38">
        <v>3467694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3467694</v>
      </c>
      <c r="J74" s="60"/>
      <c r="K74" s="38"/>
      <c r="L74" s="60">
        <f t="shared" si="23"/>
        <v>0</v>
      </c>
      <c r="M74" s="38">
        <f t="shared" si="23"/>
        <v>3467694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-1778864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-1778864</v>
      </c>
      <c r="J75" s="60"/>
      <c r="K75" s="38"/>
      <c r="L75" s="60">
        <f t="shared" si="23"/>
        <v>0</v>
      </c>
      <c r="M75" s="38">
        <f t="shared" si="23"/>
        <v>-1778864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-5196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-5196</v>
      </c>
      <c r="J76" s="60"/>
      <c r="K76" s="38"/>
      <c r="L76" s="60">
        <f t="shared" si="23"/>
        <v>0</v>
      </c>
      <c r="M76" s="38">
        <f t="shared" si="23"/>
        <v>-5196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1119846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1119846</v>
      </c>
      <c r="J81" s="60"/>
      <c r="K81" s="38"/>
      <c r="L81" s="60">
        <f t="shared" si="23"/>
        <v>0</v>
      </c>
      <c r="M81" s="38">
        <f t="shared" si="23"/>
        <v>1119846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240964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240964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240964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32244210</v>
      </c>
      <c r="E11" s="146">
        <v>144548936</v>
      </c>
      <c r="F11" s="60">
        <f>H11-D11</f>
        <v>0</v>
      </c>
      <c r="G11" s="37">
        <f>I11-E11</f>
        <v>0</v>
      </c>
      <c r="H11" s="65">
        <f>D11</f>
        <v>32244210</v>
      </c>
      <c r="I11" s="66">
        <f>E11</f>
        <v>144548936</v>
      </c>
      <c r="J11" s="60"/>
      <c r="K11" s="38"/>
      <c r="L11" s="60">
        <f t="shared" ref="L11:M15" si="0">H11+J11</f>
        <v>32244210</v>
      </c>
      <c r="M11" s="38">
        <f t="shared" si="0"/>
        <v>144548936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4177126</v>
      </c>
      <c r="E13" s="146">
        <v>18321298</v>
      </c>
      <c r="F13" s="60">
        <f t="shared" si="1"/>
        <v>0</v>
      </c>
      <c r="G13" s="37">
        <f t="shared" si="1"/>
        <v>0</v>
      </c>
      <c r="H13" s="65">
        <f t="shared" si="2"/>
        <v>4177126</v>
      </c>
      <c r="I13" s="66">
        <f t="shared" si="2"/>
        <v>18321298</v>
      </c>
      <c r="J13" s="60"/>
      <c r="K13" s="38"/>
      <c r="L13" s="60">
        <f t="shared" si="0"/>
        <v>4177126</v>
      </c>
      <c r="M13" s="38">
        <f t="shared" si="0"/>
        <v>18321298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36421336</v>
      </c>
      <c r="E16" s="166">
        <v>162870234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36421336</v>
      </c>
      <c r="I16" s="39">
        <f>SUM(I11:I15)</f>
        <v>162870234</v>
      </c>
      <c r="J16" s="61">
        <f t="shared" si="3"/>
        <v>0</v>
      </c>
      <c r="K16" s="39">
        <f t="shared" si="3"/>
        <v>0</v>
      </c>
      <c r="L16" s="61">
        <f t="shared" si="3"/>
        <v>36421336</v>
      </c>
      <c r="M16" s="39">
        <f t="shared" si="3"/>
        <v>162870234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-35358574</v>
      </c>
      <c r="E19" s="146">
        <v>-158498450</v>
      </c>
      <c r="F19" s="60">
        <f>H19-D19</f>
        <v>0</v>
      </c>
      <c r="G19" s="37">
        <f>I19-E19</f>
        <v>0</v>
      </c>
      <c r="H19" s="65">
        <f t="shared" si="4"/>
        <v>-35358574</v>
      </c>
      <c r="I19" s="66">
        <f t="shared" si="4"/>
        <v>-158498450</v>
      </c>
      <c r="J19" s="60"/>
      <c r="K19" s="38"/>
      <c r="L19" s="60">
        <f t="shared" ref="L19:M23" si="5">H19+J19</f>
        <v>-35358574</v>
      </c>
      <c r="M19" s="38">
        <f t="shared" si="5"/>
        <v>-158498450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-1064304</v>
      </c>
      <c r="E21" s="146">
        <v>-4329544</v>
      </c>
      <c r="F21" s="60">
        <f t="shared" si="6"/>
        <v>0</v>
      </c>
      <c r="G21" s="37">
        <f t="shared" si="6"/>
        <v>0</v>
      </c>
      <c r="H21" s="65">
        <f t="shared" si="4"/>
        <v>-1064304</v>
      </c>
      <c r="I21" s="66">
        <f t="shared" si="4"/>
        <v>-4329544</v>
      </c>
      <c r="J21" s="60"/>
      <c r="K21" s="38"/>
      <c r="L21" s="60">
        <f t="shared" si="5"/>
        <v>-1064304</v>
      </c>
      <c r="M21" s="38">
        <f t="shared" si="5"/>
        <v>-4329544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20730</v>
      </c>
      <c r="E23" s="146">
        <v>74931</v>
      </c>
      <c r="F23" s="60">
        <f t="shared" si="6"/>
        <v>0</v>
      </c>
      <c r="G23" s="37">
        <f t="shared" si="6"/>
        <v>0</v>
      </c>
      <c r="H23" s="65">
        <f t="shared" si="4"/>
        <v>20730</v>
      </c>
      <c r="I23" s="66">
        <f t="shared" si="4"/>
        <v>74931</v>
      </c>
      <c r="J23" s="60"/>
      <c r="K23" s="38"/>
      <c r="L23" s="60">
        <f t="shared" si="5"/>
        <v>20730</v>
      </c>
      <c r="M23" s="38">
        <f t="shared" si="5"/>
        <v>74931</v>
      </c>
    </row>
    <row r="24" spans="1:13" x14ac:dyDescent="0.2">
      <c r="A24" s="9"/>
      <c r="B24" s="7" t="s">
        <v>33</v>
      </c>
      <c r="C24" s="6"/>
      <c r="D24" s="166">
        <v>-36402148</v>
      </c>
      <c r="E24" s="166">
        <v>-162753063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-36402148</v>
      </c>
      <c r="I24" s="39">
        <f>SUM(I19:I23)</f>
        <v>-162753063</v>
      </c>
      <c r="J24" s="61">
        <f t="shared" si="7"/>
        <v>0</v>
      </c>
      <c r="K24" s="39">
        <f t="shared" si="7"/>
        <v>0</v>
      </c>
      <c r="L24" s="61">
        <f t="shared" si="7"/>
        <v>-36402148</v>
      </c>
      <c r="M24" s="39">
        <f t="shared" si="7"/>
        <v>-162753063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-19188</v>
      </c>
      <c r="E49" s="146">
        <v>-84043.44</v>
      </c>
      <c r="F49" s="60">
        <f>H49-D49</f>
        <v>0</v>
      </c>
      <c r="G49" s="37">
        <f>I49-E49</f>
        <v>0</v>
      </c>
      <c r="H49" s="65">
        <f>D49</f>
        <v>-19188</v>
      </c>
      <c r="I49" s="66">
        <f>E49</f>
        <v>-84043.44</v>
      </c>
      <c r="J49" s="60"/>
      <c r="K49" s="38"/>
      <c r="L49" s="60">
        <f>H49+J49</f>
        <v>-19188</v>
      </c>
      <c r="M49" s="38">
        <f>I49+K49</f>
        <v>-84043.44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-20730</v>
      </c>
      <c r="E51" s="146">
        <v>-74931</v>
      </c>
      <c r="F51" s="60">
        <f>H51-D51</f>
        <v>0</v>
      </c>
      <c r="G51" s="37">
        <f>I51-E51</f>
        <v>0</v>
      </c>
      <c r="H51" s="65">
        <f>D51</f>
        <v>-20730</v>
      </c>
      <c r="I51" s="66">
        <f>E51</f>
        <v>-74931</v>
      </c>
      <c r="J51" s="60"/>
      <c r="K51" s="38"/>
      <c r="L51" s="60">
        <f>H51+J51</f>
        <v>-20730</v>
      </c>
      <c r="M51" s="38">
        <f>I51+K51</f>
        <v>-74931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</v>
      </c>
      <c r="J54" s="60"/>
      <c r="K54" s="38"/>
      <c r="L54" s="60">
        <f>H54+J54</f>
        <v>0</v>
      </c>
      <c r="M54" s="38">
        <f>I54+K54</f>
        <v>-2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8346121.5228982903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8346121.5228982903</v>
      </c>
      <c r="J70" s="65"/>
      <c r="K70" s="38"/>
      <c r="L70" s="60">
        <f t="shared" si="20"/>
        <v>0</v>
      </c>
      <c r="M70" s="38">
        <f t="shared" si="20"/>
        <v>8346121.5228982903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-9378953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-9378953</v>
      </c>
      <c r="J71" s="65"/>
      <c r="K71" s="38"/>
      <c r="L71" s="60">
        <f t="shared" si="20"/>
        <v>0</v>
      </c>
      <c r="M71" s="38">
        <f t="shared" si="20"/>
        <v>-9378953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-1032831.4771017097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-1032831.4771017097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-1032831.4771017097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-1627381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-1627381</v>
      </c>
      <c r="J74" s="60"/>
      <c r="K74" s="38"/>
      <c r="L74" s="60">
        <f t="shared" si="23"/>
        <v>0</v>
      </c>
      <c r="M74" s="38">
        <f t="shared" si="23"/>
        <v>-1627381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-4547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-4547</v>
      </c>
      <c r="J76" s="60"/>
      <c r="K76" s="38"/>
      <c r="L76" s="60">
        <f t="shared" si="23"/>
        <v>0</v>
      </c>
      <c r="M76" s="38">
        <f t="shared" si="23"/>
        <v>-4547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-54935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-54935</v>
      </c>
      <c r="J81" s="60"/>
      <c r="K81" s="38"/>
      <c r="L81" s="60">
        <f t="shared" si="23"/>
        <v>0</v>
      </c>
      <c r="M81" s="38">
        <f t="shared" si="23"/>
        <v>-54935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-2761499.9171017134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-2761499.9171017134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-2761499.9171017134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-53137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-53137</v>
      </c>
      <c r="J86" s="148"/>
      <c r="K86" s="148"/>
      <c r="L86" s="148">
        <f t="shared" ref="L86:M88" si="27">H86+J86</f>
        <v>0</v>
      </c>
      <c r="M86" s="148">
        <f t="shared" si="27"/>
        <v>-53137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-53137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-53137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-53137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-2814636.9171017134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-2814636.9171017134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-2814636.9171017134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H1" zoomScale="75" workbookViewId="0">
      <selection activeCell="K22" sqref="K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0006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441261.49690000003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441261.49690000003</v>
      </c>
      <c r="J70" s="65"/>
      <c r="K70" s="38"/>
      <c r="L70" s="60">
        <f t="shared" si="20"/>
        <v>0</v>
      </c>
      <c r="M70" s="38">
        <f t="shared" si="20"/>
        <v>441261.49690000003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-499916.66939999978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-499916.66939999978</v>
      </c>
      <c r="J71" s="65"/>
      <c r="K71" s="38"/>
      <c r="L71" s="60">
        <f t="shared" si="20"/>
        <v>0</v>
      </c>
      <c r="M71" s="38">
        <f t="shared" si="20"/>
        <v>-499916.66939999978</v>
      </c>
    </row>
    <row r="72" spans="1:13" x14ac:dyDescent="0.2">
      <c r="A72" s="9"/>
      <c r="B72" s="3"/>
      <c r="C72" s="55" t="s">
        <v>69</v>
      </c>
      <c r="D72" s="61">
        <v>0</v>
      </c>
      <c r="E72" s="39">
        <v>-58655.172499999753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-58655.172499999753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-58655.172499999753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61237.107600000003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61237.107600000003</v>
      </c>
      <c r="J74" s="60"/>
      <c r="K74" s="38"/>
      <c r="L74" s="60">
        <f t="shared" si="23"/>
        <v>0</v>
      </c>
      <c r="M74" s="38">
        <f t="shared" si="23"/>
        <v>61237.107600000003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-595141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-595141</v>
      </c>
      <c r="J81" s="60"/>
      <c r="K81" s="38"/>
      <c r="L81" s="60">
        <f t="shared" si="23"/>
        <v>0</v>
      </c>
      <c r="M81" s="38">
        <f t="shared" si="23"/>
        <v>-595141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-592559.06489999976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-592559.06489999976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-592559.06489999976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E55" activePane="bottomRight" state="frozen"/>
      <selection pane="topRight"/>
      <selection pane="bottomLeft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118946576</v>
      </c>
      <c r="E11" s="38">
        <f>SUM(G11,I11,K11,M11,O11,Q11,S11,U11,W11,Y11,AA11,AC11,AE11)</f>
        <v>492869720.64000005</v>
      </c>
      <c r="F11" s="60">
        <f>'TIE-OUT'!F11+RECLASS!F11</f>
        <v>0</v>
      </c>
      <c r="G11" s="38">
        <f>'TIE-OUT'!G11+RECLASS!G11</f>
        <v>0</v>
      </c>
      <c r="H11" s="118">
        <f>+Actuals!E164</f>
        <v>118824617</v>
      </c>
      <c r="I11" s="119">
        <f>+Actuals!F164</f>
        <v>479998805.62000006</v>
      </c>
      <c r="J11" s="118">
        <v>185374</v>
      </c>
      <c r="K11" s="119">
        <v>473464.26</v>
      </c>
      <c r="L11" s="118">
        <v>47830</v>
      </c>
      <c r="M11" s="119">
        <v>12419739.65</v>
      </c>
      <c r="N11" s="118">
        <v>-111245</v>
      </c>
      <c r="O11" s="119">
        <v>-22288.89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18211927.449999999</v>
      </c>
      <c r="F12" s="60">
        <f>'TIE-OUT'!F12+RECLASS!F12</f>
        <v>0</v>
      </c>
      <c r="G12" s="38">
        <f>'TIE-OUT'!G12+RECLASS!G12</f>
        <v>18211927.449999999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4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51133747</v>
      </c>
      <c r="E13" s="38">
        <f t="shared" si="0"/>
        <v>218458942</v>
      </c>
      <c r="F13" s="60">
        <f>'TIE-OUT'!F13+RECLASS!F13</f>
        <v>0</v>
      </c>
      <c r="G13" s="38">
        <f>'TIE-OUT'!G13+RECLASS!G13</f>
        <v>0</v>
      </c>
      <c r="H13" s="118">
        <f>+Actuals!E166</f>
        <v>49857326</v>
      </c>
      <c r="I13" s="119">
        <f>+Actuals!F166</f>
        <v>214448508</v>
      </c>
      <c r="J13" s="118">
        <f>+Actuals!G166</f>
        <v>0</v>
      </c>
      <c r="K13" s="119">
        <f>+Actuals!H166</f>
        <v>0</v>
      </c>
      <c r="L13" s="118">
        <f>+Actuals!I166</f>
        <v>0</v>
      </c>
      <c r="M13" s="119">
        <f>+Actuals!J166</f>
        <v>0</v>
      </c>
      <c r="N13" s="118">
        <v>1276421</v>
      </c>
      <c r="O13" s="119">
        <v>4010434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942663.02999999933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15285602</v>
      </c>
      <c r="J15" s="118">
        <f>+Actuals!G168</f>
        <v>0</v>
      </c>
      <c r="K15" s="119">
        <v>837781</v>
      </c>
      <c r="L15" s="118">
        <f>+Actuals!I168</f>
        <v>0</v>
      </c>
      <c r="M15" s="119">
        <v>-15180719.970000001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170080323</v>
      </c>
      <c r="E16" s="39">
        <f t="shared" si="1"/>
        <v>730483253.12</v>
      </c>
      <c r="F16" s="61">
        <f t="shared" si="1"/>
        <v>0</v>
      </c>
      <c r="G16" s="39">
        <f t="shared" si="1"/>
        <v>18211927.449999999</v>
      </c>
      <c r="H16" s="61">
        <f t="shared" si="1"/>
        <v>168681943</v>
      </c>
      <c r="I16" s="39">
        <f t="shared" si="1"/>
        <v>709732915.62000012</v>
      </c>
      <c r="J16" s="61">
        <f t="shared" ref="J16:AO16" si="2">SUM(J11:J15)</f>
        <v>185374</v>
      </c>
      <c r="K16" s="39">
        <f t="shared" si="2"/>
        <v>1311245.26</v>
      </c>
      <c r="L16" s="61">
        <f t="shared" si="2"/>
        <v>47830</v>
      </c>
      <c r="M16" s="39">
        <f t="shared" si="2"/>
        <v>-2760980.3200000003</v>
      </c>
      <c r="N16" s="61">
        <f t="shared" si="2"/>
        <v>1165176</v>
      </c>
      <c r="O16" s="39">
        <f t="shared" si="2"/>
        <v>3988145.11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-125309856</v>
      </c>
      <c r="E19" s="38">
        <f t="shared" si="3"/>
        <v>-515413724.85000008</v>
      </c>
      <c r="F19" s="64">
        <f>'TIE-OUT'!F19+RECLASS!F19</f>
        <v>0</v>
      </c>
      <c r="G19" s="68">
        <f>'TIE-OUT'!G19+RECLASS!G19</f>
        <v>0</v>
      </c>
      <c r="H19" s="118">
        <f>+Actuals!E169</f>
        <v>-125216492</v>
      </c>
      <c r="I19" s="119">
        <f>+Actuals!F169</f>
        <v>-518246663.58000004</v>
      </c>
      <c r="J19" s="118">
        <f>-281619+81061</f>
        <v>-200558</v>
      </c>
      <c r="K19" s="119">
        <f>41943.75+343698.64</f>
        <v>385642.39</v>
      </c>
      <c r="L19" s="118">
        <v>31183</v>
      </c>
      <c r="M19" s="119">
        <v>2647849.2000000002</v>
      </c>
      <c r="N19" s="118">
        <v>76011</v>
      </c>
      <c r="O19" s="119">
        <v>-200552.86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-19085663.91</v>
      </c>
      <c r="F20" s="60">
        <f>'TIE-OUT'!F20+RECLASS!F20</f>
        <v>0</v>
      </c>
      <c r="G20" s="38">
        <f>'TIE-OUT'!G20+RECLASS!G20</f>
        <v>-22685097.91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4">
        <v>0</v>
      </c>
      <c r="L20" s="118">
        <f>+Actuals!I170</f>
        <v>0</v>
      </c>
      <c r="M20" s="119">
        <v>3643131</v>
      </c>
      <c r="N20" s="118">
        <f>+Actuals!K170</f>
        <v>0</v>
      </c>
      <c r="O20" s="119">
        <v>-43697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-44535504</v>
      </c>
      <c r="E21" s="38">
        <f t="shared" si="3"/>
        <v>-190879001</v>
      </c>
      <c r="F21" s="60">
        <f>'TIE-OUT'!F21+RECLASS!F21</f>
        <v>0</v>
      </c>
      <c r="G21" s="38">
        <f>'TIE-OUT'!G21+RECLASS!G21</f>
        <v>0</v>
      </c>
      <c r="H21" s="118">
        <f>+Actuals!E171</f>
        <v>-43259083</v>
      </c>
      <c r="I21" s="119">
        <f>+Actuals!F171</f>
        <v>-186868567</v>
      </c>
      <c r="J21" s="118">
        <f>+Actuals!G171</f>
        <v>0</v>
      </c>
      <c r="K21" s="119">
        <f>+Actuals!H171</f>
        <v>0</v>
      </c>
      <c r="L21" s="118">
        <f>+Actuals!I171</f>
        <v>0</v>
      </c>
      <c r="M21" s="119">
        <f>+Actuals!J171</f>
        <v>0</v>
      </c>
      <c r="N21" s="118">
        <v>-1276421</v>
      </c>
      <c r="O21" s="119">
        <v>-4010434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182189</v>
      </c>
      <c r="E23" s="38">
        <f t="shared" si="3"/>
        <v>772481.35999999975</v>
      </c>
      <c r="F23" s="81">
        <f>'TIE-OUT'!F23+RECLASS!F23</f>
        <v>0</v>
      </c>
      <c r="G23" s="82">
        <f>'TIE-OUT'!G23+RECLASS!G23</f>
        <v>0</v>
      </c>
      <c r="H23" s="118">
        <f>+Actuals!E173</f>
        <v>414881</v>
      </c>
      <c r="I23" s="119">
        <f>+Actuals!F173</f>
        <v>1759095.44</v>
      </c>
      <c r="J23" s="118">
        <v>-81061</v>
      </c>
      <c r="K23" s="119">
        <v>-343698.64</v>
      </c>
      <c r="L23" s="118">
        <v>-153024</v>
      </c>
      <c r="M23" s="119">
        <v>-648821.76000000001</v>
      </c>
      <c r="N23" s="118">
        <v>1393</v>
      </c>
      <c r="O23" s="119">
        <v>5906.32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-169663171</v>
      </c>
      <c r="E24" s="39">
        <f t="shared" si="4"/>
        <v>-724605908.4000001</v>
      </c>
      <c r="F24" s="61">
        <f t="shared" si="4"/>
        <v>0</v>
      </c>
      <c r="G24" s="39">
        <f t="shared" si="4"/>
        <v>-22685097.91</v>
      </c>
      <c r="H24" s="61">
        <f t="shared" si="4"/>
        <v>-168060694</v>
      </c>
      <c r="I24" s="39">
        <f t="shared" si="4"/>
        <v>-703356135.13999999</v>
      </c>
      <c r="J24" s="61">
        <f t="shared" ref="J24:AO24" si="5">SUM(J19:J23)</f>
        <v>-281619</v>
      </c>
      <c r="K24" s="39">
        <f t="shared" si="5"/>
        <v>41943.75</v>
      </c>
      <c r="L24" s="61">
        <f t="shared" si="5"/>
        <v>-121841</v>
      </c>
      <c r="M24" s="39">
        <f t="shared" si="5"/>
        <v>5642158.4400000004</v>
      </c>
      <c r="N24" s="61">
        <f t="shared" si="5"/>
        <v>-1199017</v>
      </c>
      <c r="O24" s="39">
        <f t="shared" si="5"/>
        <v>-4248777.54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86528</v>
      </c>
      <c r="E27" s="38">
        <f>SUM(G27,I27,K27,M27,O27,Q27,S27,U27,W27,Y27,AA27,AC27,AE27)</f>
        <v>358950.18000000005</v>
      </c>
      <c r="F27" s="64">
        <f>'TIE-OUT'!F27+RECLASS!F27</f>
        <v>0</v>
      </c>
      <c r="G27" s="68">
        <f>'TIE-OUT'!G27+RECLASS!G27</f>
        <v>0</v>
      </c>
      <c r="H27" s="118">
        <f>+Actuals!E174</f>
        <v>58500</v>
      </c>
      <c r="I27" s="119">
        <f>+Actuals!F174</f>
        <v>242730</v>
      </c>
      <c r="J27" s="118">
        <v>28028</v>
      </c>
      <c r="K27" s="119">
        <v>108468.4</v>
      </c>
      <c r="L27" s="118">
        <f>+Actuals!I174</f>
        <v>0</v>
      </c>
      <c r="M27" s="119">
        <v>7751.78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-441868</v>
      </c>
      <c r="E28" s="38">
        <f>SUM(G28,I28,K28,M28,O28,Q28,S28,U28,W28,Y28,AA28,AC28,AE28)</f>
        <v>-1825560.41</v>
      </c>
      <c r="F28" s="81">
        <f>'TIE-OUT'!F28+RECLASS!F28</f>
        <v>0</v>
      </c>
      <c r="G28" s="82">
        <f>'TIE-OUT'!G28+RECLASS!G28</f>
        <v>0</v>
      </c>
      <c r="H28" s="118">
        <f>+Actuals!E175</f>
        <v>-441868</v>
      </c>
      <c r="I28" s="119">
        <f>+Actuals!F175</f>
        <v>-1825560.41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-355340</v>
      </c>
      <c r="E29" s="39">
        <f t="shared" si="6"/>
        <v>-1466610.23</v>
      </c>
      <c r="F29" s="61">
        <f t="shared" si="6"/>
        <v>0</v>
      </c>
      <c r="G29" s="39">
        <f t="shared" si="6"/>
        <v>0</v>
      </c>
      <c r="H29" s="61">
        <f t="shared" si="6"/>
        <v>-383368</v>
      </c>
      <c r="I29" s="39">
        <f t="shared" si="6"/>
        <v>-1582830.41</v>
      </c>
      <c r="J29" s="61">
        <f t="shared" ref="J29:AO29" si="7">SUM(J27:J28)</f>
        <v>28028</v>
      </c>
      <c r="K29" s="39">
        <f t="shared" si="7"/>
        <v>108468.4</v>
      </c>
      <c r="L29" s="61">
        <f t="shared" si="7"/>
        <v>0</v>
      </c>
      <c r="M29" s="39">
        <f t="shared" si="7"/>
        <v>7751.78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-46544</v>
      </c>
      <c r="E32" s="38">
        <f t="shared" si="8"/>
        <v>-185807.02000000002</v>
      </c>
      <c r="F32" s="64">
        <f>'TIE-OUT'!F32+RECLASS!F32</f>
        <v>0</v>
      </c>
      <c r="G32" s="68">
        <f>'TIE-OUT'!G32+RECLASS!G32</f>
        <v>0</v>
      </c>
      <c r="H32" s="118">
        <f>+Actuals!E176</f>
        <v>-44536</v>
      </c>
      <c r="I32" s="119">
        <f>+Actuals!F176</f>
        <v>-188832.64000000001</v>
      </c>
      <c r="J32" s="118">
        <v>15092</v>
      </c>
      <c r="K32" s="119">
        <v>75529.62</v>
      </c>
      <c r="L32" s="118">
        <v>-47844</v>
      </c>
      <c r="M32" s="119">
        <v>-202858.56</v>
      </c>
      <c r="N32" s="118">
        <v>30744</v>
      </c>
      <c r="O32" s="119">
        <v>130354.56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-51046</v>
      </c>
      <c r="E33" s="38">
        <f t="shared" si="8"/>
        <v>-216877.40000000002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v>-48059</v>
      </c>
      <c r="K33" s="119">
        <v>-205070.95</v>
      </c>
      <c r="L33" s="118">
        <v>-2987</v>
      </c>
      <c r="M33" s="119">
        <v>-11806.45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53141</v>
      </c>
      <c r="E34" s="38">
        <f t="shared" si="8"/>
        <v>224894.85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v>49389</v>
      </c>
      <c r="K34" s="119">
        <v>209951.03</v>
      </c>
      <c r="L34" s="118">
        <v>3752</v>
      </c>
      <c r="M34" s="119">
        <v>14943.82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15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v>-15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v>30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-44434</v>
      </c>
      <c r="E36" s="39">
        <f t="shared" si="9"/>
        <v>-177789.57000000004</v>
      </c>
      <c r="F36" s="61">
        <f t="shared" si="9"/>
        <v>0</v>
      </c>
      <c r="G36" s="39">
        <f t="shared" si="9"/>
        <v>0</v>
      </c>
      <c r="H36" s="61">
        <f t="shared" si="9"/>
        <v>-44536</v>
      </c>
      <c r="I36" s="39">
        <f t="shared" si="9"/>
        <v>-188832.64000000001</v>
      </c>
      <c r="J36" s="61">
        <f t="shared" ref="J36:AO36" si="10">SUM(J32:J35)</f>
        <v>16407</v>
      </c>
      <c r="K36" s="39">
        <f t="shared" si="10"/>
        <v>80409.699999999983</v>
      </c>
      <c r="L36" s="61">
        <f t="shared" si="10"/>
        <v>-47079</v>
      </c>
      <c r="M36" s="39">
        <f t="shared" si="10"/>
        <v>-199721.19</v>
      </c>
      <c r="N36" s="61">
        <f t="shared" si="10"/>
        <v>30774</v>
      </c>
      <c r="O36" s="39">
        <f t="shared" si="10"/>
        <v>130354.56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34022</v>
      </c>
      <c r="E39" s="38">
        <f t="shared" si="11"/>
        <v>144253.28</v>
      </c>
      <c r="F39" s="64">
        <f>'TIE-OUT'!F39+RECLASS!F39</f>
        <v>0</v>
      </c>
      <c r="G39" s="68">
        <f>'TIE-OUT'!G39+RECLASS!G39</f>
        <v>0</v>
      </c>
      <c r="H39" s="118">
        <f>+Actuals!E180</f>
        <v>20675</v>
      </c>
      <c r="I39" s="119">
        <f>+Actuals!F180</f>
        <v>87662</v>
      </c>
      <c r="J39" s="118">
        <v>13347</v>
      </c>
      <c r="K39" s="119">
        <v>56591.28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-9097</v>
      </c>
      <c r="E40" s="38">
        <f t="shared" si="11"/>
        <v>-4332.88</v>
      </c>
      <c r="F40" s="60">
        <f>'TIE-OUT'!F40+RECLASS!F40</f>
        <v>0</v>
      </c>
      <c r="G40" s="38">
        <f>'TIE-OUT'!G40+RECLASS!G40</f>
        <v>0</v>
      </c>
      <c r="H40" s="118">
        <f>+Actuals!E181</f>
        <v>-9097</v>
      </c>
      <c r="I40" s="119">
        <f>+Actuals!F181</f>
        <v>-4332.88</v>
      </c>
      <c r="J40" s="118">
        <f>+Actuals!G181</f>
        <v>0</v>
      </c>
      <c r="K40" s="119">
        <f>+Actuals!H181</f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-9097</v>
      </c>
      <c r="E42" s="39">
        <f t="shared" si="12"/>
        <v>-4332.88</v>
      </c>
      <c r="F42" s="61">
        <f t="shared" si="12"/>
        <v>0</v>
      </c>
      <c r="G42" s="39">
        <f t="shared" si="12"/>
        <v>0</v>
      </c>
      <c r="H42" s="61">
        <f t="shared" si="12"/>
        <v>-9097</v>
      </c>
      <c r="I42" s="39">
        <f t="shared" si="12"/>
        <v>-4332.88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24925</v>
      </c>
      <c r="E43" s="39">
        <f t="shared" si="14"/>
        <v>139920.4</v>
      </c>
      <c r="F43" s="61">
        <f t="shared" si="14"/>
        <v>0</v>
      </c>
      <c r="G43" s="39">
        <f t="shared" si="14"/>
        <v>0</v>
      </c>
      <c r="H43" s="61">
        <f t="shared" si="14"/>
        <v>11578</v>
      </c>
      <c r="I43" s="39">
        <f t="shared" si="14"/>
        <v>83329.119999999995</v>
      </c>
      <c r="J43" s="61">
        <f t="shared" ref="J43:AO43" si="15">J42+J39</f>
        <v>13347</v>
      </c>
      <c r="K43" s="39">
        <f t="shared" si="15"/>
        <v>56591.28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-42303</v>
      </c>
      <c r="E49" s="38">
        <f>SUM(G49,I49,K49,M49,O49,Q49,S49,U49,W49,Y49,AA49,AC49,AE49)</f>
        <v>-179364.72000000006</v>
      </c>
      <c r="F49" s="60">
        <f>'TIE-OUT'!F49+RECLASS!F49</f>
        <v>0</v>
      </c>
      <c r="G49" s="38">
        <f>'TIE-OUT'!G49+RECLASS!G49</f>
        <v>0</v>
      </c>
      <c r="H49" s="118">
        <f>+Actuals!E185</f>
        <v>-204923</v>
      </c>
      <c r="I49" s="119">
        <f>+Actuals!F185</f>
        <v>-868873.52</v>
      </c>
      <c r="J49" s="118">
        <v>38463</v>
      </c>
      <c r="K49" s="119">
        <v>163083.12</v>
      </c>
      <c r="L49" s="118">
        <v>121090</v>
      </c>
      <c r="M49" s="119">
        <v>513421.6</v>
      </c>
      <c r="N49" s="118">
        <v>3067</v>
      </c>
      <c r="O49" s="119">
        <v>13004.08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-182189</v>
      </c>
      <c r="E51" s="38">
        <f>SUM(G51,I51,K51,M51,O51,Q51,S51,U51,W51,Y51,AA51,AC51,AE51)</f>
        <v>-772481.35999999975</v>
      </c>
      <c r="F51" s="60">
        <f>'TIE-OUT'!F51+RECLASS!F51</f>
        <v>0</v>
      </c>
      <c r="G51" s="38">
        <f>'TIE-OUT'!G51+RECLASS!G51</f>
        <v>0</v>
      </c>
      <c r="H51" s="118">
        <f>+Actuals!E186</f>
        <v>-414881</v>
      </c>
      <c r="I51" s="119">
        <f>+Actuals!F186</f>
        <v>-1759095.44</v>
      </c>
      <c r="J51" s="118">
        <v>81061</v>
      </c>
      <c r="K51" s="119">
        <v>343698.64</v>
      </c>
      <c r="L51" s="118">
        <v>153024</v>
      </c>
      <c r="M51" s="119">
        <v>648821.76000000001</v>
      </c>
      <c r="N51" s="118">
        <v>-1393</v>
      </c>
      <c r="O51" s="119">
        <v>-5906.32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-132798516</v>
      </c>
      <c r="E54" s="38">
        <f>SUM(G54,I54,K54,M54,O54,Q54,S54,U54,W54,Y54,AA54,AC54,AE54)</f>
        <v>-318173.1500000002</v>
      </c>
      <c r="F54" s="64">
        <f>'TIE-OUT'!F54+RECLASS!F54</f>
        <v>0</v>
      </c>
      <c r="G54" s="68">
        <f>'TIE-OUT'!G54+RECLASS!G54</f>
        <v>0</v>
      </c>
      <c r="H54" s="118">
        <f>+Actuals!E187</f>
        <v>-95989840</v>
      </c>
      <c r="I54" s="119">
        <f>+Actuals!F187</f>
        <v>-292275.65000000002</v>
      </c>
      <c r="J54" s="118">
        <v>5001613</v>
      </c>
      <c r="K54" s="119">
        <v>1379985.78</v>
      </c>
      <c r="L54" s="118">
        <v>-14533614</v>
      </c>
      <c r="M54" s="119">
        <v>-1439002.09</v>
      </c>
      <c r="N54" s="118">
        <v>-27276675</v>
      </c>
      <c r="O54" s="119">
        <v>33118.81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-1650765.8199999998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-1619071.99</v>
      </c>
      <c r="J55" s="118">
        <f>+Actuals!G188</f>
        <v>0</v>
      </c>
      <c r="K55" s="119">
        <v>-1523081.06</v>
      </c>
      <c r="L55" s="118">
        <f>+Actuals!I188</f>
        <v>0</v>
      </c>
      <c r="M55" s="119">
        <v>1491387.23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-132798516</v>
      </c>
      <c r="E56" s="39">
        <f t="shared" si="16"/>
        <v>-1968938.97</v>
      </c>
      <c r="F56" s="61">
        <f t="shared" si="16"/>
        <v>0</v>
      </c>
      <c r="G56" s="39">
        <f t="shared" si="16"/>
        <v>0</v>
      </c>
      <c r="H56" s="61">
        <f t="shared" si="16"/>
        <v>-95989840</v>
      </c>
      <c r="I56" s="39">
        <f t="shared" si="16"/>
        <v>-1911347.6400000001</v>
      </c>
      <c r="J56" s="61">
        <f t="shared" ref="J56:AO56" si="17">SUM(J54:J55)</f>
        <v>5001613</v>
      </c>
      <c r="K56" s="39">
        <f t="shared" si="17"/>
        <v>-143095.28000000003</v>
      </c>
      <c r="L56" s="61">
        <f t="shared" si="17"/>
        <v>-14533614</v>
      </c>
      <c r="M56" s="39">
        <f t="shared" si="17"/>
        <v>52385.139999999898</v>
      </c>
      <c r="N56" s="61">
        <f t="shared" si="17"/>
        <v>-27276675</v>
      </c>
      <c r="O56" s="39">
        <f t="shared" si="17"/>
        <v>33118.81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11822013.16</v>
      </c>
      <c r="F70" s="64">
        <f>'TIE-OUT'!F70+RECLASS!F70</f>
        <v>0</v>
      </c>
      <c r="G70" s="68">
        <f>'TIE-OUT'!G70+RECLASS!G70</f>
        <v>11822013.16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-15976611</v>
      </c>
      <c r="F71" s="81">
        <f>'TIE-OUT'!F71+RECLASS!F71</f>
        <v>0</v>
      </c>
      <c r="G71" s="82">
        <f>'TIE-OUT'!G71+RECLASS!G71</f>
        <v>-15976611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-4154597.84</v>
      </c>
      <c r="F72" s="61">
        <f t="shared" si="22"/>
        <v>0</v>
      </c>
      <c r="G72" s="39">
        <f t="shared" si="22"/>
        <v>-4154597.84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6938676.3300000001</v>
      </c>
      <c r="F74" s="60">
        <f>'TIE-OUT'!F74+RECLASS!F74</f>
        <v>0</v>
      </c>
      <c r="G74" s="60">
        <f>'TIE-OUT'!G74+RECLASS!G74</f>
        <v>545813.82999999996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39">
        <v>0</v>
      </c>
      <c r="L74" s="118">
        <f>+Actuals!I196</f>
        <v>0</v>
      </c>
      <c r="M74" s="119">
        <v>4793328</v>
      </c>
      <c r="N74" s="118">
        <f>+Actuals!K196</f>
        <v>0</v>
      </c>
      <c r="O74" s="119">
        <v>1599534.5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172538</v>
      </c>
      <c r="F75" s="60">
        <f>'TIE-OUT'!F75+RECLASS!F75</f>
        <v>0</v>
      </c>
      <c r="G75" s="60">
        <f>'TIE-OUT'!G75+RECLASS!G75</f>
        <v>172538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-3341.06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-3341.06</v>
      </c>
      <c r="J76" s="118">
        <f>+Actuals!G198</f>
        <v>0</v>
      </c>
      <c r="K76" s="119">
        <f>+Actuals!H198</f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4382855.6999998577</v>
      </c>
      <c r="F82" s="91">
        <f>F16+F24+F29+F36+F43+F45+F47+F49</f>
        <v>0</v>
      </c>
      <c r="G82" s="92">
        <f>SUM(G72:G81)+G16+G24+G29+G36+G43+G45+G47+G49+G51+G56+G61+G66</f>
        <v>-7931916.4700000007</v>
      </c>
      <c r="H82" s="91">
        <f>H16+H24+H29+H36+H43+H45+H47+H49</f>
        <v>0</v>
      </c>
      <c r="I82" s="137">
        <f>SUM(I72:I81)+I16+I24+I29+I36+I43+I45+I47+I49+I51+I56+I61+I66</f>
        <v>145788.89000019571</v>
      </c>
      <c r="J82" s="91">
        <f>J16+J24+J29+J36+J43+J45+J47+J49</f>
        <v>0</v>
      </c>
      <c r="K82" s="137">
        <f>SUM(K72:K81)+K16+K24+K29+K36+K43+K45+K47+K49+K51+K56+K61+K66</f>
        <v>1962344.8699999999</v>
      </c>
      <c r="L82" s="91">
        <f>L16+L24+L29+L36+L43+L45+L47+L49</f>
        <v>0</v>
      </c>
      <c r="M82" s="92">
        <f>SUM(M72:M81)+M16+M24+M29+M36+M43+M45+M47+M49+M51+M56+M61+M66</f>
        <v>8697165.2100000009</v>
      </c>
      <c r="N82" s="91">
        <f>N16+N24+N29+N36+N43+N45+N47+N49</f>
        <v>0</v>
      </c>
      <c r="O82" s="92">
        <f>SUM(O72:O81)+O16+O24+O29+O36+O43+O45+O47+O49+O51+O56+O61+O66</f>
        <v>1509473.1999999995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77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4331175</v>
      </c>
      <c r="E11" s="38">
        <f>SUM(G11,I11,K11,M11,O11,Q11,S11,U11,W11,Y11,AA11,AC11,AE11)</f>
        <v>19737612.209999997</v>
      </c>
      <c r="F11" s="60">
        <f>'TIE-OUT'!AD11+RECLASS!AD11</f>
        <v>0</v>
      </c>
      <c r="G11" s="38">
        <f>'TIE-OUT'!AE11+RECLASS!AE11</f>
        <v>0</v>
      </c>
      <c r="H11" s="118">
        <f>+Actuals!E404</f>
        <v>4331184</v>
      </c>
      <c r="I11" s="118">
        <f>+Actuals!F404</f>
        <v>21463137.079999998</v>
      </c>
      <c r="J11" s="118">
        <v>-9</v>
      </c>
      <c r="K11" s="118">
        <v>-1795716.57</v>
      </c>
      <c r="L11" s="118">
        <f>+Actuals!I404</f>
        <v>0</v>
      </c>
      <c r="M11" s="118">
        <v>70191.7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-918830.1</v>
      </c>
      <c r="F12" s="60">
        <f>'TIE-OUT'!AD12+RECLASS!AD12</f>
        <v>0</v>
      </c>
      <c r="G12" s="38">
        <f>'TIE-OUT'!AE12+RECLASS!AE12</f>
        <v>-579800.1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5">
        <v>0</v>
      </c>
      <c r="L12" s="118">
        <f>+Actuals!I405</f>
        <v>0</v>
      </c>
      <c r="M12" s="118">
        <v>-339030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6364383</v>
      </c>
      <c r="E13" s="38">
        <f t="shared" si="0"/>
        <v>27355816</v>
      </c>
      <c r="F13" s="60">
        <f>'TIE-OUT'!AD13+RECLASS!AD13</f>
        <v>0</v>
      </c>
      <c r="G13" s="38">
        <f>'TIE-OUT'!AE13+RECLASS!AE13</f>
        <v>0</v>
      </c>
      <c r="H13" s="118">
        <f>+Actuals!E406</f>
        <v>6364383</v>
      </c>
      <c r="I13" s="118">
        <f>+Actuals!F406</f>
        <v>27355816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10695558</v>
      </c>
      <c r="E16" s="39">
        <f t="shared" si="1"/>
        <v>46174598.109999999</v>
      </c>
      <c r="F16" s="61">
        <f t="shared" si="1"/>
        <v>0</v>
      </c>
      <c r="G16" s="39">
        <f t="shared" si="1"/>
        <v>-579800.1</v>
      </c>
      <c r="H16" s="61">
        <f t="shared" si="1"/>
        <v>10695567</v>
      </c>
      <c r="I16" s="61">
        <f t="shared" si="1"/>
        <v>48818953.079999998</v>
      </c>
      <c r="J16" s="61">
        <f t="shared" si="1"/>
        <v>-9</v>
      </c>
      <c r="K16" s="61">
        <f t="shared" si="1"/>
        <v>-1795716.57</v>
      </c>
      <c r="L16" s="61">
        <f t="shared" si="1"/>
        <v>0</v>
      </c>
      <c r="M16" s="61">
        <f t="shared" si="1"/>
        <v>-268838.3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-930000</v>
      </c>
      <c r="E19" s="38">
        <f t="shared" si="2"/>
        <v>-4152898.37</v>
      </c>
      <c r="F19" s="64">
        <f>'TIE-OUT'!AD19+RECLASS!AD19</f>
        <v>0</v>
      </c>
      <c r="G19" s="68">
        <f>'TIE-OUT'!AE19+RECLASS!AE19</f>
        <v>0</v>
      </c>
      <c r="H19" s="118">
        <f>+Actuals!E409</f>
        <v>-852000</v>
      </c>
      <c r="I19" s="118">
        <f>+Actuals!F409</f>
        <v>-3137506.64</v>
      </c>
      <c r="J19" s="118">
        <v>-78000</v>
      </c>
      <c r="K19" s="118">
        <v>-465021.36</v>
      </c>
      <c r="L19" s="118">
        <f>+Actuals!I409</f>
        <v>0</v>
      </c>
      <c r="M19" s="118">
        <v>-550370.37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-0.16999999998370185</v>
      </c>
      <c r="F20" s="60">
        <f>'TIE-OUT'!AD20+RECLASS!AD20</f>
        <v>0</v>
      </c>
      <c r="G20" s="38">
        <f>'TIE-OUT'!AE20+RECLASS!AE20</f>
        <v>-339030.17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v>339030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-9883001</v>
      </c>
      <c r="E21" s="38">
        <f t="shared" si="2"/>
        <v>-42798908</v>
      </c>
      <c r="F21" s="60">
        <f>'TIE-OUT'!AD21+RECLASS!AD21</f>
        <v>0</v>
      </c>
      <c r="G21" s="38">
        <f>'TIE-OUT'!AE21+RECLASS!AE21</f>
        <v>0</v>
      </c>
      <c r="H21" s="118">
        <f>+Actuals!E411</f>
        <v>-9883001</v>
      </c>
      <c r="I21" s="118">
        <f>+Actuals!F411</f>
        <v>-42798908</v>
      </c>
      <c r="J21" s="118">
        <f>+Actuals!G411</f>
        <v>0</v>
      </c>
      <c r="K21" s="118">
        <f>+Actuals!H411</f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3069</v>
      </c>
      <c r="E23" s="38">
        <f t="shared" si="2"/>
        <v>13196.7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v>3069</v>
      </c>
      <c r="M23" s="118">
        <v>13196.7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-10809932</v>
      </c>
      <c r="E24" s="39">
        <f t="shared" si="3"/>
        <v>-46938609.839999996</v>
      </c>
      <c r="F24" s="61">
        <f t="shared" si="3"/>
        <v>0</v>
      </c>
      <c r="G24" s="39">
        <f t="shared" si="3"/>
        <v>-339030.17</v>
      </c>
      <c r="H24" s="61">
        <f t="shared" si="3"/>
        <v>-10735001</v>
      </c>
      <c r="I24" s="61">
        <f t="shared" si="3"/>
        <v>-45936414.640000001</v>
      </c>
      <c r="J24" s="61">
        <f t="shared" si="3"/>
        <v>-78000</v>
      </c>
      <c r="K24" s="61">
        <f t="shared" si="3"/>
        <v>-465021.36</v>
      </c>
      <c r="L24" s="61">
        <f t="shared" si="3"/>
        <v>3069</v>
      </c>
      <c r="M24" s="61">
        <f t="shared" si="3"/>
        <v>-198143.66999999998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-70191.999999999985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v>70191.77</v>
      </c>
      <c r="L27" s="118">
        <f>+Actuals!I414</f>
        <v>0</v>
      </c>
      <c r="M27" s="118">
        <v>-140383.76999999999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-70191.999999999985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70191.77</v>
      </c>
      <c r="L29" s="61">
        <f t="shared" si="4"/>
        <v>0</v>
      </c>
      <c r="M29" s="61">
        <f t="shared" si="4"/>
        <v>-140383.76999999999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114374</v>
      </c>
      <c r="E49" s="38">
        <f>SUM(G49,I49,K49,M49,O49,Q49,S49,U49,W49,Y49,AA49,AC49,AE49)</f>
        <v>491808.2</v>
      </c>
      <c r="F49" s="60">
        <f>'TIE-OUT'!AD49+RECLASS!AD49</f>
        <v>0</v>
      </c>
      <c r="G49" s="38">
        <f>'TIE-OUT'!AE49+RECLASS!AE49</f>
        <v>0</v>
      </c>
      <c r="H49" s="118">
        <f>+Actuals!E425</f>
        <v>39434</v>
      </c>
      <c r="I49" s="118">
        <f>+Actuals!F425</f>
        <v>169566.2</v>
      </c>
      <c r="J49" s="118">
        <v>78009</v>
      </c>
      <c r="K49" s="118">
        <v>335438.7</v>
      </c>
      <c r="L49" s="118">
        <v>-3069</v>
      </c>
      <c r="M49" s="118">
        <v>-13196.7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-3069</v>
      </c>
      <c r="E51" s="38">
        <f>SUM(G51,I51,K51,M51,O51,Q51,S51,U51,W51,Y51,AA51,AC51,AE51)</f>
        <v>-13196.7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v>-3069</v>
      </c>
      <c r="M51" s="118">
        <v>-13196.7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-969157.6099999994</v>
      </c>
      <c r="E54" s="38">
        <f>SUM(G54,I54,K54,M54,O54,Q54,S54,U54,W54,Y54,AA54,AC54,AE54)</f>
        <v>-4236.4699999999721</v>
      </c>
      <c r="F54" s="64">
        <f>'TIE-OUT'!AD54+RECLASS!AD54</f>
        <v>0</v>
      </c>
      <c r="G54" s="68">
        <f>'TIE-OUT'!AE54+RECLASS!AE54</f>
        <v>0</v>
      </c>
      <c r="H54" s="118">
        <f>+Actuals!E427</f>
        <v>-123500</v>
      </c>
      <c r="I54" s="118">
        <f>+Actuals!F427</f>
        <v>-3908.97</v>
      </c>
      <c r="J54" s="118">
        <v>-12095305.609999999</v>
      </c>
      <c r="K54" s="118">
        <v>-658491.46</v>
      </c>
      <c r="L54" s="118">
        <v>11249648</v>
      </c>
      <c r="M54" s="118">
        <v>658163.96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-8200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-8200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-969157.6099999994</v>
      </c>
      <c r="E56" s="39">
        <f t="shared" si="10"/>
        <v>-12436.469999999972</v>
      </c>
      <c r="F56" s="61">
        <f t="shared" si="10"/>
        <v>0</v>
      </c>
      <c r="G56" s="39">
        <f t="shared" si="10"/>
        <v>0</v>
      </c>
      <c r="H56" s="61">
        <f t="shared" si="10"/>
        <v>-123500</v>
      </c>
      <c r="I56" s="61">
        <f t="shared" si="10"/>
        <v>-12108.97</v>
      </c>
      <c r="J56" s="61">
        <f t="shared" si="10"/>
        <v>-12095305.609999999</v>
      </c>
      <c r="K56" s="61">
        <f t="shared" si="10"/>
        <v>-658491.46</v>
      </c>
      <c r="L56" s="61">
        <f t="shared" si="10"/>
        <v>11249648</v>
      </c>
      <c r="M56" s="61">
        <f t="shared" si="10"/>
        <v>658163.96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2321551</v>
      </c>
      <c r="F70" s="64">
        <f>'TIE-OUT'!AD70+RECLASS!AD70</f>
        <v>0</v>
      </c>
      <c r="G70" s="68">
        <f>'TIE-OUT'!AE70+RECLASS!AE70</f>
        <v>2321551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-1740930</v>
      </c>
      <c r="F71" s="81">
        <f>'TIE-OUT'!AD71+RECLASS!AD71</f>
        <v>0</v>
      </c>
      <c r="G71" s="82">
        <f>'TIE-OUT'!AE71+RECLASS!AE71</f>
        <v>-1740930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580621</v>
      </c>
      <c r="F72" s="61">
        <f t="shared" si="13"/>
        <v>0</v>
      </c>
      <c r="G72" s="39">
        <f t="shared" si="13"/>
        <v>580621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-527434</v>
      </c>
      <c r="F74" s="60">
        <f>'TIE-OUT'!AD74+RECLASS!AD74</f>
        <v>0</v>
      </c>
      <c r="G74" s="60">
        <f>'TIE-OUT'!AE74+RECLASS!AE74</f>
        <v>3450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v>-530884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5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-314841.69999999669</v>
      </c>
      <c r="F82" s="91">
        <f>F16+F24+F29+F36+F43+F45+F47+F49</f>
        <v>0</v>
      </c>
      <c r="G82" s="92">
        <f>SUM(G72:G81)+G16+G24+G29+G36+G43+G45+G47+G49+G51+G56+G61+G66</f>
        <v>-334759.26999999996</v>
      </c>
      <c r="H82" s="91">
        <f>H16+H24+H29+H36+H43+H45+H47+H49</f>
        <v>0</v>
      </c>
      <c r="I82" s="92">
        <f>SUM(I72:I81)+I16+I24+I29+I36+I43+I45+I47+I49+I51+I56+I61+I66</f>
        <v>3039995.6699999976</v>
      </c>
      <c r="J82" s="91">
        <f>J16+J24+J29+J36+J43+J45+J47+J49</f>
        <v>0</v>
      </c>
      <c r="K82" s="92">
        <f>SUM(K72:K81)+K16+K24+K29+K36+K43+K45+K47+K49+K51+K56+K61+K66</f>
        <v>-2513598.92</v>
      </c>
      <c r="L82" s="91">
        <f>L16+L24+L29+L36+L43+L45+L47+L49</f>
        <v>0</v>
      </c>
      <c r="M82" s="92">
        <f>SUM(M72:M81)+M16+M24+M29+M36+M43+M45+M47+M49+M51+M56+M61+M66</f>
        <v>-506479.17999999993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F44" zoomScale="75" workbookViewId="0">
      <selection activeCell="O72" sqref="O7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9877555</v>
      </c>
      <c r="E11" s="38">
        <f>SUM(G11,I11,K11,M11,O11,Q11,S11,U11,W11,Y11,AA11,AC11,AE11)</f>
        <v>43678542.75</v>
      </c>
      <c r="F11" s="60">
        <f>'TIE-OUT'!H11+RECLASS!H11</f>
        <v>0</v>
      </c>
      <c r="G11" s="38">
        <f>'TIE-OUT'!I11+RECLASS!I11</f>
        <v>0</v>
      </c>
      <c r="H11" s="118">
        <f>+Actuals!E324</f>
        <v>9877555</v>
      </c>
      <c r="I11" s="119">
        <f>+Actuals!F324</f>
        <v>43678542.969999999</v>
      </c>
      <c r="J11" s="118">
        <f>+Actuals!G324</f>
        <v>0</v>
      </c>
      <c r="K11" s="119">
        <v>-1505214.22</v>
      </c>
      <c r="L11" s="118">
        <f>+Actuals!I324</f>
        <v>0</v>
      </c>
      <c r="M11" s="119">
        <v>1505214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187937.25</v>
      </c>
      <c r="F12" s="60">
        <f>'TIE-OUT'!H12+RECLASS!H12</f>
        <v>0</v>
      </c>
      <c r="G12" s="38">
        <f>'TIE-OUT'!I12+RECLASS!I12</f>
        <v>187937.25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23219168</v>
      </c>
      <c r="E13" s="38">
        <f t="shared" si="0"/>
        <v>102136858</v>
      </c>
      <c r="F13" s="60">
        <f>'TIE-OUT'!H13+RECLASS!H13</f>
        <v>0</v>
      </c>
      <c r="G13" s="38">
        <f>'TIE-OUT'!I13+RECLASS!I13</f>
        <v>0</v>
      </c>
      <c r="H13" s="118">
        <f>+Actuals!E326</f>
        <v>23219168</v>
      </c>
      <c r="I13" s="119">
        <f>+Actuals!F326</f>
        <v>102136858</v>
      </c>
      <c r="J13" s="118">
        <f>+Actuals!G326</f>
        <v>0</v>
      </c>
      <c r="K13" s="119">
        <f>+Actuals!H326</f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1477214.2199999997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1505214.22</v>
      </c>
      <c r="J15" s="118">
        <f>+Actuals!G328</f>
        <v>0</v>
      </c>
      <c r="K15" s="119">
        <v>1477214</v>
      </c>
      <c r="L15" s="118">
        <f>+Actuals!I328</f>
        <v>0</v>
      </c>
      <c r="M15" s="119">
        <v>-1505214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33096723</v>
      </c>
      <c r="E16" s="39">
        <f t="shared" si="1"/>
        <v>147480552.22</v>
      </c>
      <c r="F16" s="61">
        <f t="shared" si="1"/>
        <v>0</v>
      </c>
      <c r="G16" s="39">
        <f t="shared" si="1"/>
        <v>187937.25</v>
      </c>
      <c r="H16" s="61">
        <f t="shared" si="1"/>
        <v>33096723</v>
      </c>
      <c r="I16" s="39">
        <f t="shared" si="1"/>
        <v>147320615.19</v>
      </c>
      <c r="J16" s="61">
        <f t="shared" ref="J16:AO16" si="2">SUM(J11:J15)</f>
        <v>0</v>
      </c>
      <c r="K16" s="39">
        <f t="shared" si="2"/>
        <v>-28000.219999999972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-3522587</v>
      </c>
      <c r="E19" s="38">
        <f t="shared" si="3"/>
        <v>-15122449.799999999</v>
      </c>
      <c r="F19" s="64">
        <f>'TIE-OUT'!H19+RECLASS!H19</f>
        <v>0</v>
      </c>
      <c r="G19" s="68">
        <f>'TIE-OUT'!I19+RECLASS!I19</f>
        <v>0</v>
      </c>
      <c r="H19" s="118">
        <f>+Actuals!E329</f>
        <v>-3522587</v>
      </c>
      <c r="I19" s="119">
        <f>+Actuals!F329</f>
        <v>-15122449.799999999</v>
      </c>
      <c r="J19" s="118">
        <f>+Actuals!G329</f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147145.57999999999</v>
      </c>
      <c r="F20" s="60">
        <f>'TIE-OUT'!H20+RECLASS!H20</f>
        <v>0</v>
      </c>
      <c r="G20" s="38">
        <f>'TIE-OUT'!I20+RECLASS!I20</f>
        <v>147145.57999999999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4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-29734470</v>
      </c>
      <c r="E21" s="38">
        <f t="shared" si="3"/>
        <v>-129522006</v>
      </c>
      <c r="F21" s="60">
        <f>'TIE-OUT'!H21+RECLASS!H21</f>
        <v>0</v>
      </c>
      <c r="G21" s="38">
        <f>'TIE-OUT'!I21+RECLASS!I21</f>
        <v>0</v>
      </c>
      <c r="H21" s="118">
        <f>+Actuals!E331</f>
        <v>-29734470</v>
      </c>
      <c r="I21" s="119">
        <f>+Actuals!F331</f>
        <v>-129522006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151464</v>
      </c>
      <c r="E23" s="38">
        <f t="shared" si="3"/>
        <v>643722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v>151464</v>
      </c>
      <c r="M23" s="119">
        <v>643722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-33105593</v>
      </c>
      <c r="E24" s="39">
        <f t="shared" si="4"/>
        <v>-143853588.22</v>
      </c>
      <c r="F24" s="61">
        <f t="shared" si="4"/>
        <v>0</v>
      </c>
      <c r="G24" s="39">
        <f t="shared" si="4"/>
        <v>147145.57999999999</v>
      </c>
      <c r="H24" s="61">
        <f t="shared" si="4"/>
        <v>-33257057</v>
      </c>
      <c r="I24" s="39">
        <f t="shared" si="4"/>
        <v>-144644455.80000001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151464</v>
      </c>
      <c r="M24" s="39">
        <f t="shared" si="5"/>
        <v>643722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8870</v>
      </c>
      <c r="E49" s="38">
        <f>SUM(G49,I49,K49,M49,O49,Q49,S49,U49,W49,Y49,AA49,AC49,AE49)</f>
        <v>37697.5</v>
      </c>
      <c r="F49" s="60">
        <f>'TIE-OUT'!H49+RECLASS!H49</f>
        <v>0</v>
      </c>
      <c r="G49" s="38">
        <f>'TIE-OUT'!I49+RECLASS!I49</f>
        <v>0</v>
      </c>
      <c r="H49" s="118">
        <f>+Actuals!E345</f>
        <v>160334</v>
      </c>
      <c r="I49" s="119">
        <f>+Actuals!F345</f>
        <v>681419.5</v>
      </c>
      <c r="J49" s="118">
        <f>+Actuals!G345</f>
        <v>0</v>
      </c>
      <c r="K49" s="119">
        <f>+Actuals!H345</f>
        <v>0</v>
      </c>
      <c r="L49" s="118">
        <v>-151464</v>
      </c>
      <c r="M49" s="119">
        <v>-643722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-151464</v>
      </c>
      <c r="E51" s="38">
        <f>SUM(G51,I51,K51,M51,O51,Q51,S51,U51,W51,Y51,AA51,AC51,AE51)</f>
        <v>-643722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v>-151464</v>
      </c>
      <c r="M51" s="119">
        <v>-643722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-3153706</v>
      </c>
      <c r="E54" s="38">
        <f>SUM(G54,I54,K54,M54,O54,Q54,S54,U54,W54,Y54,AA54,AC54,AE54)</f>
        <v>-43289.159999999916</v>
      </c>
      <c r="F54" s="64">
        <f>'TIE-OUT'!H54+RECLASS!H54</f>
        <v>0</v>
      </c>
      <c r="G54" s="68">
        <f>'TIE-OUT'!I54+RECLASS!I54</f>
        <v>0</v>
      </c>
      <c r="H54" s="118">
        <f>+Actuals!E347</f>
        <v>-3155829</v>
      </c>
      <c r="I54" s="119">
        <f>+Actuals!F347</f>
        <v>-55270.76</v>
      </c>
      <c r="J54" s="118">
        <v>2123</v>
      </c>
      <c r="K54" s="119">
        <v>1487161.6</v>
      </c>
      <c r="L54" s="118">
        <f>+Actuals!I347</f>
        <v>0</v>
      </c>
      <c r="M54" s="119">
        <v>-1475180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-1470008.87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-1475180.32</v>
      </c>
      <c r="J55" s="118">
        <f>+Actuals!G348</f>
        <v>0</v>
      </c>
      <c r="K55" s="119">
        <v>-1470008.55</v>
      </c>
      <c r="L55" s="118">
        <f>+Actuals!I348</f>
        <v>0</v>
      </c>
      <c r="M55" s="119">
        <v>1475180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-3153706</v>
      </c>
      <c r="E56" s="39">
        <f t="shared" si="16"/>
        <v>-1513298.03</v>
      </c>
      <c r="F56" s="61">
        <f t="shared" si="16"/>
        <v>0</v>
      </c>
      <c r="G56" s="39">
        <f t="shared" si="16"/>
        <v>0</v>
      </c>
      <c r="H56" s="61">
        <f t="shared" si="16"/>
        <v>-3155829</v>
      </c>
      <c r="I56" s="39">
        <f t="shared" si="16"/>
        <v>-1530451.08</v>
      </c>
      <c r="J56" s="61">
        <f t="shared" ref="J56:AO56" si="17">SUM(J54:J55)</f>
        <v>2123</v>
      </c>
      <c r="K56" s="39">
        <f t="shared" si="17"/>
        <v>17153.050000000047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10119630.18</v>
      </c>
      <c r="F70" s="64">
        <f>'TIE-OUT'!H70+RECLASS!H70</f>
        <v>0</v>
      </c>
      <c r="G70" s="68">
        <f>'TIE-OUT'!I70+RECLASS!I70</f>
        <v>10119630.18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-8459859</v>
      </c>
      <c r="F71" s="81">
        <f>'TIE-OUT'!H71+RECLASS!H71</f>
        <v>0</v>
      </c>
      <c r="G71" s="82">
        <f>'TIE-OUT'!I71+RECLASS!I71</f>
        <v>-8648310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217362-28911</f>
        <v>188451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1659771.1799999997</v>
      </c>
      <c r="F72" s="61">
        <f t="shared" si="22"/>
        <v>0</v>
      </c>
      <c r="G72" s="39">
        <f t="shared" si="22"/>
        <v>1471320.1799999997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188451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-635477.85000000009</v>
      </c>
      <c r="F74" s="60">
        <f>'TIE-OUT'!H74+RECLASS!H74</f>
        <v>0</v>
      </c>
      <c r="G74" s="60">
        <f>'TIE-OUT'!I74+RECLASS!I74</f>
        <v>-1560477.85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v>925000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2531934.8000000129</v>
      </c>
      <c r="F82" s="91">
        <f>F16+F24+F29+F36+F43+F45+F47+F49</f>
        <v>0</v>
      </c>
      <c r="G82" s="92">
        <f>SUM(G72:G81)+G16+G24+G29+G36+G43+G45+G47+G49+G51+G56+G61+G66</f>
        <v>245925.1599999996</v>
      </c>
      <c r="H82" s="91">
        <f>H16+H24+H29+H36+H43+H45+H47+H49</f>
        <v>0</v>
      </c>
      <c r="I82" s="137">
        <f>SUM(I72:I81)+I16+I24+I29+I36+I43+I45+I47+I49+I51+I56+I61+I66</f>
        <v>1827127.8099999856</v>
      </c>
      <c r="J82" s="91">
        <f>J16+J24+J29+J36+J43+J45+J47+J49</f>
        <v>0</v>
      </c>
      <c r="K82" s="137">
        <f>SUM(K72:K81)+K16+K24+K29+K36+K43+K45+K47+K49+K51+K56+K61+K66</f>
        <v>-10847.169999999925</v>
      </c>
      <c r="L82" s="91">
        <f>L16+L24+L29+L36+L43+L45+L47+L49</f>
        <v>0</v>
      </c>
      <c r="M82" s="92">
        <f>SUM(M72:M81)+M16+M24+M29+M36+M43+M45+M47+M49+M51+M56+M61+M66</f>
        <v>281278</v>
      </c>
      <c r="N82" s="91">
        <f>N16+N24+N29+N36+N43+N45+N47+N49</f>
        <v>0</v>
      </c>
      <c r="O82" s="92">
        <f>SUM(O72:O81)+O16+O24+O29+O36+O43+O45+O47+O49+O51+O56+O61+O66</f>
        <v>188451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9" topLeftCell="J52" activePane="bottomRight" state="frozen"/>
      <selection pane="topRight" activeCell="D1" sqref="D1"/>
      <selection pane="bottomLeft" activeCell="A10" sqref="A10"/>
      <selection pane="bottomRight" activeCell="O80" sqref="O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-1725</v>
      </c>
      <c r="E11" s="38">
        <f>SUM(G11,I11,K11,M11,O11,Q11,S11,U11,W11,Y11,AA11,AC11,AE11)</f>
        <v>-7759.47</v>
      </c>
      <c r="F11" s="60">
        <f>'TIE-OUT'!AF11+RECLASS!AF11</f>
        <v>0</v>
      </c>
      <c r="G11" s="38">
        <f>'TIE-OUT'!AG11+RECLASS!AG11</f>
        <v>0</v>
      </c>
      <c r="H11" s="118">
        <v>0</v>
      </c>
      <c r="I11" s="119">
        <v>0</v>
      </c>
      <c r="J11" s="118">
        <v>-1725</v>
      </c>
      <c r="K11" s="119">
        <v>-7759.47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-1725</v>
      </c>
      <c r="E16" s="39">
        <f t="shared" si="1"/>
        <v>-7759.47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-1725</v>
      </c>
      <c r="K16" s="39">
        <f>SUM(K11:K15)</f>
        <v>-7759.47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'TIE-OUT'!AF19+RECLASS!AF19</f>
        <v>0</v>
      </c>
      <c r="G19" s="68">
        <f>'TIE-OUT'!AG19+RECLASS!AG19</f>
        <v>0</v>
      </c>
      <c r="H19" s="118">
        <v>0</v>
      </c>
      <c r="I19" s="119">
        <v>0</v>
      </c>
      <c r="J19" s="118">
        <v>0</v>
      </c>
      <c r="K19" s="119">
        <f>-4534+4534</f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1725</v>
      </c>
      <c r="E49" s="38">
        <f>SUM(G49,I49,K49,M49,O49,Q49,S49,U49,W49,Y49,AA49,AC49,AE49)</f>
        <v>-52444.5</v>
      </c>
      <c r="F49" s="60">
        <f>'TIE-OUT'!AF49+RECLASS!AF49</f>
        <v>0</v>
      </c>
      <c r="G49" s="38">
        <f>'TIE-OUT'!AG49+RECLASS!AG49</f>
        <v>0</v>
      </c>
      <c r="H49" s="118">
        <v>0</v>
      </c>
      <c r="I49" s="119">
        <v>0</v>
      </c>
      <c r="J49" s="118">
        <v>1725</v>
      </c>
      <c r="K49" s="119">
        <v>7555.5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v>-60000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'TIE-OUT'!AF70+RECLASS!AF70</f>
        <v>0</v>
      </c>
      <c r="G70" s="68">
        <f>'TIE-OUT'!AG70+RECLASS!AG70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'TIE-OUT'!AF75+RECLASS!AF75</f>
        <v>0</v>
      </c>
      <c r="G75" s="60">
        <f>'TIE-OUT'!AG75+RECLASS!AG75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-3200780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v>-3200780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3949983.8000000003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f>687716-687716+685505.56</f>
        <v>685505.56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v>3264478.24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688999.83000000031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137">
        <f>SUM(I72:I81)+I16+I24+I29+I36+I43+I45+I47+I49+I51+I56+I61+I66</f>
        <v>685505.56</v>
      </c>
      <c r="J82" s="91">
        <f>J16+J24+J29+J36+J43+J45+J47+J49</f>
        <v>0</v>
      </c>
      <c r="K82" s="137">
        <f>SUM(K72:K81)+K16+K24+K29+K36+K43+K45+K47+K49+K51+K56+K61+K66</f>
        <v>-203.97000000000025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3698.2400000002235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H30" activePane="bottomRight" state="frozen"/>
      <selection activeCell="N16" sqref="N16"/>
      <selection pane="topRight" activeCell="N16" sqref="N16"/>
      <selection pane="bottomLeft" activeCell="N16" sqref="N16"/>
      <selection pane="bottomRight" activeCell="N37" sqref="N3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3" width="10.5703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157990573</v>
      </c>
      <c r="E11" s="38">
        <f>SUM(G11,I11,K11,M11,O11,Q11,S11,U11,W11,Y11,AA11,AC11,AE11)</f>
        <v>662241506.25999987</v>
      </c>
      <c r="F11" s="60">
        <f>'TIE-OUT'!J11+RECLASS!H11</f>
        <v>0</v>
      </c>
      <c r="G11" s="38">
        <f>'TIE-OUT'!K11+RECLASS!I11</f>
        <v>0</v>
      </c>
      <c r="H11" s="118">
        <f>+Actuals!E244</f>
        <v>158135451</v>
      </c>
      <c r="I11" s="119">
        <f>+Actuals!F244</f>
        <v>677982083.13999999</v>
      </c>
      <c r="J11" s="118">
        <v>-182977</v>
      </c>
      <c r="K11" s="119">
        <v>-1674533.73</v>
      </c>
      <c r="L11" s="118">
        <v>38099</v>
      </c>
      <c r="M11" s="119">
        <v>-14062752.689999999</v>
      </c>
      <c r="N11" s="118">
        <f>+Actuals!K244</f>
        <v>0</v>
      </c>
      <c r="O11" s="119">
        <v>-3290.46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20325826.789999999</v>
      </c>
      <c r="F12" s="60">
        <f>'TIE-OUT'!J12+RECLASS!H12</f>
        <v>0</v>
      </c>
      <c r="G12" s="38">
        <f>'TIE-OUT'!K12+RECLASS!I12</f>
        <v>20325826.789999999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4">
        <v>0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98199788</v>
      </c>
      <c r="E13" s="38">
        <f t="shared" si="0"/>
        <v>425874002</v>
      </c>
      <c r="F13" s="60">
        <f>'TIE-OUT'!J13+RECLASS!H13</f>
        <v>0</v>
      </c>
      <c r="G13" s="38">
        <f>'TIE-OUT'!K13+RECLASS!I13</f>
        <v>0</v>
      </c>
      <c r="H13" s="118">
        <f>+Actuals!E246</f>
        <v>98199788</v>
      </c>
      <c r="I13" s="119">
        <f>+Actuals!F246</f>
        <v>425874002</v>
      </c>
      <c r="J13" s="118">
        <f>+Actuals!G246</f>
        <v>0</v>
      </c>
      <c r="K13" s="119">
        <f>+Actuals!H246</f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4853957.24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1694730.88</v>
      </c>
      <c r="J15" s="118">
        <f>+Actuals!G248</f>
        <v>0</v>
      </c>
      <c r="K15" s="119">
        <v>1831527.13</v>
      </c>
      <c r="L15" s="118">
        <f>+Actuals!I248</f>
        <v>0</v>
      </c>
      <c r="M15" s="119">
        <v>797763.29</v>
      </c>
      <c r="N15" s="118">
        <f>+Actuals!K248</f>
        <v>0</v>
      </c>
      <c r="O15" s="119">
        <v>529935.93999999994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256190361</v>
      </c>
      <c r="E16" s="39">
        <f t="shared" si="1"/>
        <v>1113295292.2899997</v>
      </c>
      <c r="F16" s="61">
        <f t="shared" si="1"/>
        <v>0</v>
      </c>
      <c r="G16" s="39">
        <f t="shared" si="1"/>
        <v>20325826.789999999</v>
      </c>
      <c r="H16" s="61">
        <f t="shared" si="1"/>
        <v>256335239</v>
      </c>
      <c r="I16" s="39">
        <f t="shared" si="1"/>
        <v>1105550816.02</v>
      </c>
      <c r="J16" s="61">
        <f t="shared" ref="J16:AO16" si="2">SUM(J11:J15)</f>
        <v>-182977</v>
      </c>
      <c r="K16" s="39">
        <f t="shared" si="2"/>
        <v>156993.39999999991</v>
      </c>
      <c r="L16" s="61">
        <f t="shared" si="2"/>
        <v>38099</v>
      </c>
      <c r="M16" s="39">
        <f t="shared" si="2"/>
        <v>-13264989.399999999</v>
      </c>
      <c r="N16" s="61">
        <f t="shared" si="2"/>
        <v>0</v>
      </c>
      <c r="O16" s="39">
        <f t="shared" si="2"/>
        <v>526645.48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-170771873</v>
      </c>
      <c r="E19" s="38">
        <f t="shared" si="3"/>
        <v>-719038282.99000013</v>
      </c>
      <c r="F19" s="64">
        <f>'TIE-OUT'!J19+RECLASS!H19</f>
        <v>0</v>
      </c>
      <c r="G19" s="68">
        <f>'TIE-OUT'!K19+RECLASS!I19</f>
        <v>0</v>
      </c>
      <c r="H19" s="118">
        <f>+Actuals!E249</f>
        <v>-164921265</v>
      </c>
      <c r="I19" s="119">
        <f>+Actuals!F249</f>
        <v>-697288081.51000011</v>
      </c>
      <c r="J19" s="118">
        <f>-5017838+289011</f>
        <v>-4728827</v>
      </c>
      <c r="K19" s="119">
        <f>-27977455.03+1240724</f>
        <v>-26736731.030000001</v>
      </c>
      <c r="L19" s="118">
        <v>-1772015</v>
      </c>
      <c r="M19" s="119">
        <v>4628221.37</v>
      </c>
      <c r="N19" s="118">
        <v>650234</v>
      </c>
      <c r="O19" s="119">
        <v>358308.18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-31658710.870000001</v>
      </c>
      <c r="F20" s="60">
        <f>'TIE-OUT'!J20+RECLASS!H20</f>
        <v>0</v>
      </c>
      <c r="G20" s="38">
        <f>'TIE-OUT'!K20+RECLASS!I20</f>
        <v>-31658710.870000001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4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-92207938</v>
      </c>
      <c r="E21" s="38">
        <f t="shared" si="3"/>
        <v>-398424782</v>
      </c>
      <c r="F21" s="60">
        <f>'TIE-OUT'!J21+RECLASS!H21</f>
        <v>0</v>
      </c>
      <c r="G21" s="38">
        <f>'TIE-OUT'!K21+RECLASS!I21</f>
        <v>0</v>
      </c>
      <c r="H21" s="118">
        <f>+Actuals!E251</f>
        <v>-92207938</v>
      </c>
      <c r="I21" s="119">
        <f>+Actuals!F251</f>
        <v>-398424782</v>
      </c>
      <c r="J21" s="118">
        <f>+Actuals!G251</f>
        <v>0</v>
      </c>
      <c r="K21" s="119">
        <f>+Actuals!H251</f>
        <v>0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794469</v>
      </c>
      <c r="E23" s="38">
        <f t="shared" si="3"/>
        <v>3410655.4210000006</v>
      </c>
      <c r="F23" s="81">
        <f>'TIE-OUT'!J23+RECLASS!H23</f>
        <v>0</v>
      </c>
      <c r="G23" s="82">
        <f>'TIE-OUT'!K23+RECLASS!I23</f>
        <v>0</v>
      </c>
      <c r="H23" s="118">
        <f>+Actuals!E253</f>
        <v>1084187</v>
      </c>
      <c r="I23" s="119">
        <f>+Actuals!F253</f>
        <v>4654414.7910000002</v>
      </c>
      <c r="J23" s="118">
        <v>-289011</v>
      </c>
      <c r="K23" s="119">
        <v>-1240724.22</v>
      </c>
      <c r="L23" s="118">
        <v>-6792</v>
      </c>
      <c r="M23" s="119">
        <v>-29158.06</v>
      </c>
      <c r="N23" s="118">
        <v>6085</v>
      </c>
      <c r="O23" s="119">
        <v>26122.91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-262185342</v>
      </c>
      <c r="E24" s="39">
        <f t="shared" si="4"/>
        <v>-1145711120.4390001</v>
      </c>
      <c r="F24" s="61">
        <f t="shared" si="4"/>
        <v>0</v>
      </c>
      <c r="G24" s="39">
        <f t="shared" si="4"/>
        <v>-31658710.870000001</v>
      </c>
      <c r="H24" s="61">
        <f t="shared" si="4"/>
        <v>-256045016</v>
      </c>
      <c r="I24" s="39">
        <f t="shared" si="4"/>
        <v>-1091058448.7190003</v>
      </c>
      <c r="J24" s="61">
        <f t="shared" ref="J24:AO24" si="5">SUM(J19:J23)</f>
        <v>-5017838</v>
      </c>
      <c r="K24" s="39">
        <f t="shared" si="5"/>
        <v>-27977455.25</v>
      </c>
      <c r="L24" s="61">
        <f t="shared" si="5"/>
        <v>-1778807</v>
      </c>
      <c r="M24" s="39">
        <f t="shared" si="5"/>
        <v>4599063.3100000005</v>
      </c>
      <c r="N24" s="61">
        <f t="shared" si="5"/>
        <v>656319</v>
      </c>
      <c r="O24" s="39">
        <f t="shared" si="5"/>
        <v>384431.08999999997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139825</v>
      </c>
      <c r="E27" s="38">
        <f>SUM(G27,I27,K27,M27,O27,Q27,S27,U27,W27,Y27,AA27,AC27,AE27)</f>
        <v>578895.73</v>
      </c>
      <c r="F27" s="64">
        <f>'TIE-OUT'!J27+RECLASS!H27</f>
        <v>0</v>
      </c>
      <c r="G27" s="68">
        <f>'TIE-OUT'!K27+RECLASS!I27</f>
        <v>0</v>
      </c>
      <c r="H27" s="118">
        <f>+Actuals!E254</f>
        <v>140099</v>
      </c>
      <c r="I27" s="119">
        <f>+Actuals!F254</f>
        <v>579768.34</v>
      </c>
      <c r="J27" s="118">
        <v>-274</v>
      </c>
      <c r="K27" s="119">
        <v>-872.61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-89332</v>
      </c>
      <c r="E28" s="38">
        <f>SUM(G28,I28,K28,M28,O28,Q28,S28,U28,W28,Y28,AA28,AC28,AE28)</f>
        <v>-369479.04</v>
      </c>
      <c r="F28" s="81">
        <f>'TIE-OUT'!J28+RECLASS!H28</f>
        <v>0</v>
      </c>
      <c r="G28" s="82">
        <f>'TIE-OUT'!K28+RECLASS!I28</f>
        <v>0</v>
      </c>
      <c r="H28" s="118">
        <f>+Actuals!E255</f>
        <v>-89332</v>
      </c>
      <c r="I28" s="119">
        <f>+Actuals!F255</f>
        <v>-369479.04</v>
      </c>
      <c r="J28" s="118">
        <f>+Actuals!G255</f>
        <v>0</v>
      </c>
      <c r="K28" s="119">
        <f>+Actuals!H255</f>
        <v>0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50493</v>
      </c>
      <c r="E29" s="39">
        <f t="shared" si="6"/>
        <v>209416.69</v>
      </c>
      <c r="F29" s="61">
        <f t="shared" si="6"/>
        <v>0</v>
      </c>
      <c r="G29" s="39">
        <f t="shared" si="6"/>
        <v>0</v>
      </c>
      <c r="H29" s="61">
        <f t="shared" si="6"/>
        <v>50767</v>
      </c>
      <c r="I29" s="39">
        <f t="shared" si="6"/>
        <v>210289.3</v>
      </c>
      <c r="J29" s="61">
        <f t="shared" ref="J29:AO29" si="7">SUM(J27:J28)</f>
        <v>-274</v>
      </c>
      <c r="K29" s="39">
        <f t="shared" si="7"/>
        <v>-872.61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-1193931</v>
      </c>
      <c r="E32" s="38">
        <f t="shared" si="8"/>
        <v>-5125414.9930000007</v>
      </c>
      <c r="F32" s="64">
        <f>'TIE-OUT'!J32+RECLASS!H32</f>
        <v>0</v>
      </c>
      <c r="G32" s="68">
        <f>'TIE-OUT'!K32+RECLASS!I32</f>
        <v>0</v>
      </c>
      <c r="H32" s="118">
        <f>+Actuals!E256</f>
        <v>-248481</v>
      </c>
      <c r="I32" s="119">
        <f>+Actuals!F256</f>
        <v>-1066728.933</v>
      </c>
      <c r="J32" s="118">
        <v>-1450908</v>
      </c>
      <c r="K32" s="119">
        <v>-6228748.04</v>
      </c>
      <c r="L32" s="118">
        <v>1140478</v>
      </c>
      <c r="M32" s="119">
        <v>4896072.05</v>
      </c>
      <c r="N32" s="118">
        <v>-635020</v>
      </c>
      <c r="O32" s="119">
        <v>-2726010.07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-377965</v>
      </c>
      <c r="E33" s="38">
        <f t="shared" si="8"/>
        <v>-1489667.72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v>-200882</v>
      </c>
      <c r="K33" s="119">
        <v>-764665.59</v>
      </c>
      <c r="L33" s="118">
        <v>-107656</v>
      </c>
      <c r="M33" s="119">
        <v>-426182.05</v>
      </c>
      <c r="N33" s="118">
        <v>-69427</v>
      </c>
      <c r="O33" s="119">
        <v>-298820.08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462391</v>
      </c>
      <c r="E34" s="38">
        <f t="shared" si="8"/>
        <v>1779892.4100000001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v>182394</v>
      </c>
      <c r="K34" s="119">
        <v>656556.69999999995</v>
      </c>
      <c r="L34" s="118">
        <v>120476</v>
      </c>
      <c r="M34" s="119">
        <v>462428.09</v>
      </c>
      <c r="N34" s="118">
        <v>159521</v>
      </c>
      <c r="O34" s="119">
        <v>660907.62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778347</v>
      </c>
      <c r="E35" s="38">
        <f t="shared" si="8"/>
        <v>2223440.09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v>-62010</v>
      </c>
      <c r="K35" s="119">
        <f>+Actuals!H259</f>
        <v>0</v>
      </c>
      <c r="L35" s="118">
        <v>62000</v>
      </c>
      <c r="M35" s="119">
        <v>3589300.04</v>
      </c>
      <c r="N35" s="118">
        <f>365+777992</f>
        <v>778357</v>
      </c>
      <c r="O35" s="119">
        <v>-1365859.95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-331158</v>
      </c>
      <c r="E36" s="39">
        <f t="shared" si="9"/>
        <v>-2611750.2130000005</v>
      </c>
      <c r="F36" s="61">
        <f t="shared" si="9"/>
        <v>0</v>
      </c>
      <c r="G36" s="39">
        <f t="shared" si="9"/>
        <v>0</v>
      </c>
      <c r="H36" s="61">
        <f t="shared" si="9"/>
        <v>-248481</v>
      </c>
      <c r="I36" s="39">
        <f t="shared" si="9"/>
        <v>-1066728.933</v>
      </c>
      <c r="J36" s="61">
        <f t="shared" ref="J36:AO36" si="10">SUM(J32:J35)</f>
        <v>-1531406</v>
      </c>
      <c r="K36" s="39">
        <f t="shared" si="10"/>
        <v>-6336856.9299999997</v>
      </c>
      <c r="L36" s="61">
        <f t="shared" si="10"/>
        <v>1215298</v>
      </c>
      <c r="M36" s="39">
        <f t="shared" si="10"/>
        <v>8521618.129999999</v>
      </c>
      <c r="N36" s="61">
        <f t="shared" si="10"/>
        <v>233431</v>
      </c>
      <c r="O36" s="39">
        <f t="shared" si="10"/>
        <v>-3729782.4799999995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2505480</v>
      </c>
      <c r="E39" s="38">
        <f t="shared" si="11"/>
        <v>9351594.2799999993</v>
      </c>
      <c r="F39" s="64">
        <f>'TIE-OUT'!J39+RECLASS!H39</f>
        <v>0</v>
      </c>
      <c r="G39" s="68">
        <f>'TIE-OUT'!K39+RECLASS!I39</f>
        <v>0</v>
      </c>
      <c r="H39" s="118">
        <f>+Actuals!E260</f>
        <v>1566417</v>
      </c>
      <c r="I39" s="119">
        <f>+Actuals!F260</f>
        <v>2045215.29</v>
      </c>
      <c r="J39" s="118">
        <v>935993</v>
      </c>
      <c r="K39" s="119">
        <v>2612820.67</v>
      </c>
      <c r="L39" s="118">
        <v>-840</v>
      </c>
      <c r="M39" s="119">
        <v>-2640.24</v>
      </c>
      <c r="N39" s="118">
        <f>1093920-1090010</f>
        <v>3910</v>
      </c>
      <c r="O39" s="119">
        <v>4696198.5599999996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-1164897</v>
      </c>
      <c r="E40" s="38">
        <f t="shared" si="11"/>
        <v>-5387268.0200000005</v>
      </c>
      <c r="F40" s="60">
        <f>'TIE-OUT'!J40+RECLASS!H40</f>
        <v>0</v>
      </c>
      <c r="G40" s="38">
        <f>'TIE-OUT'!K40+RECLASS!I40</f>
        <v>0</v>
      </c>
      <c r="H40" s="118">
        <f>+Actuals!E261</f>
        <v>-313104</v>
      </c>
      <c r="I40" s="119">
        <f>+Actuals!F261</f>
        <v>-493435.94</v>
      </c>
      <c r="J40" s="118">
        <v>661</v>
      </c>
      <c r="K40" s="119">
        <v>5266.57</v>
      </c>
      <c r="L40" s="118">
        <f>+Actuals!I261</f>
        <v>0</v>
      </c>
      <c r="M40" s="119">
        <f>+Actuals!J261</f>
        <v>0</v>
      </c>
      <c r="N40" s="118">
        <f>-1164472+312018</f>
        <v>-852454</v>
      </c>
      <c r="O40" s="119">
        <v>-4899098.6500000004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-1164897</v>
      </c>
      <c r="E42" s="39">
        <f t="shared" si="12"/>
        <v>-5387268.0200000005</v>
      </c>
      <c r="F42" s="61">
        <f t="shared" si="12"/>
        <v>0</v>
      </c>
      <c r="G42" s="39">
        <f t="shared" si="12"/>
        <v>0</v>
      </c>
      <c r="H42" s="61">
        <f t="shared" si="12"/>
        <v>-313104</v>
      </c>
      <c r="I42" s="39">
        <f t="shared" si="12"/>
        <v>-493435.94</v>
      </c>
      <c r="J42" s="61">
        <f t="shared" ref="J42:AO42" si="13">SUM(J40:J41)</f>
        <v>661</v>
      </c>
      <c r="K42" s="39">
        <f t="shared" si="13"/>
        <v>5266.57</v>
      </c>
      <c r="L42" s="61">
        <f t="shared" si="13"/>
        <v>0</v>
      </c>
      <c r="M42" s="39">
        <f t="shared" si="13"/>
        <v>0</v>
      </c>
      <c r="N42" s="61">
        <f t="shared" si="13"/>
        <v>-852454</v>
      </c>
      <c r="O42" s="39">
        <f t="shared" si="13"/>
        <v>-4899098.6500000004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1340583</v>
      </c>
      <c r="E43" s="39">
        <f t="shared" si="14"/>
        <v>3964326.2599999988</v>
      </c>
      <c r="F43" s="61">
        <f t="shared" si="14"/>
        <v>0</v>
      </c>
      <c r="G43" s="39">
        <f t="shared" si="14"/>
        <v>0</v>
      </c>
      <c r="H43" s="61">
        <f t="shared" si="14"/>
        <v>1253313</v>
      </c>
      <c r="I43" s="39">
        <f t="shared" si="14"/>
        <v>1551779.35</v>
      </c>
      <c r="J43" s="61">
        <f t="shared" ref="J43:AO43" si="15">J42+J39</f>
        <v>936654</v>
      </c>
      <c r="K43" s="39">
        <f t="shared" si="15"/>
        <v>2618087.2399999998</v>
      </c>
      <c r="L43" s="61">
        <f t="shared" si="15"/>
        <v>-840</v>
      </c>
      <c r="M43" s="39">
        <f t="shared" si="15"/>
        <v>-2640.24</v>
      </c>
      <c r="N43" s="61">
        <f t="shared" si="15"/>
        <v>-848544</v>
      </c>
      <c r="O43" s="39">
        <f t="shared" si="15"/>
        <v>-202900.09000000078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4935228</v>
      </c>
      <c r="E49" s="38">
        <f>SUM(G49,I49,K49,M49,O49,Q49,S49,U49,W49,Y49,AA49,AC49,AE49)</f>
        <v>21186933.804000001</v>
      </c>
      <c r="F49" s="60">
        <f>'TIE-OUT'!J49+RECLASS!H49</f>
        <v>0</v>
      </c>
      <c r="G49" s="38">
        <f>'TIE-OUT'!K49+RECLASS!I49</f>
        <v>0</v>
      </c>
      <c r="H49" s="118">
        <f>+Actuals!E265</f>
        <v>-1345822</v>
      </c>
      <c r="I49" s="119">
        <f>+Actuals!F265</f>
        <v>-5777613.8459999999</v>
      </c>
      <c r="J49" s="118">
        <v>5796006</v>
      </c>
      <c r="K49" s="119">
        <v>24882253.760000002</v>
      </c>
      <c r="L49" s="118">
        <v>526250</v>
      </c>
      <c r="M49" s="119">
        <v>2259191.25</v>
      </c>
      <c r="N49" s="118">
        <v>-41206</v>
      </c>
      <c r="O49" s="119">
        <v>-176897.36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-794469</v>
      </c>
      <c r="E51" s="38">
        <f>SUM(G51,I51,K51,M51,O51,Q51,S51,U51,W51,Y51,AA51,AC51,AE51)</f>
        <v>-3410655.4210000006</v>
      </c>
      <c r="F51" s="60">
        <f>'TIE-OUT'!J51+RECLASS!H51</f>
        <v>0</v>
      </c>
      <c r="G51" s="38">
        <f>'TIE-OUT'!K51+RECLASS!I51</f>
        <v>0</v>
      </c>
      <c r="H51" s="118">
        <f>+Actuals!E266</f>
        <v>-1084187</v>
      </c>
      <c r="I51" s="119">
        <f>+Actuals!F266</f>
        <v>-4654414.7910000002</v>
      </c>
      <c r="J51" s="118">
        <v>289011</v>
      </c>
      <c r="K51" s="119">
        <v>1240724.22</v>
      </c>
      <c r="L51" s="118">
        <v>6792</v>
      </c>
      <c r="M51" s="119">
        <v>29158.06</v>
      </c>
      <c r="N51" s="118">
        <v>-6085</v>
      </c>
      <c r="O51" s="119">
        <v>-26122.91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-138037335</v>
      </c>
      <c r="E54" s="38">
        <f>SUM(G54,I54,K54,M54,O54,Q54,S54,U54,W54,Y54,AA54,AC54,AE54)</f>
        <v>2199631.6199999996</v>
      </c>
      <c r="F54" s="64">
        <f>'TIE-OUT'!J54+RECLASS!H54</f>
        <v>0</v>
      </c>
      <c r="G54" s="68">
        <f>'TIE-OUT'!K54+RECLASS!I54</f>
        <v>0</v>
      </c>
      <c r="H54" s="118">
        <f>+Actuals!E267</f>
        <v>-157970356</v>
      </c>
      <c r="I54" s="119">
        <f>+Actuals!F267</f>
        <v>-2293267.85</v>
      </c>
      <c r="J54" s="118">
        <v>20960328</v>
      </c>
      <c r="K54" s="119">
        <v>4585785.05</v>
      </c>
      <c r="L54" s="118">
        <v>3453500</v>
      </c>
      <c r="M54" s="119">
        <v>105268.73</v>
      </c>
      <c r="N54" s="118">
        <v>-4480807</v>
      </c>
      <c r="O54" s="119">
        <v>-198154.31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-9220428.129999999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-5109292.5999999996</v>
      </c>
      <c r="J55" s="118">
        <f>+Actuals!G268</f>
        <v>0</v>
      </c>
      <c r="K55" s="119">
        <v>-4449769.83</v>
      </c>
      <c r="L55" s="118">
        <f>+Actuals!I268</f>
        <v>0</v>
      </c>
      <c r="M55" s="119">
        <v>333756.71999999997</v>
      </c>
      <c r="N55" s="118">
        <f>+Actuals!K268</f>
        <v>0</v>
      </c>
      <c r="O55" s="119">
        <v>4877.58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-138037335</v>
      </c>
      <c r="E56" s="39">
        <f t="shared" si="16"/>
        <v>-7020796.5099999998</v>
      </c>
      <c r="F56" s="61">
        <f t="shared" si="16"/>
        <v>0</v>
      </c>
      <c r="G56" s="39">
        <f t="shared" si="16"/>
        <v>0</v>
      </c>
      <c r="H56" s="61">
        <f t="shared" si="16"/>
        <v>-157970356</v>
      </c>
      <c r="I56" s="39">
        <f t="shared" si="16"/>
        <v>-7402560.4499999993</v>
      </c>
      <c r="J56" s="61">
        <f t="shared" ref="J56:AO56" si="17">SUM(J54:J55)</f>
        <v>20960328</v>
      </c>
      <c r="K56" s="39">
        <f t="shared" si="17"/>
        <v>136015.21999999974</v>
      </c>
      <c r="L56" s="61">
        <f t="shared" si="17"/>
        <v>3453500</v>
      </c>
      <c r="M56" s="39">
        <f t="shared" si="17"/>
        <v>439025.44999999995</v>
      </c>
      <c r="N56" s="61">
        <f t="shared" si="17"/>
        <v>-4480807</v>
      </c>
      <c r="O56" s="39">
        <f t="shared" si="17"/>
        <v>-193276.73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48847.92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48847.92</v>
      </c>
      <c r="J59" s="118">
        <f>+Actuals!G269</f>
        <v>0</v>
      </c>
      <c r="K59" s="119">
        <f>+Actuals!H269</f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48847.92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48847.92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-5134326.63</v>
      </c>
      <c r="F70" s="64">
        <f>'TIE-OUT'!J70+RECLASS!H70</f>
        <v>0</v>
      </c>
      <c r="G70" s="68">
        <f>'TIE-OUT'!K70+RECLASS!I70</f>
        <v>-5134326.63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-14964909</v>
      </c>
      <c r="F71" s="81">
        <f>'TIE-OUT'!J71+RECLASS!H71</f>
        <v>0</v>
      </c>
      <c r="G71" s="82">
        <f>'TIE-OUT'!K71+RECLASS!I71</f>
        <v>-14964909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-20099235.629999999</v>
      </c>
      <c r="F72" s="61">
        <f t="shared" si="22"/>
        <v>0</v>
      </c>
      <c r="G72" s="39">
        <f t="shared" si="22"/>
        <v>-20099235.629999999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15790987.42</v>
      </c>
      <c r="F74" s="60">
        <f>'TIE-OUT'!J74+RECLASS!H74</f>
        <v>0</v>
      </c>
      <c r="G74" s="60">
        <f>'TIE-OUT'!K74+RECLASS!I74</f>
        <v>16031774.42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4">
        <v>-2194082</v>
      </c>
      <c r="L74" s="118">
        <f>+Actuals!I276</f>
        <v>0</v>
      </c>
      <c r="M74" s="119">
        <v>1953295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228732</v>
      </c>
      <c r="F75" s="60">
        <f>'TIE-OUT'!J75+RECLASS!H75</f>
        <v>0</v>
      </c>
      <c r="G75" s="60">
        <f>'TIE-OUT'!K75+RECLASS!I75</f>
        <v>228732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-866.58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-866.58</v>
      </c>
      <c r="J76" s="118">
        <f>+Actuals!G278</f>
        <v>0</v>
      </c>
      <c r="K76" s="119">
        <f>+Actuals!H278</f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468168.06</v>
      </c>
      <c r="F81" s="60">
        <f>'TIE-OUT'!J81+RECLASS!H81</f>
        <v>0</v>
      </c>
      <c r="G81" s="60">
        <f>'TIE-OUT'!K81+RECLASS!I81</f>
        <v>-67500</v>
      </c>
      <c r="H81" s="118">
        <f>+Actuals!E283</f>
        <v>0</v>
      </c>
      <c r="I81" s="119">
        <f>+Actuals!F283</f>
        <v>434349.81</v>
      </c>
      <c r="J81" s="118">
        <f>+Actuals!G283</f>
        <v>0</v>
      </c>
      <c r="K81" s="119">
        <v>101318.25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165</v>
      </c>
      <c r="E82" s="92">
        <f>SUM(E72:E81)+E16+E24+E29+E36+E43+E45+E47+E49+E51+E56+E61+E66</f>
        <v>-23661720.349000424</v>
      </c>
      <c r="F82" s="91">
        <f>F16+F24+F29+F36+F43+F45+F47+F49</f>
        <v>0</v>
      </c>
      <c r="G82" s="92">
        <f>SUM(G72:G81)+G16+G24+G29+G36+G43+G45+G47+G49+G51+G56+G61+G66</f>
        <v>-15239113.290000001</v>
      </c>
      <c r="H82" s="91">
        <f>H16+H24+H29+H36+H43+H45+H47+H49</f>
        <v>0</v>
      </c>
      <c r="I82" s="92">
        <f>SUM(I72:I81)+I16+I24+I29+I36+I43+I45+I47+I49+I51+I56+I61+I66</f>
        <v>-2164550.9190003397</v>
      </c>
      <c r="J82" s="91">
        <f>J16+J24+J29+J36+J43+J45+J47+J49</f>
        <v>165</v>
      </c>
      <c r="K82" s="137">
        <f>SUM(K72:K81)+K16+K24+K29+K36+K43+K45+K47+K49+K51+K56+K61+K66</f>
        <v>-7373874.6999999974</v>
      </c>
      <c r="L82" s="91">
        <f>L16+L24+L29+L36+L43+L45+L47+L49</f>
        <v>0</v>
      </c>
      <c r="M82" s="92">
        <f>SUM(M72:M81)+M16+M24+M29+M36+M43+M45+M47+M49+M51+M56+M61+M66</f>
        <v>4533721.5600000005</v>
      </c>
      <c r="N82" s="91">
        <f>N16+N24+N29+N36+N43+N45+N47+N49</f>
        <v>0</v>
      </c>
      <c r="O82" s="92">
        <f>SUM(O72:O81)+O16+O24+O29+O36+O43+O45+O47+O49+O51+O56+O61+O66</f>
        <v>-3417903.0000000005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-43000</v>
      </c>
      <c r="F86" s="145">
        <f>'TIE-OUT'!J86+RECLASS!H86</f>
        <v>0</v>
      </c>
      <c r="G86" s="145">
        <f>'TIE-OUT'!K86+RECLASS!I86</f>
        <v>-42632</v>
      </c>
      <c r="H86" s="145">
        <v>0</v>
      </c>
      <c r="I86" s="145">
        <v>444429</v>
      </c>
      <c r="J86" s="145">
        <v>0</v>
      </c>
      <c r="K86" s="145">
        <v>-444797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-43000</v>
      </c>
      <c r="F89" s="160">
        <f t="shared" si="26"/>
        <v>0</v>
      </c>
      <c r="G89" s="160">
        <f t="shared" si="26"/>
        <v>-42632</v>
      </c>
      <c r="H89" s="160">
        <f t="shared" si="26"/>
        <v>0</v>
      </c>
      <c r="I89" s="160">
        <f t="shared" si="26"/>
        <v>444429</v>
      </c>
      <c r="J89" s="160">
        <f t="shared" si="26"/>
        <v>0</v>
      </c>
      <c r="K89" s="160">
        <f t="shared" si="26"/>
        <v>-444797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165</v>
      </c>
      <c r="E91" s="160">
        <f t="shared" ref="E91:M91" si="29">+E82+E89</f>
        <v>-23704720.349000424</v>
      </c>
      <c r="F91" s="160">
        <f t="shared" si="29"/>
        <v>0</v>
      </c>
      <c r="G91" s="160">
        <f t="shared" si="29"/>
        <v>-15281745.290000001</v>
      </c>
      <c r="H91" s="160">
        <f t="shared" si="29"/>
        <v>0</v>
      </c>
      <c r="I91" s="160">
        <f t="shared" si="29"/>
        <v>-1720121.9190003397</v>
      </c>
      <c r="J91" s="160">
        <f t="shared" si="29"/>
        <v>165</v>
      </c>
      <c r="K91" s="160">
        <f t="shared" si="29"/>
        <v>-7818671.6999999974</v>
      </c>
      <c r="L91" s="160">
        <f t="shared" si="29"/>
        <v>0</v>
      </c>
      <c r="M91" s="160">
        <f t="shared" si="29"/>
        <v>4533721.5600000005</v>
      </c>
      <c r="N91" s="160">
        <f t="shared" ref="N91:AE91" si="30">+N82+N89</f>
        <v>0</v>
      </c>
      <c r="O91" s="160">
        <f t="shared" si="30"/>
        <v>-3417903.0000000005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G19" activePane="bottomRight" state="frozen"/>
      <selection activeCell="N16" sqref="N16"/>
      <selection pane="topRight" activeCell="N16" sqref="N16"/>
      <selection pane="bottomLeft" activeCell="N16" sqref="N16"/>
      <selection pane="bottomRight" activeCell="N35" sqref="N3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3" width="0" hidden="1" customWidth="1"/>
    <col min="44" max="60" width="9.140625" hidden="1" customWidth="1"/>
    <col min="6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65274394</v>
      </c>
      <c r="E11" s="15">
        <f>G11+I11+K11+M11+O11</f>
        <v>290793958.98000002</v>
      </c>
      <c r="F11" s="58">
        <f>'TIE-OUT'!N11+RECLASS!L11</f>
        <v>0</v>
      </c>
      <c r="G11" s="15">
        <f>'TIE-OUT'!O11+RECLASS!M11</f>
        <v>0</v>
      </c>
      <c r="H11" s="118">
        <f>73933269-8679509</f>
        <v>65253760</v>
      </c>
      <c r="I11" s="119">
        <f>329471702-39511966</f>
        <v>289959736</v>
      </c>
      <c r="J11" s="118">
        <v>-756343</v>
      </c>
      <c r="K11" s="119">
        <v>-4673569.45</v>
      </c>
      <c r="L11" s="118">
        <v>-9032</v>
      </c>
      <c r="M11" s="119">
        <v>-706438</v>
      </c>
      <c r="N11" s="118">
        <v>786009</v>
      </c>
      <c r="O11" s="119">
        <v>6214230.4299999997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5954584.3499999996</v>
      </c>
      <c r="F12" s="58">
        <f>'TIE-OUT'!N12+RECLASS!L12</f>
        <v>0</v>
      </c>
      <c r="G12" s="15">
        <f>'TIE-OUT'!O12+RECLASS!M12</f>
        <v>6357504.1299999999</v>
      </c>
      <c r="H12" s="118">
        <v>0</v>
      </c>
      <c r="I12" s="119">
        <v>0</v>
      </c>
      <c r="J12" s="118">
        <v>0</v>
      </c>
      <c r="K12" s="139">
        <v>0</v>
      </c>
      <c r="L12" s="118">
        <v>0</v>
      </c>
      <c r="M12" s="119">
        <v>-38510</v>
      </c>
      <c r="N12" s="118">
        <v>0</v>
      </c>
      <c r="O12" s="119">
        <v>-364409.78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8679509</v>
      </c>
      <c r="E13" s="15">
        <f t="shared" si="0"/>
        <v>39511966</v>
      </c>
      <c r="F13" s="58">
        <f>'TIE-OUT'!N13+RECLASS!L13</f>
        <v>0</v>
      </c>
      <c r="G13" s="15">
        <f>'TIE-OUT'!O13+RECLASS!M13</f>
        <v>0</v>
      </c>
      <c r="H13" s="118">
        <v>8679509</v>
      </c>
      <c r="I13" s="119">
        <v>39511966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-450000</v>
      </c>
      <c r="E15" s="15">
        <f t="shared" si="0"/>
        <v>393352.10999999993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0</v>
      </c>
      <c r="J15" s="118">
        <v>0</v>
      </c>
      <c r="K15" s="119">
        <v>572893.94999999995</v>
      </c>
      <c r="L15" s="118">
        <v>0</v>
      </c>
      <c r="M15" s="119">
        <v>276739.09999999998</v>
      </c>
      <c r="N15" s="118">
        <v>-450000</v>
      </c>
      <c r="O15" s="119">
        <v>-456280.94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AO16" si="1">SUM(D11:D15)</f>
        <v>73503903</v>
      </c>
      <c r="E16" s="23">
        <f t="shared" si="1"/>
        <v>336653861.44000006</v>
      </c>
      <c r="F16" s="59">
        <f t="shared" si="1"/>
        <v>0</v>
      </c>
      <c r="G16" s="23">
        <f t="shared" si="1"/>
        <v>6357504.1299999999</v>
      </c>
      <c r="H16" s="61">
        <f t="shared" si="1"/>
        <v>73933269</v>
      </c>
      <c r="I16" s="39">
        <f t="shared" si="1"/>
        <v>329471702</v>
      </c>
      <c r="J16" s="61">
        <f t="shared" ref="J16:Q16" si="2">SUM(J11:J15)</f>
        <v>-756343</v>
      </c>
      <c r="K16" s="39">
        <f t="shared" si="2"/>
        <v>-4100675.5</v>
      </c>
      <c r="L16" s="61">
        <f t="shared" si="2"/>
        <v>-9032</v>
      </c>
      <c r="M16" s="39">
        <f t="shared" si="2"/>
        <v>-468208.9</v>
      </c>
      <c r="N16" s="61">
        <f t="shared" si="2"/>
        <v>336009</v>
      </c>
      <c r="O16" s="39">
        <f t="shared" si="2"/>
        <v>5393539.709999999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-59464453</v>
      </c>
      <c r="E19" s="15">
        <f t="shared" si="3"/>
        <v>-261787815.50000003</v>
      </c>
      <c r="F19" s="58">
        <f>'TIE-OUT'!N19+RECLASS!L19</f>
        <v>0</v>
      </c>
      <c r="G19" s="15">
        <f>'TIE-OUT'!O19+RECLASS!M19</f>
        <v>0</v>
      </c>
      <c r="H19" s="118">
        <f>-75337736+15310495</f>
        <v>-60027241</v>
      </c>
      <c r="I19" s="119">
        <f>-330893326+69724975</f>
        <v>-261168351</v>
      </c>
      <c r="J19" s="118">
        <v>1896100</v>
      </c>
      <c r="K19" s="119">
        <v>4683141.41</v>
      </c>
      <c r="L19" s="118">
        <v>-1226474</v>
      </c>
      <c r="M19" s="119">
        <v>-4966413.8</v>
      </c>
      <c r="N19" s="118">
        <v>-106838</v>
      </c>
      <c r="O19" s="119">
        <v>-336192.11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-11625586.74</v>
      </c>
      <c r="F20" s="58">
        <f>'TIE-OUT'!N20+RECLASS!L20</f>
        <v>0</v>
      </c>
      <c r="G20" s="15">
        <f>'TIE-OUT'!O20+RECLASS!M20</f>
        <v>-4717257.74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-7262321</v>
      </c>
      <c r="N20" s="118">
        <v>0</v>
      </c>
      <c r="O20" s="119">
        <v>353992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-15310495</v>
      </c>
      <c r="E21" s="15">
        <f t="shared" si="3"/>
        <v>-69724975</v>
      </c>
      <c r="F21" s="58">
        <f>'TIE-OUT'!N21+RECLASS!L21</f>
        <v>0</v>
      </c>
      <c r="G21" s="15">
        <f>'TIE-OUT'!O21+RECLASS!M21</f>
        <v>0</v>
      </c>
      <c r="H21" s="118">
        <v>-15310495</v>
      </c>
      <c r="I21" s="119">
        <v>-69724975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AO24" si="4">SUM(D19:D23)</f>
        <v>-74774948</v>
      </c>
      <c r="E24" s="23">
        <f t="shared" si="4"/>
        <v>-343138377.24000001</v>
      </c>
      <c r="F24" s="59">
        <f t="shared" si="4"/>
        <v>0</v>
      </c>
      <c r="G24" s="23">
        <f t="shared" si="4"/>
        <v>-4717257.74</v>
      </c>
      <c r="H24" s="61">
        <f t="shared" si="4"/>
        <v>-75337736</v>
      </c>
      <c r="I24" s="39">
        <f t="shared" si="4"/>
        <v>-330893326</v>
      </c>
      <c r="J24" s="61">
        <f t="shared" ref="J24:Q24" si="5">SUM(J19:J23)</f>
        <v>1896100</v>
      </c>
      <c r="K24" s="39">
        <f t="shared" si="5"/>
        <v>4683141.41</v>
      </c>
      <c r="L24" s="61">
        <f t="shared" si="5"/>
        <v>-1226474</v>
      </c>
      <c r="M24" s="39">
        <f t="shared" si="5"/>
        <v>-12228734.800000001</v>
      </c>
      <c r="N24" s="61">
        <f t="shared" si="5"/>
        <v>-106838</v>
      </c>
      <c r="O24" s="39">
        <f t="shared" si="5"/>
        <v>17799.890000000014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1404467</v>
      </c>
      <c r="E32" s="15">
        <f>G32+I32+K32+M32+O32</f>
        <v>6334146</v>
      </c>
      <c r="F32" s="58">
        <f>'TIE-OUT'!N32+RECLASS!L32</f>
        <v>0</v>
      </c>
      <c r="G32" s="15">
        <f>'TIE-OUT'!O32+RECLASS!M32</f>
        <v>0</v>
      </c>
      <c r="H32" s="118">
        <v>1404467</v>
      </c>
      <c r="I32" s="119">
        <v>6334146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1408174.91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/>
      <c r="O35" s="119">
        <v>1408174.91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AO36" si="9">SUM(D32:D35)</f>
        <v>1404467</v>
      </c>
      <c r="E36" s="23">
        <f t="shared" si="9"/>
        <v>7742320.9100000001</v>
      </c>
      <c r="F36" s="59">
        <f t="shared" si="9"/>
        <v>0</v>
      </c>
      <c r="G36" s="23">
        <f t="shared" si="9"/>
        <v>0</v>
      </c>
      <c r="H36" s="61">
        <f t="shared" si="9"/>
        <v>1404467</v>
      </c>
      <c r="I36" s="39">
        <f t="shared" si="9"/>
        <v>6334146</v>
      </c>
      <c r="J36" s="61">
        <f t="shared" ref="J36:Q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1408174.91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-133422</v>
      </c>
      <c r="E49" s="15">
        <f>G49+I49+K49+M49+O49</f>
        <v>-601733.22000000067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-1139757</v>
      </c>
      <c r="K49" s="119">
        <v>-5140304.07</v>
      </c>
      <c r="L49" s="118">
        <v>1235506</v>
      </c>
      <c r="M49" s="119">
        <v>5572132.0599999996</v>
      </c>
      <c r="N49" s="118">
        <v>-229171</v>
      </c>
      <c r="O49" s="119">
        <v>-1033561.21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-9092424</v>
      </c>
      <c r="E54" s="15">
        <f>G54+I54+K54+M54+O54</f>
        <v>1060535.17</v>
      </c>
      <c r="F54" s="58">
        <f>'TIE-OUT'!N54+RECLASS!L54</f>
        <v>0</v>
      </c>
      <c r="G54" s="15">
        <f>'TIE-OUT'!O54+RECLASS!M54</f>
        <v>0</v>
      </c>
      <c r="H54" s="118">
        <f>-7849093-1382732</f>
        <v>-9231825</v>
      </c>
      <c r="I54" s="119">
        <f>-115296-138239-25072</f>
        <v>-278607</v>
      </c>
      <c r="J54" s="118">
        <v>459146</v>
      </c>
      <c r="K54" s="119">
        <v>1425906.92</v>
      </c>
      <c r="L54" s="118">
        <v>446748</v>
      </c>
      <c r="M54" s="119">
        <v>-78417.320000000007</v>
      </c>
      <c r="N54" s="118">
        <v>-766493</v>
      </c>
      <c r="O54" s="119">
        <v>-8347.43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-3479497.4699999997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f>-1394346-366851</f>
        <v>-1761197</v>
      </c>
      <c r="J55" s="118">
        <v>0</v>
      </c>
      <c r="K55" s="119">
        <v>-1372047.09</v>
      </c>
      <c r="L55" s="118">
        <v>0</v>
      </c>
      <c r="M55" s="119">
        <v>-299944.27</v>
      </c>
      <c r="N55" s="118">
        <v>0</v>
      </c>
      <c r="O55" s="119">
        <v>-46309.11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AO56" si="16">SUM(D54:D55)</f>
        <v>-9092424</v>
      </c>
      <c r="E56" s="23">
        <f t="shared" si="16"/>
        <v>-2418962.2999999998</v>
      </c>
      <c r="F56" s="59">
        <f t="shared" si="16"/>
        <v>0</v>
      </c>
      <c r="G56" s="23">
        <f t="shared" si="16"/>
        <v>0</v>
      </c>
      <c r="H56" s="61">
        <f t="shared" si="16"/>
        <v>-9231825</v>
      </c>
      <c r="I56" s="39">
        <f t="shared" si="16"/>
        <v>-2039804</v>
      </c>
      <c r="J56" s="61">
        <f t="shared" ref="J56:Q56" si="17">SUM(J54:J55)</f>
        <v>459146</v>
      </c>
      <c r="K56" s="39">
        <f t="shared" si="17"/>
        <v>53859.829999999842</v>
      </c>
      <c r="L56" s="61">
        <f t="shared" si="17"/>
        <v>446748</v>
      </c>
      <c r="M56" s="39">
        <f t="shared" si="17"/>
        <v>-378361.59</v>
      </c>
      <c r="N56" s="61">
        <f t="shared" si="17"/>
        <v>-766493</v>
      </c>
      <c r="O56" s="39">
        <f t="shared" si="17"/>
        <v>-54656.54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1198403.77</v>
      </c>
      <c r="F70" s="58">
        <f>'TIE-OUT'!N70+RECLASS!L70</f>
        <v>0</v>
      </c>
      <c r="G70" s="15">
        <f>'TIE-OUT'!O70+RECLASS!M70</f>
        <v>1198403.77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-6919990</v>
      </c>
      <c r="F71" s="58">
        <f>'TIE-OUT'!N71+RECLASS!L71</f>
        <v>0</v>
      </c>
      <c r="G71" s="15">
        <f>'TIE-OUT'!O71+RECLASS!M71</f>
        <v>-6919990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-5721586.2300000004</v>
      </c>
      <c r="F72" s="59">
        <f t="shared" si="22"/>
        <v>0</v>
      </c>
      <c r="G72" s="23">
        <f t="shared" si="22"/>
        <v>-5721586.2300000004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6991821.2100000009</v>
      </c>
      <c r="F74" s="58">
        <f>'TIE-OUT'!N74+RECLASS!L74</f>
        <v>0</v>
      </c>
      <c r="G74" s="15">
        <f>'TIE-OUT'!O74+RECLASS!M74</f>
        <v>8945116.2100000009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-1953295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-492655.42999993358</v>
      </c>
      <c r="F82" s="91">
        <f>F16+F24+F29+F36+F43+F45+F47+F49</f>
        <v>0</v>
      </c>
      <c r="G82" s="92">
        <f>SUM(G72:G81)+G16+G24+G29+G36+G43+G45+G47+G49+G51+G56+G61+G66</f>
        <v>4863776.3699999992</v>
      </c>
      <c r="H82" s="91">
        <f>H16+H24+H29+H36+H43+H45+H47+H49</f>
        <v>0</v>
      </c>
      <c r="I82" s="92">
        <f>SUM(I72:I81)+I16+I24+I29+I36+I43+I45+I47+I49+I51+I56+I61+I66</f>
        <v>2872718</v>
      </c>
      <c r="J82" s="91">
        <f>J16+J24+J29+J36+J43+J45+J47+J49</f>
        <v>0</v>
      </c>
      <c r="K82" s="92">
        <f>SUM(K72:K81)+K16+K24+K29+K36+K43+K45+K47+K49+K51+K56+K61+K66</f>
        <v>-4503978.33</v>
      </c>
      <c r="L82" s="91">
        <f>L16+L24+L29+L36+L43+L45+L47+L49</f>
        <v>0</v>
      </c>
      <c r="M82" s="92">
        <f>SUM(M72:M81)+M16+M24+M29+M36+M43+M45+M47+M49+M51+M56+M61+M66</f>
        <v>-9456468.2300000004</v>
      </c>
      <c r="N82" s="91">
        <f>N16+N24+N29+N36+N43+N45+N47+N49</f>
        <v>0</v>
      </c>
      <c r="O82" s="92">
        <f>SUM(O72:O81)+O16+O24+O29+O36+O43+O45+O47+O49+O51+O56+O61+O66</f>
        <v>5731296.7599999988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14">
        <f>+E74+E12+E20</f>
        <v>1320818.8200000003</v>
      </c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P175"/>
  <sheetViews>
    <sheetView zoomScale="75" workbookViewId="0">
      <pane xSplit="3" ySplit="9" topLeftCell="E79" activePane="bottomRight" state="frozen"/>
      <selection activeCell="N16" sqref="N16"/>
      <selection pane="topRight" activeCell="N16" sqref="N16"/>
      <selection pane="bottomLeft" activeCell="N16" sqref="N16"/>
      <selection pane="bottomRight" activeCell="H92" sqref="H9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-33856.559999999998</v>
      </c>
      <c r="F12" s="58">
        <f>'TIE-OUT'!L12+RECLASS!J12</f>
        <v>0</v>
      </c>
      <c r="G12" s="15">
        <f>'TIE-OUT'!M12+RECLASS!K12</f>
        <v>-33856.559999999998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-33856.559999999998</v>
      </c>
      <c r="F16" s="59">
        <f t="shared" si="1"/>
        <v>0</v>
      </c>
      <c r="G16" s="23">
        <f t="shared" si="1"/>
        <v>-33856.559999999998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f>+Actuals!E54</f>
        <v>0</v>
      </c>
      <c r="I27" s="119">
        <f>+Actuals!F54</f>
        <v>0</v>
      </c>
      <c r="J27" s="118">
        <f>+Actuals!G54</f>
        <v>0</v>
      </c>
      <c r="K27" s="119">
        <f>+Actuals!H54</f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f>+Actuals!E55</f>
        <v>0</v>
      </c>
      <c r="I28" s="119">
        <f>+Actuals!F55</f>
        <v>0</v>
      </c>
      <c r="J28" s="118">
        <f>+Actuals!G55</f>
        <v>0</v>
      </c>
      <c r="K28" s="119">
        <f>+Actuals!H55</f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v>3331023</v>
      </c>
      <c r="J81" s="118">
        <f>+Actuals!G83</f>
        <v>0</v>
      </c>
      <c r="K81" s="119">
        <v>-3331023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-33856.559999999998</v>
      </c>
      <c r="F82" s="91">
        <f>F16+F24+F29+F36+F43+F45+F47+F49</f>
        <v>0</v>
      </c>
      <c r="G82" s="92">
        <f>SUM(G72:G81)+G16+G24+G29+G36+G43+G45+G47+G49+G51+G56+G61+G66</f>
        <v>-33856.559999999998</v>
      </c>
      <c r="H82" s="91">
        <f>H16+H24+H29+H36+H43+H45+H47+H49</f>
        <v>0</v>
      </c>
      <c r="I82" s="92">
        <f>SUM(I72:I81)+I16+I24+I29+I36+I43+I45+I47+I49+I51+I56+I61+I66</f>
        <v>3331023</v>
      </c>
      <c r="J82" s="91">
        <f>J16+J24+J29+J36+J43+J45+J47+J49</f>
        <v>0</v>
      </c>
      <c r="K82" s="110">
        <f>SUM(K72:K81)+K16+K24+K29+K36+K43+K45+K47+K49+K51+K56+K61+K66</f>
        <v>-3331023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78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157990573</v>
      </c>
      <c r="E11" s="38">
        <f>SUM(G11,I11,K11,M11,O11,Q11,S11,U11,W11,Y11,AA11,AC11,AE11)</f>
        <v>662241506.25999987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158135451</v>
      </c>
      <c r="I11" s="38">
        <f>'EAST-EGM-GL'!I11+'EAST-LRC-GL'!I11</f>
        <v>677982083.13999999</v>
      </c>
      <c r="J11" s="60">
        <f>'EAST-EGM-GL'!J11+'EAST-LRC-GL'!J11</f>
        <v>-182977</v>
      </c>
      <c r="K11" s="38">
        <f>'EAST-EGM-GL'!K11+'EAST-LRC-GL'!K11</f>
        <v>-1674533.73</v>
      </c>
      <c r="L11" s="60">
        <f>'EAST-EGM-GL'!L11+'EAST-LRC-GL'!L11</f>
        <v>38099</v>
      </c>
      <c r="M11" s="38">
        <f>'EAST-EGM-GL'!M11+'EAST-LRC-GL'!M11</f>
        <v>-14062752.689999999</v>
      </c>
      <c r="N11" s="60">
        <f>'EAST-EGM-GL'!N11+'EAST-LRC-GL'!N11</f>
        <v>0</v>
      </c>
      <c r="O11" s="38">
        <f>'EAST-EGM-GL'!O11+'EAST-LRC-GL'!O11</f>
        <v>-3290.46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20291970.23</v>
      </c>
      <c r="F12" s="60">
        <f>('TIE-OUT'!L12+'TIE-OUT'!J12)+(RECLASS!J12+RECLASS!H12)</f>
        <v>0</v>
      </c>
      <c r="G12" s="38">
        <f>('TIE-OUT'!M12+'TIE-OUT'!K12)+(RECLASS!K12+RECLASS!I12)</f>
        <v>20291970.23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98199788</v>
      </c>
      <c r="E13" s="38">
        <f t="shared" si="0"/>
        <v>425874002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98199788</v>
      </c>
      <c r="I13" s="38">
        <f>'EAST-EGM-GL'!I13+'EAST-LRC-GL'!I13</f>
        <v>425874002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4853957.24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1694730.88</v>
      </c>
      <c r="J15" s="60">
        <f>'EAST-EGM-GL'!J15+'EAST-LRC-GL'!J15</f>
        <v>0</v>
      </c>
      <c r="K15" s="38">
        <f>'EAST-EGM-GL'!K15+'EAST-LRC-GL'!K15</f>
        <v>1831527.13</v>
      </c>
      <c r="L15" s="60">
        <f>'EAST-EGM-GL'!L15+'EAST-LRC-GL'!L15</f>
        <v>0</v>
      </c>
      <c r="M15" s="38">
        <f>'EAST-EGM-GL'!M15+'EAST-LRC-GL'!M15</f>
        <v>797763.29</v>
      </c>
      <c r="N15" s="60">
        <f>'EAST-EGM-GL'!N15+'EAST-LRC-GL'!N15</f>
        <v>0</v>
      </c>
      <c r="O15" s="38">
        <f>'EAST-EGM-GL'!O15+'EAST-LRC-GL'!O15</f>
        <v>529935.93999999994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256190361</v>
      </c>
      <c r="E16" s="39">
        <f t="shared" si="1"/>
        <v>1113261435.7299998</v>
      </c>
      <c r="F16" s="61">
        <f t="shared" si="1"/>
        <v>0</v>
      </c>
      <c r="G16" s="39">
        <f t="shared" si="1"/>
        <v>20291970.23</v>
      </c>
      <c r="H16" s="61">
        <f t="shared" si="1"/>
        <v>256335239</v>
      </c>
      <c r="I16" s="39">
        <f t="shared" si="1"/>
        <v>1105550816.02</v>
      </c>
      <c r="J16" s="61">
        <f t="shared" si="1"/>
        <v>-182977</v>
      </c>
      <c r="K16" s="39">
        <f t="shared" si="1"/>
        <v>156993.39999999991</v>
      </c>
      <c r="L16" s="61">
        <f t="shared" si="1"/>
        <v>38099</v>
      </c>
      <c r="M16" s="39">
        <f t="shared" si="1"/>
        <v>-13264989.399999999</v>
      </c>
      <c r="N16" s="61">
        <f t="shared" si="1"/>
        <v>0</v>
      </c>
      <c r="O16" s="39">
        <f t="shared" si="1"/>
        <v>526645.48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-170771873</v>
      </c>
      <c r="E19" s="38">
        <f t="shared" si="2"/>
        <v>-719038282.99000013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-164921265</v>
      </c>
      <c r="I19" s="38">
        <f>'EAST-EGM-GL'!I19+'EAST-LRC-GL'!I19</f>
        <v>-697288081.51000011</v>
      </c>
      <c r="J19" s="60">
        <f>'EAST-EGM-GL'!J19+'EAST-LRC-GL'!J19</f>
        <v>-4728827</v>
      </c>
      <c r="K19" s="38">
        <f>'EAST-EGM-GL'!K19+'EAST-LRC-GL'!K19</f>
        <v>-26736731.030000001</v>
      </c>
      <c r="L19" s="60">
        <f>'EAST-EGM-GL'!L19+'EAST-LRC-GL'!L19</f>
        <v>-1772015</v>
      </c>
      <c r="M19" s="38">
        <f>'EAST-EGM-GL'!M19+'EAST-LRC-GL'!M19</f>
        <v>4628221.37</v>
      </c>
      <c r="N19" s="60">
        <f>'EAST-EGM-GL'!N19+'EAST-LRC-GL'!N19</f>
        <v>650234</v>
      </c>
      <c r="O19" s="38">
        <f>'EAST-EGM-GL'!O19+'EAST-LRC-GL'!O19</f>
        <v>358308.18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-31658710.870000001</v>
      </c>
      <c r="F20" s="60">
        <f>('TIE-OUT'!L20+'TIE-OUT'!J20)+(RECLASS!J20+RECLASS!H20)</f>
        <v>0</v>
      </c>
      <c r="G20" s="38">
        <f>('TIE-OUT'!M20+'TIE-OUT'!K20)+(RECLASS!K20+RECLASS!I20)</f>
        <v>-31658710.870000001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-92207938</v>
      </c>
      <c r="E21" s="38">
        <f t="shared" si="2"/>
        <v>-398424782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-92207938</v>
      </c>
      <c r="I21" s="38">
        <f>'EAST-EGM-GL'!I21+'EAST-LRC-GL'!I21</f>
        <v>-398424782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794469</v>
      </c>
      <c r="E23" s="38">
        <f t="shared" si="2"/>
        <v>3410655.4210000006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1084187</v>
      </c>
      <c r="I23" s="38">
        <f>'EAST-EGM-GL'!I23+'EAST-LRC-GL'!I23</f>
        <v>4654414.7910000002</v>
      </c>
      <c r="J23" s="60">
        <f>'EAST-EGM-GL'!J23+'EAST-LRC-GL'!J23</f>
        <v>-289011</v>
      </c>
      <c r="K23" s="38">
        <f>'EAST-EGM-GL'!K23+'EAST-LRC-GL'!K23</f>
        <v>-1240724.22</v>
      </c>
      <c r="L23" s="60">
        <f>'EAST-EGM-GL'!L23+'EAST-LRC-GL'!L23</f>
        <v>-6792</v>
      </c>
      <c r="M23" s="38">
        <f>'EAST-EGM-GL'!M23+'EAST-LRC-GL'!M23</f>
        <v>-29158.06</v>
      </c>
      <c r="N23" s="60">
        <f>'EAST-EGM-GL'!N23+'EAST-LRC-GL'!N23</f>
        <v>6085</v>
      </c>
      <c r="O23" s="38">
        <f>'EAST-EGM-GL'!O23+'EAST-LRC-GL'!O23</f>
        <v>26122.91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-262185342</v>
      </c>
      <c r="E24" s="39">
        <f t="shared" si="3"/>
        <v>-1145711120.4390001</v>
      </c>
      <c r="F24" s="61">
        <f t="shared" si="3"/>
        <v>0</v>
      </c>
      <c r="G24" s="39">
        <f t="shared" si="3"/>
        <v>-31658710.870000001</v>
      </c>
      <c r="H24" s="61">
        <f t="shared" si="3"/>
        <v>-256045016</v>
      </c>
      <c r="I24" s="39">
        <f t="shared" si="3"/>
        <v>-1091058448.7190003</v>
      </c>
      <c r="J24" s="61">
        <f t="shared" si="3"/>
        <v>-5017838</v>
      </c>
      <c r="K24" s="39">
        <f t="shared" si="3"/>
        <v>-27977455.25</v>
      </c>
      <c r="L24" s="61">
        <f t="shared" si="3"/>
        <v>-1778807</v>
      </c>
      <c r="M24" s="39">
        <f t="shared" si="3"/>
        <v>4599063.3100000005</v>
      </c>
      <c r="N24" s="61">
        <f t="shared" si="3"/>
        <v>656319</v>
      </c>
      <c r="O24" s="39">
        <f t="shared" si="3"/>
        <v>384431.08999999997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139825</v>
      </c>
      <c r="E27" s="38">
        <f>SUM(G27,I27,K27,M27,O27,Q27,S27,U27,W27,Y27,AA27,AC27,AE27)</f>
        <v>578895.73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140099</v>
      </c>
      <c r="I27" s="38">
        <f>'EAST-EGM-GL'!I27+'EAST-LRC-GL'!I27</f>
        <v>579768.34</v>
      </c>
      <c r="J27" s="60">
        <f>'EAST-EGM-GL'!J27+'EAST-LRC-GL'!J27</f>
        <v>-274</v>
      </c>
      <c r="K27" s="38">
        <f>'EAST-EGM-GL'!K27+'EAST-LRC-GL'!K27</f>
        <v>-872.61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-89332</v>
      </c>
      <c r="E28" s="38">
        <f>SUM(G28,I28,K28,M28,O28,Q28,S28,U28,W28,Y28,AA28,AC28,AE28)</f>
        <v>-369479.04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-89332</v>
      </c>
      <c r="I28" s="38">
        <f>'EAST-EGM-GL'!I28+'EAST-LRC-GL'!I28</f>
        <v>-369479.04</v>
      </c>
      <c r="J28" s="60">
        <f>'EAST-EGM-GL'!J28+'EAST-LRC-GL'!J28</f>
        <v>0</v>
      </c>
      <c r="K28" s="38">
        <f>'EAST-EGM-GL'!K28+'EAST-LRC-GL'!K28</f>
        <v>0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50493</v>
      </c>
      <c r="E29" s="39">
        <f t="shared" si="4"/>
        <v>209416.69</v>
      </c>
      <c r="F29" s="61">
        <f t="shared" si="4"/>
        <v>0</v>
      </c>
      <c r="G29" s="39">
        <f t="shared" si="4"/>
        <v>0</v>
      </c>
      <c r="H29" s="61">
        <f t="shared" si="4"/>
        <v>50767</v>
      </c>
      <c r="I29" s="39">
        <f t="shared" si="4"/>
        <v>210289.3</v>
      </c>
      <c r="J29" s="61">
        <f t="shared" si="4"/>
        <v>-274</v>
      </c>
      <c r="K29" s="39">
        <f t="shared" si="4"/>
        <v>-872.61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-1193931</v>
      </c>
      <c r="E32" s="38">
        <f t="shared" si="5"/>
        <v>-5125414.9930000007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-248481</v>
      </c>
      <c r="I32" s="38">
        <f>'EAST-EGM-GL'!I32+'EAST-LRC-GL'!I32</f>
        <v>-1066728.933</v>
      </c>
      <c r="J32" s="60">
        <f>'EAST-EGM-GL'!J32+'EAST-LRC-GL'!J32</f>
        <v>-1450908</v>
      </c>
      <c r="K32" s="38">
        <f>'EAST-EGM-GL'!K32+'EAST-LRC-GL'!K32</f>
        <v>-6228748.04</v>
      </c>
      <c r="L32" s="60">
        <f>'EAST-EGM-GL'!L32+'EAST-LRC-GL'!L32</f>
        <v>1140478</v>
      </c>
      <c r="M32" s="38">
        <f>'EAST-EGM-GL'!M32+'EAST-LRC-GL'!M32</f>
        <v>4896072.05</v>
      </c>
      <c r="N32" s="60">
        <f>'EAST-EGM-GL'!N32+'EAST-LRC-GL'!N32</f>
        <v>-635020</v>
      </c>
      <c r="O32" s="38">
        <f>'EAST-EGM-GL'!O32+'EAST-LRC-GL'!O32</f>
        <v>-2726010.07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-377965</v>
      </c>
      <c r="E33" s="38">
        <f t="shared" si="5"/>
        <v>-1489667.72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-200882</v>
      </c>
      <c r="K33" s="38">
        <f>'EAST-EGM-GL'!K33+'EAST-LRC-GL'!K33</f>
        <v>-764665.59</v>
      </c>
      <c r="L33" s="60">
        <f>'EAST-EGM-GL'!L33+'EAST-LRC-GL'!L33</f>
        <v>-107656</v>
      </c>
      <c r="M33" s="38">
        <f>'EAST-EGM-GL'!M33+'EAST-LRC-GL'!M33</f>
        <v>-426182.05</v>
      </c>
      <c r="N33" s="60">
        <f>'EAST-EGM-GL'!N33+'EAST-LRC-GL'!N33</f>
        <v>-69427</v>
      </c>
      <c r="O33" s="38">
        <f>'EAST-EGM-GL'!O33+'EAST-LRC-GL'!O33</f>
        <v>-298820.08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462391</v>
      </c>
      <c r="E34" s="38">
        <f t="shared" si="5"/>
        <v>1779892.4100000001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182394</v>
      </c>
      <c r="K34" s="38">
        <f>'EAST-EGM-GL'!K34+'EAST-LRC-GL'!K34</f>
        <v>656556.69999999995</v>
      </c>
      <c r="L34" s="60">
        <f>'EAST-EGM-GL'!L34+'EAST-LRC-GL'!L34</f>
        <v>120476</v>
      </c>
      <c r="M34" s="38">
        <f>'EAST-EGM-GL'!M34+'EAST-LRC-GL'!M34</f>
        <v>462428.09</v>
      </c>
      <c r="N34" s="60">
        <f>'EAST-EGM-GL'!N34+'EAST-LRC-GL'!N34</f>
        <v>159521</v>
      </c>
      <c r="O34" s="38">
        <f>'EAST-EGM-GL'!O34+'EAST-LRC-GL'!O34</f>
        <v>660907.62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778347</v>
      </c>
      <c r="E35" s="38">
        <f t="shared" si="5"/>
        <v>2223440.09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-62010</v>
      </c>
      <c r="K35" s="38">
        <f>'EAST-EGM-GL'!K35+'EAST-LRC-GL'!K35</f>
        <v>0</v>
      </c>
      <c r="L35" s="60">
        <f>'EAST-EGM-GL'!L35+'EAST-LRC-GL'!L35</f>
        <v>62000</v>
      </c>
      <c r="M35" s="38">
        <f>'EAST-EGM-GL'!M35+'EAST-LRC-GL'!M35</f>
        <v>3589300.04</v>
      </c>
      <c r="N35" s="60">
        <f>'EAST-EGM-GL'!N35+'EAST-LRC-GL'!N35</f>
        <v>778357</v>
      </c>
      <c r="O35" s="38">
        <f>'EAST-EGM-GL'!O35+'EAST-LRC-GL'!O35</f>
        <v>-1365859.95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-331158</v>
      </c>
      <c r="E36" s="39">
        <f t="shared" si="6"/>
        <v>-2611750.2130000005</v>
      </c>
      <c r="F36" s="61">
        <f t="shared" si="6"/>
        <v>0</v>
      </c>
      <c r="G36" s="39">
        <f t="shared" si="6"/>
        <v>0</v>
      </c>
      <c r="H36" s="61">
        <f t="shared" si="6"/>
        <v>-248481</v>
      </c>
      <c r="I36" s="39">
        <f t="shared" si="6"/>
        <v>-1066728.933</v>
      </c>
      <c r="J36" s="61">
        <f t="shared" si="6"/>
        <v>-1531406</v>
      </c>
      <c r="K36" s="39">
        <f t="shared" si="6"/>
        <v>-6336856.9299999997</v>
      </c>
      <c r="L36" s="61">
        <f t="shared" si="6"/>
        <v>1215298</v>
      </c>
      <c r="M36" s="39">
        <f t="shared" si="6"/>
        <v>8521618.129999999</v>
      </c>
      <c r="N36" s="61">
        <f t="shared" si="6"/>
        <v>233431</v>
      </c>
      <c r="O36" s="39">
        <f t="shared" si="6"/>
        <v>-3729782.4799999995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2505480</v>
      </c>
      <c r="E39" s="38">
        <f t="shared" si="7"/>
        <v>9351594.2799999993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1566417</v>
      </c>
      <c r="I39" s="38">
        <f>'EAST-EGM-GL'!I39+'EAST-LRC-GL'!I39</f>
        <v>2045215.29</v>
      </c>
      <c r="J39" s="60">
        <f>'EAST-EGM-GL'!J39+'EAST-LRC-GL'!J39</f>
        <v>935993</v>
      </c>
      <c r="K39" s="38">
        <f>'EAST-EGM-GL'!K39+'EAST-LRC-GL'!K39</f>
        <v>2612820.67</v>
      </c>
      <c r="L39" s="60">
        <f>'EAST-EGM-GL'!L39+'EAST-LRC-GL'!L39</f>
        <v>-840</v>
      </c>
      <c r="M39" s="38">
        <f>'EAST-EGM-GL'!M39+'EAST-LRC-GL'!M39</f>
        <v>-2640.24</v>
      </c>
      <c r="N39" s="60">
        <f>'EAST-EGM-GL'!N39+'EAST-LRC-GL'!N39</f>
        <v>3910</v>
      </c>
      <c r="O39" s="38">
        <f>'EAST-EGM-GL'!O39+'EAST-LRC-GL'!O39</f>
        <v>4696198.5599999996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-1164897</v>
      </c>
      <c r="E40" s="38">
        <f t="shared" si="7"/>
        <v>-5387268.0200000005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-313104</v>
      </c>
      <c r="I40" s="38">
        <f>'EAST-EGM-GL'!I40+'EAST-LRC-GL'!I40</f>
        <v>-493435.94</v>
      </c>
      <c r="J40" s="60">
        <f>'EAST-EGM-GL'!J40+'EAST-LRC-GL'!J40</f>
        <v>661</v>
      </c>
      <c r="K40" s="38">
        <f>'EAST-EGM-GL'!K40+'EAST-LRC-GL'!K40</f>
        <v>5266.57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-852454</v>
      </c>
      <c r="O40" s="38">
        <f>'EAST-EGM-GL'!O40+'EAST-LRC-GL'!O40</f>
        <v>-4899098.6500000004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-1164897</v>
      </c>
      <c r="E42" s="39">
        <f t="shared" si="8"/>
        <v>-5387268.0200000005</v>
      </c>
      <c r="F42" s="61">
        <f t="shared" si="8"/>
        <v>0</v>
      </c>
      <c r="G42" s="39">
        <f t="shared" si="8"/>
        <v>0</v>
      </c>
      <c r="H42" s="61">
        <f t="shared" si="8"/>
        <v>-313104</v>
      </c>
      <c r="I42" s="39">
        <f t="shared" si="8"/>
        <v>-493435.94</v>
      </c>
      <c r="J42" s="61">
        <f t="shared" si="8"/>
        <v>661</v>
      </c>
      <c r="K42" s="39">
        <f t="shared" si="8"/>
        <v>5266.57</v>
      </c>
      <c r="L42" s="61">
        <f t="shared" si="8"/>
        <v>0</v>
      </c>
      <c r="M42" s="39">
        <f t="shared" si="8"/>
        <v>0</v>
      </c>
      <c r="N42" s="61">
        <f t="shared" si="8"/>
        <v>-852454</v>
      </c>
      <c r="O42" s="39">
        <f t="shared" si="8"/>
        <v>-4899098.6500000004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1340583</v>
      </c>
      <c r="E43" s="39">
        <f t="shared" si="9"/>
        <v>3964326.2599999988</v>
      </c>
      <c r="F43" s="61">
        <f t="shared" si="9"/>
        <v>0</v>
      </c>
      <c r="G43" s="39">
        <f t="shared" si="9"/>
        <v>0</v>
      </c>
      <c r="H43" s="61">
        <f t="shared" si="9"/>
        <v>1253313</v>
      </c>
      <c r="I43" s="39">
        <f t="shared" si="9"/>
        <v>1551779.35</v>
      </c>
      <c r="J43" s="61">
        <f t="shared" si="9"/>
        <v>936654</v>
      </c>
      <c r="K43" s="39">
        <f t="shared" si="9"/>
        <v>2618087.2399999998</v>
      </c>
      <c r="L43" s="61">
        <f t="shared" si="9"/>
        <v>-840</v>
      </c>
      <c r="M43" s="39">
        <f t="shared" si="9"/>
        <v>-2640.24</v>
      </c>
      <c r="N43" s="61">
        <f t="shared" si="9"/>
        <v>-848544</v>
      </c>
      <c r="O43" s="39">
        <f t="shared" si="9"/>
        <v>-202900.09000000078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4935228</v>
      </c>
      <c r="E49" s="38">
        <f>SUM(G49,I49,K49,M49,O49,Q49,S49,U49,W49,Y49,AA49,AC49,AE49)</f>
        <v>21186933.804000001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-1345822</v>
      </c>
      <c r="I49" s="38">
        <f>'EAST-EGM-GL'!I49+'EAST-LRC-GL'!I49</f>
        <v>-5777613.8459999999</v>
      </c>
      <c r="J49" s="60">
        <f>'EAST-EGM-GL'!J49+'EAST-LRC-GL'!J49</f>
        <v>5796006</v>
      </c>
      <c r="K49" s="38">
        <f>'EAST-EGM-GL'!K49+'EAST-LRC-GL'!K49</f>
        <v>24882253.760000002</v>
      </c>
      <c r="L49" s="60">
        <f>'EAST-EGM-GL'!L49+'EAST-LRC-GL'!L49</f>
        <v>526250</v>
      </c>
      <c r="M49" s="38">
        <f>'EAST-EGM-GL'!M49+'EAST-LRC-GL'!M49</f>
        <v>2259191.25</v>
      </c>
      <c r="N49" s="60">
        <f>'EAST-EGM-GL'!N49+'EAST-LRC-GL'!N49</f>
        <v>-41206</v>
      </c>
      <c r="O49" s="38">
        <f>'EAST-EGM-GL'!O49+'EAST-LRC-GL'!O49</f>
        <v>-176897.36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-794469</v>
      </c>
      <c r="E51" s="38">
        <f>SUM(G51,I51,K51,M51,O51,Q51,S51,U51,W51,Y51,AA51,AC51,AE51)</f>
        <v>-3410655.4210000006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-1084187</v>
      </c>
      <c r="I51" s="38">
        <f>'EAST-EGM-GL'!I51+'EAST-LRC-GL'!I51</f>
        <v>-4654414.7910000002</v>
      </c>
      <c r="J51" s="60">
        <f>'EAST-EGM-GL'!J51+'EAST-LRC-GL'!J51</f>
        <v>289011</v>
      </c>
      <c r="K51" s="38">
        <f>'EAST-EGM-GL'!K51+'EAST-LRC-GL'!K51</f>
        <v>1240724.22</v>
      </c>
      <c r="L51" s="60">
        <f>'EAST-EGM-GL'!L51+'EAST-LRC-GL'!L51</f>
        <v>6792</v>
      </c>
      <c r="M51" s="38">
        <f>'EAST-EGM-GL'!M51+'EAST-LRC-GL'!M51</f>
        <v>29158.06</v>
      </c>
      <c r="N51" s="60">
        <f>'EAST-EGM-GL'!N51+'EAST-LRC-GL'!N51</f>
        <v>-6085</v>
      </c>
      <c r="O51" s="38">
        <f>'EAST-EGM-GL'!O51+'EAST-LRC-GL'!O51</f>
        <v>-26122.91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-138037335</v>
      </c>
      <c r="E54" s="38">
        <f>SUM(G54,I54,K54,M54,O54,Q54,S54,U54,W54,Y54,AA54,AC54,AE54)</f>
        <v>2199631.6199999996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-157970356</v>
      </c>
      <c r="I54" s="38">
        <f>'EAST-EGM-GL'!I54+'EAST-LRC-GL'!I54</f>
        <v>-2293267.85</v>
      </c>
      <c r="J54" s="60">
        <f>'EAST-EGM-GL'!J54+'EAST-LRC-GL'!J54</f>
        <v>20960328</v>
      </c>
      <c r="K54" s="38">
        <f>'EAST-EGM-GL'!K54+'EAST-LRC-GL'!K54</f>
        <v>4585785.05</v>
      </c>
      <c r="L54" s="60">
        <f>'EAST-EGM-GL'!L54+'EAST-LRC-GL'!L54</f>
        <v>3453500</v>
      </c>
      <c r="M54" s="38">
        <f>'EAST-EGM-GL'!M54+'EAST-LRC-GL'!M54</f>
        <v>105268.73</v>
      </c>
      <c r="N54" s="60">
        <f>'EAST-EGM-GL'!N54+'EAST-LRC-GL'!N54</f>
        <v>-4480807</v>
      </c>
      <c r="O54" s="38">
        <f>'EAST-EGM-GL'!O54+'EAST-LRC-GL'!O54</f>
        <v>-198154.31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-9220428.129999999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-5109292.5999999996</v>
      </c>
      <c r="J55" s="60">
        <f>'EAST-EGM-GL'!J55+'EAST-LRC-GL'!J55</f>
        <v>0</v>
      </c>
      <c r="K55" s="38">
        <f>'EAST-EGM-GL'!K55+'EAST-LRC-GL'!K55</f>
        <v>-4449769.83</v>
      </c>
      <c r="L55" s="60">
        <f>'EAST-EGM-GL'!L55+'EAST-LRC-GL'!L55</f>
        <v>0</v>
      </c>
      <c r="M55" s="38">
        <f>'EAST-EGM-GL'!M55+'EAST-LRC-GL'!M55</f>
        <v>333756.71999999997</v>
      </c>
      <c r="N55" s="60">
        <f>'EAST-EGM-GL'!N55+'EAST-LRC-GL'!N55</f>
        <v>0</v>
      </c>
      <c r="O55" s="38">
        <f>'EAST-EGM-GL'!O55+'EAST-LRC-GL'!O55</f>
        <v>4877.58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-138037335</v>
      </c>
      <c r="E56" s="39">
        <f t="shared" si="10"/>
        <v>-7020796.5099999998</v>
      </c>
      <c r="F56" s="61">
        <f t="shared" si="10"/>
        <v>0</v>
      </c>
      <c r="G56" s="39">
        <f t="shared" si="10"/>
        <v>0</v>
      </c>
      <c r="H56" s="61">
        <f t="shared" si="10"/>
        <v>-157970356</v>
      </c>
      <c r="I56" s="39">
        <f t="shared" si="10"/>
        <v>-7402560.4499999993</v>
      </c>
      <c r="J56" s="61">
        <f t="shared" si="10"/>
        <v>20960328</v>
      </c>
      <c r="K56" s="39">
        <f t="shared" si="10"/>
        <v>136015.21999999974</v>
      </c>
      <c r="L56" s="61">
        <f t="shared" si="10"/>
        <v>3453500</v>
      </c>
      <c r="M56" s="39">
        <f t="shared" si="10"/>
        <v>439025.44999999995</v>
      </c>
      <c r="N56" s="61">
        <f t="shared" si="10"/>
        <v>-4480807</v>
      </c>
      <c r="O56" s="39">
        <f t="shared" si="10"/>
        <v>-193276.73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48847.92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48847.92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48847.92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48847.92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-5134326.63</v>
      </c>
      <c r="F70" s="64">
        <f>('TIE-OUT'!L70+'TIE-OUT'!J70)+(RECLASS!J70+RECLASS!H70)</f>
        <v>0</v>
      </c>
      <c r="G70" s="68">
        <f>('TIE-OUT'!M70+'TIE-OUT'!K70)+(RECLASS!K70+RECLASS!I70)</f>
        <v>-5134326.63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-14964909</v>
      </c>
      <c r="F71" s="81">
        <f>('TIE-OUT'!L71+'TIE-OUT'!J71)+(RECLASS!J71+RECLASS!H71)</f>
        <v>0</v>
      </c>
      <c r="G71" s="82">
        <f>('TIE-OUT'!M71+'TIE-OUT'!K71)+(RECLASS!K71+RECLASS!I71)</f>
        <v>-14964909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-20099235.629999999</v>
      </c>
      <c r="F72" s="61">
        <f t="shared" si="13"/>
        <v>0</v>
      </c>
      <c r="G72" s="39">
        <f t="shared" si="13"/>
        <v>-20099235.629999999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15790987.42</v>
      </c>
      <c r="F74" s="60">
        <f>('TIE-OUT'!L74+'TIE-OUT'!J74)+(RECLASS!J74+RECLASS!H74)</f>
        <v>0</v>
      </c>
      <c r="G74" s="60">
        <f>('TIE-OUT'!M74+'TIE-OUT'!K74)+(RECLASS!K74+RECLASS!I74)</f>
        <v>16031774.42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-2194082</v>
      </c>
      <c r="L74" s="60">
        <f>'EAST-EGM-GL'!L74+'EAST-LRC-GL'!L74</f>
        <v>0</v>
      </c>
      <c r="M74" s="38">
        <f>'EAST-EGM-GL'!M74+'EAST-LRC-GL'!M74</f>
        <v>1953295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228732</v>
      </c>
      <c r="F75" s="60">
        <f>('TIE-OUT'!L75+'TIE-OUT'!J75)+(RECLASS!J75+RECLASS!H75)</f>
        <v>0</v>
      </c>
      <c r="G75" s="60">
        <f>('TIE-OUT'!M75+'TIE-OUT'!K75)+(RECLASS!K75+RECLASS!I75)</f>
        <v>228732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-866.58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-866.58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468168.06000000006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3765372.81</v>
      </c>
      <c r="J81" s="60">
        <f>'EAST-EGM-GL'!J81+'EAST-LRC-GL'!J81</f>
        <v>0</v>
      </c>
      <c r="K81" s="38">
        <f>'EAST-EGM-GL'!K81+'EAST-LRC-GL'!K81</f>
        <v>-3229704.75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165</v>
      </c>
      <c r="E82" s="92">
        <f>SUM(E72:E81)+E16+E24+E29+E36+E43+E45+E47+E49+E51+E56+E61+E66</f>
        <v>-23695576.909000367</v>
      </c>
      <c r="F82" s="91">
        <f>F16+F24+F29+F36+F43+F45+F47+F49</f>
        <v>0</v>
      </c>
      <c r="G82" s="92">
        <f>SUM(G72:G81)+G16+G24+G29+G36+G43+G45+G47+G49+G51+G56+G61+G66</f>
        <v>-15272969.85</v>
      </c>
      <c r="H82" s="91">
        <f>H16+H24+H29+H36+H43+H45+H47+H49</f>
        <v>0</v>
      </c>
      <c r="I82" s="92">
        <f>SUM(I72:I81)+I16+I24+I29+I36+I43+I45+I47+I49+I51+I56+I61+I66</f>
        <v>1166472.0809996631</v>
      </c>
      <c r="J82" s="91">
        <f>J16+J24+J29+J36+J43+J45+J47+J49</f>
        <v>165</v>
      </c>
      <c r="K82" s="92">
        <f>SUM(K72:K81)+K16+K24+K29+K36+K43+K45+K47+K49+K51+K56+K61+K66</f>
        <v>-10704897.699999996</v>
      </c>
      <c r="L82" s="91">
        <f>L16+L24+L29+L36+L43+L45+L47+L49</f>
        <v>0</v>
      </c>
      <c r="M82" s="92">
        <f>SUM(M72:M81)+M16+M24+M29+M36+M43+M45+M47+M49+M51+M56+M61+M66</f>
        <v>4533721.5600000005</v>
      </c>
      <c r="N82" s="91">
        <f>N16+N24+N29+N36+N43+N45+N47+N49</f>
        <v>0</v>
      </c>
      <c r="O82" s="92">
        <f>SUM(O72:O81)+O16+O24+O29+O36+O43+O45+O47+O49+O51+O56+O61+O66</f>
        <v>-3417903.0000000005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-23695576.909000423</v>
      </c>
      <c r="G84" s="14">
        <f>+'EAST-LRC-GL'!G82+'EAST-EGM-GL'!G82</f>
        <v>-15272969.850000001</v>
      </c>
      <c r="I84" s="14">
        <f>+'EAST-LRC-GL'!I82+'EAST-EGM-GL'!I82</f>
        <v>1166472.0809996603</v>
      </c>
      <c r="K84" s="14">
        <f>+'EAST-LRC-GL'!K82+'EAST-EGM-GL'!K82</f>
        <v>-10704897.699999997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-43000</v>
      </c>
      <c r="F86" s="145">
        <f>'EAST-EGM-GL'!F86+'EAST-LRC-GL'!F86</f>
        <v>0</v>
      </c>
      <c r="G86" s="145">
        <f>'EAST-EGM-GL'!G86+'EAST-LRC-GL'!G86</f>
        <v>-42632</v>
      </c>
      <c r="H86" s="145">
        <f>'EAST-EGM-GL'!H86+'EAST-LRC-GL'!H86</f>
        <v>0</v>
      </c>
      <c r="I86" s="145">
        <v>444429</v>
      </c>
      <c r="J86" s="145">
        <f>'EAST-EGM-GL'!J86+'EAST-LRC-GL'!J86</f>
        <v>0</v>
      </c>
      <c r="K86" s="145">
        <f>'EAST-EGM-GL'!K86+'EAST-LRC-GL'!K86</f>
        <v>-444797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-43000</v>
      </c>
      <c r="F89" s="155">
        <f t="shared" si="16"/>
        <v>0</v>
      </c>
      <c r="G89" s="155">
        <f t="shared" si="16"/>
        <v>-42632</v>
      </c>
      <c r="H89" s="155">
        <f t="shared" si="16"/>
        <v>0</v>
      </c>
      <c r="I89" s="155">
        <f t="shared" si="16"/>
        <v>444429</v>
      </c>
      <c r="J89" s="155">
        <f t="shared" si="16"/>
        <v>0</v>
      </c>
      <c r="K89" s="155">
        <f t="shared" si="16"/>
        <v>-444797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165</v>
      </c>
      <c r="E91" s="160">
        <f t="shared" ref="E91:M91" si="19">+E82+E89</f>
        <v>-23738576.909000367</v>
      </c>
      <c r="F91" s="160">
        <f t="shared" si="19"/>
        <v>0</v>
      </c>
      <c r="G91" s="160">
        <f t="shared" si="19"/>
        <v>-15315601.85</v>
      </c>
      <c r="H91" s="160">
        <f t="shared" si="19"/>
        <v>0</v>
      </c>
      <c r="I91" s="160">
        <f t="shared" si="19"/>
        <v>1610901.0809996631</v>
      </c>
      <c r="J91" s="160">
        <f t="shared" si="19"/>
        <v>165</v>
      </c>
      <c r="K91" s="160">
        <f t="shared" si="19"/>
        <v>-11149694.699999996</v>
      </c>
      <c r="L91" s="160">
        <f t="shared" si="19"/>
        <v>0</v>
      </c>
      <c r="M91" s="160">
        <f t="shared" si="19"/>
        <v>4533721.5600000005</v>
      </c>
      <c r="N91" s="160">
        <f t="shared" ref="N91:AE91" si="20">+N82+N89</f>
        <v>0</v>
      </c>
      <c r="O91" s="160">
        <f t="shared" si="20"/>
        <v>-3417903.0000000005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42" activePane="bottomRight" state="frozen"/>
      <selection activeCell="N16" sqref="N16"/>
      <selection pane="topRight" activeCell="N16" sqref="N16"/>
      <selection pane="bottomLeft" activeCell="N16" sqref="N16"/>
      <selection pane="bottomRight" activeCell="D47" sqref="D4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D58" activePane="bottomRight" state="frozen"/>
      <selection activeCell="N16" sqref="N16"/>
      <selection pane="topRight" activeCell="N16" sqref="N16"/>
      <selection pane="bottomLeft" activeCell="N16" sqref="N16"/>
      <selection pane="bottomRight" activeCell="A71" sqref="A7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14711696</v>
      </c>
      <c r="E11" s="38">
        <f>SUM(G11,I11,K11,M11,O11,Q11,S11,U11,W11,Y11,AA11,AC11,AE11)</f>
        <v>60584597.840000004</v>
      </c>
      <c r="F11" s="60">
        <f>'TIE-OUT'!V11+RECLASS!T11</f>
        <v>0</v>
      </c>
      <c r="G11" s="38">
        <f>'TIE-OUT'!W11+RECLASS!U11</f>
        <v>0</v>
      </c>
      <c r="H11" s="118">
        <f>+Actuals!E444</f>
        <v>15034964</v>
      </c>
      <c r="I11" s="119">
        <f>+Actuals!F444</f>
        <v>62442853.840000004</v>
      </c>
      <c r="J11" s="118">
        <v>-372007</v>
      </c>
      <c r="K11" s="119">
        <v>-1815488.22</v>
      </c>
      <c r="L11" s="118">
        <v>63027</v>
      </c>
      <c r="M11" s="119">
        <v>56017.97</v>
      </c>
      <c r="N11" s="118">
        <v>-14288</v>
      </c>
      <c r="O11" s="119">
        <v>-98785.75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3737063.63</v>
      </c>
      <c r="F12" s="60">
        <f>'TIE-OUT'!V12+RECLASS!T12</f>
        <v>0</v>
      </c>
      <c r="G12" s="38">
        <f>'TIE-OUT'!W12+RECLASS!U12</f>
        <v>3737063.63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4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12450000</v>
      </c>
      <c r="E13" s="38">
        <f t="shared" si="0"/>
        <v>43694930</v>
      </c>
      <c r="F13" s="60">
        <f>'TIE-OUT'!V13+RECLASS!T13</f>
        <v>0</v>
      </c>
      <c r="G13" s="38">
        <f>'TIE-OUT'!W13+RECLASS!U13</f>
        <v>0</v>
      </c>
      <c r="H13" s="118">
        <f>+Actuals!E446</f>
        <v>10189948</v>
      </c>
      <c r="I13" s="119">
        <f>+Actuals!F446</f>
        <v>43284349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v>2260052</v>
      </c>
      <c r="O13" s="119">
        <v>410581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1708322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1554000</v>
      </c>
      <c r="J15" s="118">
        <f>+Actuals!G448</f>
        <v>0</v>
      </c>
      <c r="K15" s="119">
        <v>107100</v>
      </c>
      <c r="L15" s="118">
        <f>+Actuals!I448</f>
        <v>0</v>
      </c>
      <c r="M15" s="119">
        <v>47222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27161696</v>
      </c>
      <c r="E16" s="39">
        <f t="shared" si="1"/>
        <v>109724913.47</v>
      </c>
      <c r="F16" s="61">
        <f t="shared" si="1"/>
        <v>0</v>
      </c>
      <c r="G16" s="39">
        <f t="shared" si="1"/>
        <v>3737063.63</v>
      </c>
      <c r="H16" s="61">
        <f t="shared" si="1"/>
        <v>25224912</v>
      </c>
      <c r="I16" s="39">
        <f t="shared" si="1"/>
        <v>107281202.84</v>
      </c>
      <c r="J16" s="61">
        <f t="shared" ref="J16:AO16" si="2">SUM(J11:J15)</f>
        <v>-372007</v>
      </c>
      <c r="K16" s="39">
        <f t="shared" si="2"/>
        <v>-1708388.22</v>
      </c>
      <c r="L16" s="61">
        <f t="shared" si="2"/>
        <v>63027</v>
      </c>
      <c r="M16" s="39">
        <f t="shared" si="2"/>
        <v>103239.97</v>
      </c>
      <c r="N16" s="61">
        <f t="shared" si="2"/>
        <v>2245764</v>
      </c>
      <c r="O16" s="39">
        <f t="shared" si="2"/>
        <v>311795.25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-8014020</v>
      </c>
      <c r="E19" s="38">
        <f t="shared" si="3"/>
        <v>-34835907.419999994</v>
      </c>
      <c r="F19" s="64">
        <f>'TIE-OUT'!V19+RECLASS!T19</f>
        <v>0</v>
      </c>
      <c r="G19" s="68">
        <f>'TIE-OUT'!W19+RECLASS!U19</f>
        <v>0</v>
      </c>
      <c r="H19" s="118">
        <f>+Actuals!E449</f>
        <v>-7962551</v>
      </c>
      <c r="I19" s="119">
        <f>+Actuals!F449</f>
        <v>-33244105.52</v>
      </c>
      <c r="J19" s="118">
        <f>-187792+136800</f>
        <v>-50992</v>
      </c>
      <c r="K19" s="119">
        <f>-723167.57-599143</f>
        <v>-1322310.5699999998</v>
      </c>
      <c r="L19" s="118">
        <v>-954</v>
      </c>
      <c r="M19" s="119">
        <v>-271509.03999999998</v>
      </c>
      <c r="N19" s="118">
        <v>477</v>
      </c>
      <c r="O19" s="119">
        <v>2017.71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120337.63</v>
      </c>
      <c r="F20" s="60">
        <f>'TIE-OUT'!V20+RECLASS!T20</f>
        <v>0</v>
      </c>
      <c r="G20" s="38">
        <f>'TIE-OUT'!W20+RECLASS!U20</f>
        <v>120337.63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4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-12450000</v>
      </c>
      <c r="E21" s="38">
        <f t="shared" si="3"/>
        <v>-43694930</v>
      </c>
      <c r="F21" s="60">
        <f>'TIE-OUT'!V21+RECLASS!T21</f>
        <v>0</v>
      </c>
      <c r="G21" s="38">
        <f>'TIE-OUT'!W21+RECLASS!U21</f>
        <v>0</v>
      </c>
      <c r="H21" s="118">
        <f>+Actuals!E451</f>
        <v>-10189948</v>
      </c>
      <c r="I21" s="119">
        <f>+Actuals!F451</f>
        <v>-43284349</v>
      </c>
      <c r="J21" s="118">
        <f>+Actuals!G451</f>
        <v>0</v>
      </c>
      <c r="K21" s="119">
        <f>+Actuals!H451</f>
        <v>0</v>
      </c>
      <c r="L21" s="118">
        <f>+Actuals!I451</f>
        <v>0</v>
      </c>
      <c r="M21" s="119">
        <f>+Actuals!J451</f>
        <v>0</v>
      </c>
      <c r="N21" s="118">
        <v>-2260052</v>
      </c>
      <c r="O21" s="119">
        <v>-410581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144584</v>
      </c>
      <c r="E23" s="38">
        <f t="shared" si="3"/>
        <v>632481.84299999999</v>
      </c>
      <c r="F23" s="81">
        <f>'TIE-OUT'!V23+RECLASS!T23</f>
        <v>0</v>
      </c>
      <c r="G23" s="82">
        <f>'TIE-OUT'!W23+RECLASS!U23</f>
        <v>0</v>
      </c>
      <c r="H23" s="118">
        <f>+Actuals!E453</f>
        <v>12541</v>
      </c>
      <c r="I23" s="119">
        <f>+Actuals!F453</f>
        <v>53713.103000000003</v>
      </c>
      <c r="J23" s="118">
        <v>136800</v>
      </c>
      <c r="K23" s="119">
        <v>599142.97</v>
      </c>
      <c r="L23" s="118">
        <v>-4757</v>
      </c>
      <c r="M23" s="119">
        <v>-20374.23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-20319436</v>
      </c>
      <c r="E24" s="39">
        <f t="shared" si="4"/>
        <v>-77778017.946999997</v>
      </c>
      <c r="F24" s="61">
        <f t="shared" si="4"/>
        <v>0</v>
      </c>
      <c r="G24" s="39">
        <f t="shared" si="4"/>
        <v>120337.63</v>
      </c>
      <c r="H24" s="61">
        <f t="shared" si="4"/>
        <v>-18139958</v>
      </c>
      <c r="I24" s="39">
        <f t="shared" si="4"/>
        <v>-76474741.416999996</v>
      </c>
      <c r="J24" s="61">
        <f t="shared" ref="J24:AO24" si="5">SUM(J19:J23)</f>
        <v>85808</v>
      </c>
      <c r="K24" s="39">
        <f t="shared" si="5"/>
        <v>-723167.59999999986</v>
      </c>
      <c r="L24" s="61">
        <f t="shared" si="5"/>
        <v>-5711</v>
      </c>
      <c r="M24" s="39">
        <f t="shared" si="5"/>
        <v>-291883.26999999996</v>
      </c>
      <c r="N24" s="61">
        <f t="shared" si="5"/>
        <v>-2259575</v>
      </c>
      <c r="O24" s="39">
        <f t="shared" si="5"/>
        <v>-408563.29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13507668</v>
      </c>
      <c r="E27" s="38">
        <f>SUM(G27,I27,K27,M27,O27,Q27,S27,U27,W27,Y27,AA27,AC27,AE27)</f>
        <v>57872197.150000006</v>
      </c>
      <c r="F27" s="64">
        <f>'TIE-OUT'!V27+RECLASS!T27</f>
        <v>0</v>
      </c>
      <c r="G27" s="68">
        <f>'TIE-OUT'!W27+RECLASS!U27</f>
        <v>0</v>
      </c>
      <c r="H27" s="118">
        <f>+Actuals!E454</f>
        <v>11718416</v>
      </c>
      <c r="I27" s="119">
        <f>+Actuals!F454</f>
        <v>50214070.700000003</v>
      </c>
      <c r="J27" s="118">
        <v>1824315</v>
      </c>
      <c r="K27" s="119">
        <v>7808729.5899999999</v>
      </c>
      <c r="L27" s="118">
        <v>-34586</v>
      </c>
      <c r="M27" s="119">
        <v>-148560.42000000001</v>
      </c>
      <c r="N27" s="118">
        <v>-477</v>
      </c>
      <c r="O27" s="119">
        <v>-2042.72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-19974087</v>
      </c>
      <c r="E28" s="38">
        <f>SUM(G28,I28,K28,M28,O28,Q28,S28,U28,W28,Y28,AA28,AC28,AE28)</f>
        <v>-85676158.66399999</v>
      </c>
      <c r="F28" s="81">
        <f>'TIE-OUT'!V28+RECLASS!T28</f>
        <v>0</v>
      </c>
      <c r="G28" s="82">
        <f>'TIE-OUT'!W28+RECLASS!U28</f>
        <v>0</v>
      </c>
      <c r="H28" s="118">
        <f>+Actuals!E455</f>
        <v>-12619803</v>
      </c>
      <c r="I28" s="119">
        <f>+Actuals!F455</f>
        <v>-54182409.409999996</v>
      </c>
      <c r="J28" s="118">
        <v>-7309109</v>
      </c>
      <c r="K28" s="119">
        <v>-31302014.66</v>
      </c>
      <c r="L28" s="118">
        <v>-21499</v>
      </c>
      <c r="M28" s="119">
        <v>-93237.873999999996</v>
      </c>
      <c r="N28" s="118">
        <v>-23676</v>
      </c>
      <c r="O28" s="119">
        <v>-98496.72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-6466419</v>
      </c>
      <c r="E29" s="39">
        <f t="shared" si="6"/>
        <v>-27803961.513999984</v>
      </c>
      <c r="F29" s="61">
        <f t="shared" si="6"/>
        <v>0</v>
      </c>
      <c r="G29" s="39">
        <f t="shared" si="6"/>
        <v>0</v>
      </c>
      <c r="H29" s="61">
        <f t="shared" si="6"/>
        <v>-901387</v>
      </c>
      <c r="I29" s="39">
        <f t="shared" si="6"/>
        <v>-3968338.7099999934</v>
      </c>
      <c r="J29" s="61">
        <f t="shared" ref="J29:AO29" si="7">SUM(J27:J28)</f>
        <v>-5484794</v>
      </c>
      <c r="K29" s="39">
        <f t="shared" si="7"/>
        <v>-23493285.07</v>
      </c>
      <c r="L29" s="61">
        <f t="shared" si="7"/>
        <v>-56085</v>
      </c>
      <c r="M29" s="39">
        <f t="shared" si="7"/>
        <v>-241798.29399999999</v>
      </c>
      <c r="N29" s="61">
        <f t="shared" si="7"/>
        <v>-24153</v>
      </c>
      <c r="O29" s="39">
        <f t="shared" si="7"/>
        <v>-100539.44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-43781</v>
      </c>
      <c r="E32" s="38">
        <f t="shared" si="8"/>
        <v>-196308.19899999816</v>
      </c>
      <c r="F32" s="64">
        <f>'TIE-OUT'!V32+RECLASS!T32</f>
        <v>0</v>
      </c>
      <c r="G32" s="68">
        <f>'TIE-OUT'!W32+RECLASS!U32</f>
        <v>0</v>
      </c>
      <c r="H32" s="118">
        <f>+Actuals!E456</f>
        <v>-5948543</v>
      </c>
      <c r="I32" s="119">
        <f>+Actuals!F456</f>
        <v>-25477609.669</v>
      </c>
      <c r="J32" s="118">
        <v>5749053</v>
      </c>
      <c r="K32" s="119">
        <v>24614328.760000002</v>
      </c>
      <c r="L32" s="118">
        <v>93526</v>
      </c>
      <c r="M32" s="119">
        <v>400642.92</v>
      </c>
      <c r="N32" s="118">
        <v>62183</v>
      </c>
      <c r="O32" s="119">
        <v>266329.78999999998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-6870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v>-183064</v>
      </c>
      <c r="M35" s="119">
        <f>+Actuals!J459</f>
        <v>0</v>
      </c>
      <c r="N35" s="118">
        <v>176194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-50651</v>
      </c>
      <c r="E36" s="39">
        <f t="shared" si="9"/>
        <v>-196308.19899999816</v>
      </c>
      <c r="F36" s="61">
        <f t="shared" si="9"/>
        <v>0</v>
      </c>
      <c r="G36" s="39">
        <f t="shared" si="9"/>
        <v>0</v>
      </c>
      <c r="H36" s="61">
        <f t="shared" si="9"/>
        <v>-5948543</v>
      </c>
      <c r="I36" s="39">
        <f t="shared" si="9"/>
        <v>-25477609.669</v>
      </c>
      <c r="J36" s="61">
        <f t="shared" ref="J36:AO36" si="10">SUM(J32:J35)</f>
        <v>5749053</v>
      </c>
      <c r="K36" s="39">
        <f t="shared" si="10"/>
        <v>24614328.760000002</v>
      </c>
      <c r="L36" s="61">
        <f t="shared" si="10"/>
        <v>-89538</v>
      </c>
      <c r="M36" s="39">
        <f t="shared" si="10"/>
        <v>400642.92</v>
      </c>
      <c r="N36" s="61">
        <f t="shared" si="10"/>
        <v>238377</v>
      </c>
      <c r="O36" s="39">
        <f t="shared" si="10"/>
        <v>266329.78999999998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-31402</v>
      </c>
      <c r="E39" s="38">
        <f t="shared" si="11"/>
        <v>-0.01</v>
      </c>
      <c r="F39" s="64">
        <f>'TIE-OUT'!V39+RECLASS!T39</f>
        <v>0</v>
      </c>
      <c r="G39" s="68">
        <f>'TIE-OUT'!W39+RECLASS!U39</f>
        <v>0</v>
      </c>
      <c r="H39" s="118">
        <f>+Actuals!E460</f>
        <v>-31402</v>
      </c>
      <c r="I39" s="119">
        <f>+Actuals!F460</f>
        <v>-0.01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-20000</v>
      </c>
      <c r="E40" s="38">
        <f t="shared" si="11"/>
        <v>-45190.889999999992</v>
      </c>
      <c r="F40" s="60">
        <f>'TIE-OUT'!V40+RECLASS!T40</f>
        <v>0</v>
      </c>
      <c r="G40" s="38">
        <f>'TIE-OUT'!W40+RECLASS!U40</f>
        <v>0</v>
      </c>
      <c r="H40" s="118">
        <f>+Actuals!E461</f>
        <v>-40000</v>
      </c>
      <c r="I40" s="119">
        <f>+Actuals!F461</f>
        <v>-90381.79</v>
      </c>
      <c r="J40" s="118">
        <v>20000</v>
      </c>
      <c r="K40" s="119">
        <v>45190.9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-20000</v>
      </c>
      <c r="E42" s="39">
        <f t="shared" si="12"/>
        <v>-45190.889999999992</v>
      </c>
      <c r="F42" s="61">
        <f t="shared" si="12"/>
        <v>0</v>
      </c>
      <c r="G42" s="39">
        <f t="shared" si="12"/>
        <v>0</v>
      </c>
      <c r="H42" s="61">
        <f t="shared" si="12"/>
        <v>-40000</v>
      </c>
      <c r="I42" s="39">
        <f t="shared" si="12"/>
        <v>-90381.79</v>
      </c>
      <c r="J42" s="61">
        <f t="shared" ref="J42:AO42" si="13">SUM(J40:J41)</f>
        <v>20000</v>
      </c>
      <c r="K42" s="39">
        <f t="shared" si="13"/>
        <v>45190.9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-51402</v>
      </c>
      <c r="E43" s="39">
        <f t="shared" si="14"/>
        <v>-45190.899999999994</v>
      </c>
      <c r="F43" s="61">
        <f t="shared" si="14"/>
        <v>0</v>
      </c>
      <c r="G43" s="39">
        <f t="shared" si="14"/>
        <v>0</v>
      </c>
      <c r="H43" s="61">
        <f t="shared" si="14"/>
        <v>-71402</v>
      </c>
      <c r="I43" s="39">
        <f t="shared" si="14"/>
        <v>-90381.799999999988</v>
      </c>
      <c r="J43" s="61">
        <f t="shared" ref="J43:AO43" si="15">J42+J39</f>
        <v>20000</v>
      </c>
      <c r="K43" s="39">
        <f t="shared" si="15"/>
        <v>45190.9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-188</v>
      </c>
      <c r="E49" s="38">
        <f>SUM(G49,I49,K49,M49,O49,Q49,S49,U49,W49,Y49,AA49,AC49,AE49)</f>
        <v>-805.20599999988917</v>
      </c>
      <c r="F49" s="60">
        <f>'TIE-OUT'!V49+RECLASS!T49</f>
        <v>0</v>
      </c>
      <c r="G49" s="38">
        <f>'TIE-OUT'!W49+RECLASS!U49</f>
        <v>0</v>
      </c>
      <c r="H49" s="118">
        <f>+Actuals!E465</f>
        <v>-163622</v>
      </c>
      <c r="I49" s="119">
        <f>+Actuals!F465</f>
        <v>-700793.02599999995</v>
      </c>
      <c r="J49" s="118">
        <v>275540</v>
      </c>
      <c r="K49" s="119">
        <v>1180137.82</v>
      </c>
      <c r="L49" s="118">
        <v>88307</v>
      </c>
      <c r="M49" s="119">
        <v>378218.88</v>
      </c>
      <c r="N49" s="118">
        <v>-200413</v>
      </c>
      <c r="O49" s="119">
        <v>-858368.88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-8207</v>
      </c>
      <c r="E51" s="38">
        <f>SUM(G51,I51,K51,M51,O51,Q51,S51,U51,W51,Y51,AA51,AC51,AE51)</f>
        <v>-35150.582999999999</v>
      </c>
      <c r="F51" s="60">
        <f>'TIE-OUT'!V51+RECLASS!T51</f>
        <v>0</v>
      </c>
      <c r="G51" s="38">
        <f>'TIE-OUT'!W51+RECLASS!U51</f>
        <v>0</v>
      </c>
      <c r="H51" s="118">
        <f>+Actuals!E466</f>
        <v>-12541</v>
      </c>
      <c r="I51" s="119">
        <f>+Actuals!F466</f>
        <v>-53713.103000000003</v>
      </c>
      <c r="J51" s="118">
        <v>-423</v>
      </c>
      <c r="K51" s="119">
        <v>-1811.71</v>
      </c>
      <c r="L51" s="118">
        <v>4757</v>
      </c>
      <c r="M51" s="119">
        <v>20374.23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-28043834</v>
      </c>
      <c r="E54" s="38">
        <f>SUM(G54,I54,K54,M54,O54,Q54,S54,U54,W54,Y54,AA54,AC54,AE54)</f>
        <v>-345652.11000000004</v>
      </c>
      <c r="F54" s="64">
        <f>'TIE-OUT'!V54+RECLASS!T54</f>
        <v>0</v>
      </c>
      <c r="G54" s="68">
        <f>'TIE-OUT'!W54+RECLASS!U54</f>
        <v>0</v>
      </c>
      <c r="H54" s="118">
        <f>+Actuals!E467</f>
        <v>-15438557</v>
      </c>
      <c r="I54" s="119">
        <f>+Actuals!F467</f>
        <v>-276381.89</v>
      </c>
      <c r="J54" s="118">
        <v>-11993472</v>
      </c>
      <c r="K54" s="119">
        <v>-57418.32</v>
      </c>
      <c r="L54" s="118">
        <v>-769210</v>
      </c>
      <c r="M54" s="119">
        <v>-17290.7</v>
      </c>
      <c r="N54" s="118">
        <v>157405</v>
      </c>
      <c r="O54" s="119">
        <v>5438.8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23344</v>
      </c>
      <c r="E55" s="38">
        <f>SUM(G55,I55,K55,M55,O55,Q55,S55,U55,W55,Y55,AA55,AC55,AE55)</f>
        <v>-278635.11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-160800</v>
      </c>
      <c r="J55" s="118">
        <f>+Actuals!G468</f>
        <v>0</v>
      </c>
      <c r="K55" s="119">
        <v>-117559.38</v>
      </c>
      <c r="L55" s="118">
        <v>23344</v>
      </c>
      <c r="M55" s="119">
        <v>-275.73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-28020490</v>
      </c>
      <c r="E56" s="39">
        <f t="shared" si="16"/>
        <v>-624287.22</v>
      </c>
      <c r="F56" s="61">
        <f t="shared" si="16"/>
        <v>0</v>
      </c>
      <c r="G56" s="39">
        <f t="shared" si="16"/>
        <v>0</v>
      </c>
      <c r="H56" s="61">
        <f t="shared" si="16"/>
        <v>-15438557</v>
      </c>
      <c r="I56" s="39">
        <f t="shared" si="16"/>
        <v>-437181.89</v>
      </c>
      <c r="J56" s="61">
        <f t="shared" ref="J56:AO56" si="17">SUM(J54:J55)</f>
        <v>-11993472</v>
      </c>
      <c r="K56" s="39">
        <f t="shared" si="17"/>
        <v>-174977.7</v>
      </c>
      <c r="L56" s="61">
        <f t="shared" si="17"/>
        <v>-745866</v>
      </c>
      <c r="M56" s="39">
        <f t="shared" si="17"/>
        <v>-17566.43</v>
      </c>
      <c r="N56" s="61">
        <f t="shared" si="17"/>
        <v>157405</v>
      </c>
      <c r="O56" s="39">
        <f t="shared" si="17"/>
        <v>5438.8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519130.8</v>
      </c>
      <c r="F70" s="64">
        <f>'TIE-OUT'!V70+RECLASS!T70</f>
        <v>0</v>
      </c>
      <c r="G70" s="68">
        <f>'TIE-OUT'!W70+RECLASS!U70</f>
        <v>519130.8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-6550905</v>
      </c>
      <c r="F71" s="81">
        <f>'TIE-OUT'!V71+RECLASS!T71</f>
        <v>0</v>
      </c>
      <c r="G71" s="82">
        <f>'TIE-OUT'!W71+RECLASS!U71</f>
        <v>-6550905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-6031774.2000000002</v>
      </c>
      <c r="F72" s="61">
        <f t="shared" si="22"/>
        <v>0</v>
      </c>
      <c r="G72" s="39">
        <f t="shared" si="22"/>
        <v>-6031774.2000000002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-70463.97</v>
      </c>
      <c r="F74" s="60">
        <f>'TIE-OUT'!V74+RECLASS!T74</f>
        <v>0</v>
      </c>
      <c r="G74" s="60">
        <f>'TIE-OUT'!W74+RECLASS!U74</f>
        <v>-70463.97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308</v>
      </c>
      <c r="F75" s="60">
        <f>'TIE-OUT'!V75+RECLASS!T75</f>
        <v>0</v>
      </c>
      <c r="G75" s="60">
        <f>'TIE-OUT'!W75+RECLASS!U75</f>
        <v>308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273600</v>
      </c>
      <c r="E82" s="92">
        <f>SUM(E72:E81)+E16+E24+E29+E36+E43+E45+E47+E49+E51+E56+E61+E66</f>
        <v>-2860738.2689999817</v>
      </c>
      <c r="F82" s="91">
        <f>F16+F24+F29+F36+F43+F45+F47+F49</f>
        <v>0</v>
      </c>
      <c r="G82" s="92">
        <f>SUM(G72:G81)+G16+G24+G29+G36+G43+G45+G47+G49+G51+G56+G61+G66</f>
        <v>-2244528.91</v>
      </c>
      <c r="H82" s="91">
        <f>H16+H24+H29+H36+H43+H45+H47+H49</f>
        <v>0</v>
      </c>
      <c r="I82" s="92">
        <f>SUM(I72:I81)+I16+I24+I29+I36+I43+I45+I47+I49+I51+I56+I61+I66</f>
        <v>78443.225000014645</v>
      </c>
      <c r="J82" s="91">
        <f>J16+J24+J29+J36+J43+J45+J47+J49</f>
        <v>273600</v>
      </c>
      <c r="K82" s="140">
        <f>SUM(K72:K81)+K16+K24+K29+K36+K43+K45+K47+K49+K51+K56+K61+K66</f>
        <v>-261972.81999999902</v>
      </c>
      <c r="L82" s="91">
        <f>L16+L24+L29+L36+L43+L45+L47+L49</f>
        <v>0</v>
      </c>
      <c r="M82" s="92">
        <f>SUM(M72:M81)+M16+M24+M29+M36+M43+M45+M47+M49+M51+M56+M61+M66</f>
        <v>351228.00600000005</v>
      </c>
      <c r="N82" s="91">
        <f>N16+N24+N29+N36+N43+N45+N47+N49</f>
        <v>0</v>
      </c>
      <c r="O82" s="92">
        <f>SUM(O72:O81)+O16+O24+O29+O36+O43+O45+O47+O49+O51+O56+O61+O66</f>
        <v>-783907.77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273600</v>
      </c>
      <c r="E91" s="155">
        <f t="shared" ref="E91:M91" si="29">+E82+E89</f>
        <v>-2860738.2689999817</v>
      </c>
      <c r="F91" s="155">
        <f t="shared" si="29"/>
        <v>0</v>
      </c>
      <c r="G91" s="155">
        <f t="shared" si="29"/>
        <v>-2244528.91</v>
      </c>
      <c r="H91" s="155">
        <f t="shared" si="29"/>
        <v>0</v>
      </c>
      <c r="I91" s="155">
        <f t="shared" si="29"/>
        <v>78443.225000014645</v>
      </c>
      <c r="J91" s="155">
        <f t="shared" si="29"/>
        <v>273600</v>
      </c>
      <c r="K91" s="155">
        <f t="shared" si="29"/>
        <v>-261972.81999999902</v>
      </c>
      <c r="L91" s="155">
        <f t="shared" si="29"/>
        <v>0</v>
      </c>
      <c r="M91" s="155">
        <f t="shared" si="29"/>
        <v>351228.00600000005</v>
      </c>
      <c r="N91" s="155">
        <f t="shared" ref="N91:AE91" si="30">+N82+N89</f>
        <v>0</v>
      </c>
      <c r="O91" s="155">
        <f t="shared" si="30"/>
        <v>-783907.77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E50" activePane="bottomRight" state="frozen"/>
      <selection activeCell="N16" sqref="N16"/>
      <selection pane="topRight" activeCell="N16" sqref="N16"/>
      <selection pane="bottomLeft" activeCell="N16" sqref="N16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114127</v>
      </c>
      <c r="E11" s="38">
        <f>SUM(G11,I11,K11,M11,O11,Q11,S11,U11,W11,Y11,AA11,AC11,AE11)</f>
        <v>502272.93</v>
      </c>
      <c r="F11" s="60">
        <f>'TIE-OUT'!T11+RECLASS!R11</f>
        <v>0</v>
      </c>
      <c r="G11" s="38">
        <f>'TIE-OUT'!U11+RECLASS!S11</f>
        <v>0</v>
      </c>
      <c r="H11" s="118">
        <f>+Actuals!E4</f>
        <v>111855</v>
      </c>
      <c r="I11" s="119">
        <f>+Actuals!F4</f>
        <v>492273.86</v>
      </c>
      <c r="J11" s="118">
        <v>2272</v>
      </c>
      <c r="K11" s="119">
        <v>9999.07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-1728</v>
      </c>
      <c r="F12" s="60">
        <f>'TIE-OUT'!T12+RECLASS!R12</f>
        <v>0</v>
      </c>
      <c r="G12" s="38">
        <f>'TIE-OUT'!U12+RECLASS!S12</f>
        <v>-1728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114127</v>
      </c>
      <c r="E16" s="39">
        <f t="shared" si="1"/>
        <v>500544.93</v>
      </c>
      <c r="F16" s="61">
        <f t="shared" si="1"/>
        <v>0</v>
      </c>
      <c r="G16" s="39">
        <f t="shared" si="1"/>
        <v>-1728</v>
      </c>
      <c r="H16" s="61">
        <f t="shared" si="1"/>
        <v>111855</v>
      </c>
      <c r="I16" s="39">
        <f t="shared" si="1"/>
        <v>492273.86</v>
      </c>
      <c r="J16" s="61">
        <f t="shared" si="1"/>
        <v>2272</v>
      </c>
      <c r="K16" s="39">
        <f t="shared" si="1"/>
        <v>9999.07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9717.56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</f>
        <v>0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v>9717.56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9717.56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9717.56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-114127</v>
      </c>
      <c r="E28" s="38">
        <f>SUM(G28,I28,K28,M28,O28,Q28,S28,U28,W28,Y28,AA28,AC28,AE28)</f>
        <v>-499876.26</v>
      </c>
      <c r="F28" s="81">
        <f>'TIE-OUT'!T28+RECLASS!R28</f>
        <v>0</v>
      </c>
      <c r="G28" s="82">
        <f>'TIE-OUT'!U28+RECLASS!S28</f>
        <v>0</v>
      </c>
      <c r="H28" s="118">
        <f>+Actuals!E15</f>
        <v>-111855</v>
      </c>
      <c r="I28" s="119">
        <f>+Actuals!F15</f>
        <v>-489924.9</v>
      </c>
      <c r="J28" s="118">
        <v>-2272</v>
      </c>
      <c r="K28" s="119">
        <v>-9951.36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-114127</v>
      </c>
      <c r="E29" s="39">
        <f t="shared" si="4"/>
        <v>-499876.26</v>
      </c>
      <c r="F29" s="61">
        <f t="shared" si="4"/>
        <v>0</v>
      </c>
      <c r="G29" s="39">
        <f t="shared" si="4"/>
        <v>0</v>
      </c>
      <c r="H29" s="61">
        <f t="shared" si="4"/>
        <v>-111855</v>
      </c>
      <c r="I29" s="39">
        <f t="shared" si="4"/>
        <v>-489924.9</v>
      </c>
      <c r="J29" s="61">
        <f t="shared" si="4"/>
        <v>-2272</v>
      </c>
      <c r="K29" s="39">
        <f t="shared" si="4"/>
        <v>-9951.36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-271480</v>
      </c>
      <c r="E54" s="38">
        <f>SUM(G54,I54,K54,M54,O54,Q54,S54,U54,W54,Y54,AA54,AC54,AE54)</f>
        <v>-1172793.6000000001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v>-271480</v>
      </c>
      <c r="K54" s="119">
        <v>-1172793.6000000001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-271480</v>
      </c>
      <c r="E56" s="39">
        <f t="shared" si="10"/>
        <v>-1172793.6000000001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-271480</v>
      </c>
      <c r="K56" s="39">
        <f t="shared" si="10"/>
        <v>-1172793.6000000001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+Actuals!F43-24836</f>
        <v>-24836</v>
      </c>
      <c r="J81" s="118">
        <f>+Actuals!G43</f>
        <v>0</v>
      </c>
      <c r="K81" s="139">
        <v>24836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-1162407.3700000001</v>
      </c>
      <c r="F82" s="91">
        <f>F16+F24+F29+F36+F43+F45+F47+F49</f>
        <v>0</v>
      </c>
      <c r="G82" s="92">
        <f>SUM(G72:G81)+G16+G24+G29+G36+G43+G45+G47+G49+G51+G56+G61+G66</f>
        <v>-1728</v>
      </c>
      <c r="H82" s="91">
        <f>H16+H24+H29+H36+H43+H45+H47+H49</f>
        <v>0</v>
      </c>
      <c r="I82" s="92">
        <f>SUM(I72:I81)+I16+I24+I29+I36+I43+I45+I47+I49+I51+I56+I61+I66</f>
        <v>-22487.040000000037</v>
      </c>
      <c r="J82" s="91">
        <f>J16+J24+J29+J36+J43+J45+J47+J49</f>
        <v>0</v>
      </c>
      <c r="K82" s="110">
        <f>SUM(K72:K81)+K16+K24+K29+K36+K43+K45+K47+K49+K51+K56+K61+K66</f>
        <v>-1147909.8900000001</v>
      </c>
      <c r="L82" s="91">
        <f>L16+L24+L29+L36+L43+L45+L47+L49</f>
        <v>0</v>
      </c>
      <c r="M82" s="92">
        <f>SUM(M72:M81)+M16+M24+M29+M36+M43+M45+M47+M49+M51+M56+M61+M66</f>
        <v>9717.56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I58" activePane="bottomRight" state="frozen"/>
      <selection activeCell="N16" sqref="N16"/>
      <selection pane="topRight" activeCell="N16" sqref="N16"/>
      <selection pane="bottomLeft" activeCell="N16" sqref="N16"/>
      <selection pane="bottomRight" activeCell="AV74" sqref="AV74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3" width="10.285156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54006730</v>
      </c>
      <c r="E11" s="38">
        <f>SUM(G11,I11,K11,M11,O11,Q11,S11,U11,W11,Y11,AA11,AC11,AE11)</f>
        <v>230193991.70999998</v>
      </c>
      <c r="F11" s="60">
        <f>'TIE-OUT'!X11+RECLASS!V11</f>
        <v>0</v>
      </c>
      <c r="G11" s="38">
        <f>'TIE-OUT'!Y11+RECLASS!W11</f>
        <v>0</v>
      </c>
      <c r="H11" s="118">
        <v>53658744</v>
      </c>
      <c r="I11" s="118">
        <v>228503241</v>
      </c>
      <c r="J11" s="118">
        <v>882005</v>
      </c>
      <c r="K11" s="119">
        <v>3289716.53</v>
      </c>
      <c r="L11" s="118">
        <v>-546723</v>
      </c>
      <c r="M11" s="119">
        <v>-1670554.74</v>
      </c>
      <c r="N11" s="118">
        <v>12704</v>
      </c>
      <c r="O11" s="119">
        <f>60913.92+10675</f>
        <v>71588.92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4145252.62</v>
      </c>
      <c r="F12" s="60">
        <f>'TIE-OUT'!X12+RECLASS!V12</f>
        <v>0</v>
      </c>
      <c r="G12" s="38">
        <f>'TIE-OUT'!Y12+RECLASS!W12</f>
        <v>2725515.13</v>
      </c>
      <c r="H12" s="118">
        <v>0</v>
      </c>
      <c r="I12" s="118">
        <v>0</v>
      </c>
      <c r="J12" s="118">
        <v>0</v>
      </c>
      <c r="K12" s="214">
        <v>0</v>
      </c>
      <c r="L12" s="118">
        <v>0</v>
      </c>
      <c r="M12" s="119">
        <v>1419737.49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-1695135.94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398744.4</v>
      </c>
      <c r="L15" s="118">
        <v>0</v>
      </c>
      <c r="M15" s="119">
        <v>-2015492.46</v>
      </c>
      <c r="N15" s="118">
        <v>0</v>
      </c>
      <c r="O15" s="119">
        <v>-78387.88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54006730</v>
      </c>
      <c r="E16" s="39">
        <f t="shared" si="1"/>
        <v>232644108.38999999</v>
      </c>
      <c r="F16" s="61">
        <f t="shared" si="1"/>
        <v>0</v>
      </c>
      <c r="G16" s="39">
        <f t="shared" si="1"/>
        <v>2725515.13</v>
      </c>
      <c r="H16" s="61">
        <f t="shared" si="1"/>
        <v>53658744</v>
      </c>
      <c r="I16" s="61">
        <f t="shared" si="1"/>
        <v>228503241</v>
      </c>
      <c r="J16" s="61">
        <f t="shared" si="1"/>
        <v>882005</v>
      </c>
      <c r="K16" s="39">
        <f t="shared" si="1"/>
        <v>3688460.9299999997</v>
      </c>
      <c r="L16" s="61">
        <f t="shared" si="1"/>
        <v>-546723</v>
      </c>
      <c r="M16" s="39">
        <f t="shared" si="1"/>
        <v>-2266309.71</v>
      </c>
      <c r="N16" s="61">
        <f t="shared" si="1"/>
        <v>12704</v>
      </c>
      <c r="O16" s="39">
        <f t="shared" si="1"/>
        <v>-6798.9600000000064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-60194608</v>
      </c>
      <c r="E19" s="38">
        <f t="shared" si="2"/>
        <v>-254139411.01000002</v>
      </c>
      <c r="F19" s="64">
        <f>'TIE-OUT'!X19+RECLASS!V19</f>
        <v>0</v>
      </c>
      <c r="G19" s="68">
        <f>'TIE-OUT'!Y19+RECLASS!W19</f>
        <v>0</v>
      </c>
      <c r="H19" s="118">
        <v>-60894954</v>
      </c>
      <c r="I19" s="118">
        <v>-257546382</v>
      </c>
      <c r="J19" s="118">
        <v>281238</v>
      </c>
      <c r="K19" s="119">
        <v>1419973.53</v>
      </c>
      <c r="L19" s="118">
        <v>381191</v>
      </c>
      <c r="M19" s="119">
        <v>1719976.67</v>
      </c>
      <c r="N19" s="118">
        <v>37917</v>
      </c>
      <c r="O19" s="119">
        <v>267020.78999999998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2639119.3500000006</v>
      </c>
      <c r="F20" s="60">
        <f>'TIE-OUT'!X20+RECLASS!V20</f>
        <v>0</v>
      </c>
      <c r="G20" s="38">
        <f>'TIE-OUT'!Y20+RECLASS!W20</f>
        <v>-9988575.4499999993</v>
      </c>
      <c r="H20" s="118">
        <v>0</v>
      </c>
      <c r="I20" s="118">
        <v>0</v>
      </c>
      <c r="J20" s="118">
        <v>0</v>
      </c>
      <c r="K20" s="214">
        <v>0</v>
      </c>
      <c r="L20" s="118">
        <v>0</v>
      </c>
      <c r="M20" s="119">
        <v>5756986.21</v>
      </c>
      <c r="N20" s="118">
        <v>0</v>
      </c>
      <c r="O20" s="139">
        <v>6870708.5899999999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-60194608</v>
      </c>
      <c r="E24" s="39">
        <f t="shared" si="3"/>
        <v>-251500291.66000003</v>
      </c>
      <c r="F24" s="61">
        <f t="shared" si="3"/>
        <v>0</v>
      </c>
      <c r="G24" s="39">
        <f t="shared" si="3"/>
        <v>-9988575.4499999993</v>
      </c>
      <c r="H24" s="61">
        <f>SUM(H19:H23)</f>
        <v>-60894954</v>
      </c>
      <c r="I24" s="39">
        <f>SUM(I19:I23)</f>
        <v>-257546382</v>
      </c>
      <c r="J24" s="61">
        <f t="shared" si="3"/>
        <v>281238</v>
      </c>
      <c r="K24" s="39">
        <f t="shared" si="3"/>
        <v>1419973.53</v>
      </c>
      <c r="L24" s="61">
        <f t="shared" si="3"/>
        <v>381191</v>
      </c>
      <c r="M24" s="39">
        <f t="shared" si="3"/>
        <v>7476962.8799999999</v>
      </c>
      <c r="N24" s="61">
        <f t="shared" si="3"/>
        <v>37917</v>
      </c>
      <c r="O24" s="39">
        <f t="shared" si="3"/>
        <v>7137729.3799999999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20623297</v>
      </c>
      <c r="E27" s="38">
        <f>SUM(G27,I27,K27,M27,O27,Q27,S27,U27,W27,Y27,AA27,AC27,AE27)</f>
        <v>87297113.010000005</v>
      </c>
      <c r="F27" s="64">
        <f>'TIE-OUT'!X27+RECLASS!V27</f>
        <v>0</v>
      </c>
      <c r="G27" s="68">
        <f>'TIE-OUT'!Y27+RECLASS!W27</f>
        <v>0</v>
      </c>
      <c r="H27" s="118">
        <f>13145771+111855</f>
        <v>13257626</v>
      </c>
      <c r="I27" s="118">
        <f>56253194+489925</f>
        <v>56743119</v>
      </c>
      <c r="J27" s="118">
        <v>7346990</v>
      </c>
      <c r="K27" s="119">
        <v>30471797.059999999</v>
      </c>
      <c r="L27" s="118">
        <v>21499</v>
      </c>
      <c r="M27" s="119">
        <v>93237.87</v>
      </c>
      <c r="N27" s="118">
        <v>-2818</v>
      </c>
      <c r="O27" s="119">
        <v>-11040.92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-14935817</v>
      </c>
      <c r="E28" s="38">
        <f>SUM(G28,I28,K28,M28,O28,Q28,S28,U28,W28,Y28,AA28,AC28,AE28)</f>
        <v>-63918296.479999997</v>
      </c>
      <c r="F28" s="81">
        <f>'TIE-OUT'!X28+RECLASS!V28</f>
        <v>0</v>
      </c>
      <c r="G28" s="82">
        <f>'TIE-OUT'!Y28+RECLASS!W28</f>
        <v>0</v>
      </c>
      <c r="H28" s="118">
        <v>-13087628</v>
      </c>
      <c r="I28" s="118">
        <v>-56015070</v>
      </c>
      <c r="J28" s="118">
        <v>-1852065</v>
      </c>
      <c r="K28" s="119">
        <v>-7914307.4000000004</v>
      </c>
      <c r="L28" s="118">
        <v>27539</v>
      </c>
      <c r="M28" s="119">
        <v>109096.09</v>
      </c>
      <c r="N28" s="118">
        <v>-23663</v>
      </c>
      <c r="O28" s="119">
        <v>-98015.17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5687480</v>
      </c>
      <c r="E29" s="39">
        <f t="shared" si="4"/>
        <v>23378816.530000009</v>
      </c>
      <c r="F29" s="61">
        <f t="shared" si="4"/>
        <v>0</v>
      </c>
      <c r="G29" s="39">
        <f t="shared" si="4"/>
        <v>0</v>
      </c>
      <c r="H29" s="61">
        <f t="shared" si="4"/>
        <v>169998</v>
      </c>
      <c r="I29" s="61">
        <f t="shared" si="4"/>
        <v>728049</v>
      </c>
      <c r="J29" s="61">
        <f t="shared" si="4"/>
        <v>5494925</v>
      </c>
      <c r="K29" s="39">
        <f t="shared" si="4"/>
        <v>22557489.659999996</v>
      </c>
      <c r="L29" s="61">
        <f t="shared" si="4"/>
        <v>49038</v>
      </c>
      <c r="M29" s="39">
        <f t="shared" si="4"/>
        <v>202333.96</v>
      </c>
      <c r="N29" s="61">
        <f t="shared" si="4"/>
        <v>-26481</v>
      </c>
      <c r="O29" s="39">
        <f t="shared" si="4"/>
        <v>-109056.09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254194</v>
      </c>
      <c r="E32" s="38">
        <f t="shared" si="5"/>
        <v>1088712.9100000001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32379</v>
      </c>
      <c r="K32" s="119">
        <v>138679.26</v>
      </c>
      <c r="L32" s="118">
        <v>94196</v>
      </c>
      <c r="M32" s="119">
        <v>403441.47</v>
      </c>
      <c r="N32" s="118">
        <v>127619</v>
      </c>
      <c r="O32" s="119">
        <v>546592.18000000005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254194</v>
      </c>
      <c r="E36" s="39">
        <f t="shared" si="6"/>
        <v>1088712.9100000001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32379</v>
      </c>
      <c r="K36" s="39">
        <f t="shared" si="6"/>
        <v>138679.26</v>
      </c>
      <c r="L36" s="61">
        <f t="shared" si="6"/>
        <v>94196</v>
      </c>
      <c r="M36" s="39">
        <f t="shared" si="6"/>
        <v>403441.47</v>
      </c>
      <c r="N36" s="61">
        <f t="shared" si="6"/>
        <v>127619</v>
      </c>
      <c r="O36" s="39">
        <f t="shared" si="6"/>
        <v>546592.18000000005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319106</v>
      </c>
      <c r="E39" s="38">
        <f t="shared" si="7"/>
        <v>1347643.23</v>
      </c>
      <c r="F39" s="64">
        <f>'TIE-OUT'!X39+RECLASS!V39</f>
        <v>0</v>
      </c>
      <c r="G39" s="68">
        <f>'TIE-OUT'!Y39+RECLASS!W39</f>
        <v>0</v>
      </c>
      <c r="H39" s="118">
        <v>339373</v>
      </c>
      <c r="I39" s="118">
        <v>1498170</v>
      </c>
      <c r="J39" s="118">
        <v>-20267</v>
      </c>
      <c r="K39" s="119">
        <v>-88359.77</v>
      </c>
      <c r="L39" s="118">
        <v>0</v>
      </c>
      <c r="M39" s="119">
        <v>-62167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4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319106</v>
      </c>
      <c r="E43" s="39">
        <f t="shared" si="9"/>
        <v>1347643.23</v>
      </c>
      <c r="F43" s="61">
        <f t="shared" si="9"/>
        <v>0</v>
      </c>
      <c r="G43" s="39">
        <f t="shared" si="9"/>
        <v>0</v>
      </c>
      <c r="H43" s="61">
        <f t="shared" si="9"/>
        <v>339373</v>
      </c>
      <c r="I43" s="61">
        <f t="shared" si="9"/>
        <v>1498170</v>
      </c>
      <c r="J43" s="61">
        <f t="shared" si="9"/>
        <v>-20267</v>
      </c>
      <c r="K43" s="39">
        <f t="shared" si="9"/>
        <v>-88359.77</v>
      </c>
      <c r="L43" s="61">
        <f t="shared" si="9"/>
        <v>0</v>
      </c>
      <c r="M43" s="39">
        <f t="shared" si="9"/>
        <v>-62167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-72902</v>
      </c>
      <c r="E49" s="38">
        <f>SUM(G49,I49,K49,M49,O49,Q49,S49,U49,W49,Y49,AA49,AC49,AE49)</f>
        <v>-312239.70999999839</v>
      </c>
      <c r="F49" s="60">
        <f>'TIE-OUT'!X49+RECLASS!V49</f>
        <v>0</v>
      </c>
      <c r="G49" s="38">
        <f>'TIE-OUT'!Y49+RECLASS!W49</f>
        <v>0</v>
      </c>
      <c r="H49" s="118">
        <v>6726839</v>
      </c>
      <c r="I49" s="118">
        <v>28811051</v>
      </c>
      <c r="J49" s="118">
        <v>-6670280</v>
      </c>
      <c r="K49" s="119">
        <v>-28568809.239999998</v>
      </c>
      <c r="L49" s="118">
        <v>22298</v>
      </c>
      <c r="M49" s="119">
        <v>95502.33</v>
      </c>
      <c r="N49" s="118">
        <v>-151759</v>
      </c>
      <c r="O49" s="119">
        <v>-649983.80000000005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-20992972</v>
      </c>
      <c r="E54" s="38">
        <f>SUM(G54,I54,K54,M54,O54,Q54,S54,U54,W54,Y54,AA54,AC54,AE54)</f>
        <v>-1248478.1599999999</v>
      </c>
      <c r="F54" s="64">
        <f>'TIE-OUT'!X54+RECLASS!V54</f>
        <v>0</v>
      </c>
      <c r="G54" s="68">
        <f>'TIE-OUT'!Y54+RECLASS!W54</f>
        <v>-1526566</v>
      </c>
      <c r="H54" s="118">
        <v>0</v>
      </c>
      <c r="I54" s="118">
        <v>0</v>
      </c>
      <c r="J54" s="118">
        <v>-20631207</v>
      </c>
      <c r="K54" s="214">
        <v>-321321.99</v>
      </c>
      <c r="L54" s="118">
        <v>-56097</v>
      </c>
      <c r="M54" s="119">
        <v>599114.65</v>
      </c>
      <c r="N54" s="118">
        <v>-305668</v>
      </c>
      <c r="O54" s="119">
        <v>295.18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109406.29000000001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16191.49</v>
      </c>
      <c r="L55" s="118">
        <v>0</v>
      </c>
      <c r="M55" s="119">
        <v>93300</v>
      </c>
      <c r="N55" s="118">
        <v>0</v>
      </c>
      <c r="O55" s="119">
        <v>-85.2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-20992972</v>
      </c>
      <c r="E56" s="39">
        <f t="shared" si="10"/>
        <v>-1139071.8699999999</v>
      </c>
      <c r="F56" s="61">
        <f t="shared" si="10"/>
        <v>0</v>
      </c>
      <c r="G56" s="39">
        <f t="shared" si="10"/>
        <v>-1526566</v>
      </c>
      <c r="H56" s="61">
        <f t="shared" si="10"/>
        <v>0</v>
      </c>
      <c r="I56" s="61">
        <f t="shared" si="10"/>
        <v>0</v>
      </c>
      <c r="J56" s="61">
        <f t="shared" si="10"/>
        <v>-20631207</v>
      </c>
      <c r="K56" s="39">
        <f t="shared" si="10"/>
        <v>-305130.5</v>
      </c>
      <c r="L56" s="61">
        <f t="shared" si="10"/>
        <v>-56097</v>
      </c>
      <c r="M56" s="39">
        <f t="shared" si="10"/>
        <v>692414.65</v>
      </c>
      <c r="N56" s="61">
        <f t="shared" si="10"/>
        <v>-305668</v>
      </c>
      <c r="O56" s="39">
        <f t="shared" si="10"/>
        <v>209.98000000000002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-1031464.8500000006</v>
      </c>
      <c r="F74" s="60">
        <f>'TIE-OUT'!X74+RECLASS!V74</f>
        <v>0</v>
      </c>
      <c r="G74" s="60">
        <f>'TIE-OUT'!Y74+RECLASS!W74</f>
        <v>3407406.01</v>
      </c>
      <c r="H74" s="118">
        <v>0</v>
      </c>
      <c r="I74" s="118">
        <v>0</v>
      </c>
      <c r="J74" s="118">
        <v>0</v>
      </c>
      <c r="K74" s="214">
        <v>0</v>
      </c>
      <c r="L74" s="118">
        <v>0</v>
      </c>
      <c r="M74" s="119">
        <v>2396540</v>
      </c>
      <c r="N74" s="118">
        <v>0</v>
      </c>
      <c r="O74" s="119">
        <v>-6835410.8600000003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-39</v>
      </c>
      <c r="F76" s="60">
        <f>'TIE-OUT'!X76+RECLASS!V76</f>
        <v>0</v>
      </c>
      <c r="G76" s="60">
        <f>'TIE-OUT'!Y76+RECLASS!W76</f>
        <v>-39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-98300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-740250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4">
        <v>0</v>
      </c>
      <c r="L80" s="118">
        <v>0</v>
      </c>
      <c r="M80" s="119">
        <v>0</v>
      </c>
      <c r="N80" s="118">
        <v>0</v>
      </c>
      <c r="O80" s="139">
        <v>-740250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-0.3999999999996362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5">
        <v>0</v>
      </c>
      <c r="J81" s="118">
        <v>0</v>
      </c>
      <c r="K81" s="119">
        <v>10674.6</v>
      </c>
      <c r="L81" s="118">
        <v>0</v>
      </c>
      <c r="M81" s="119">
        <v>0</v>
      </c>
      <c r="N81" s="118">
        <v>0</v>
      </c>
      <c r="O81" s="119">
        <v>-10675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3637623.5699999705</v>
      </c>
      <c r="F82" s="91">
        <f>F16+F24+F29+F36+F43+F45+F47+F49</f>
        <v>0</v>
      </c>
      <c r="G82" s="92">
        <f>SUM(G72:G81)+G16+G24+G29+G36+G43+G45+G47+G49+G51+G56+G61+G66</f>
        <v>-5382259.3099999996</v>
      </c>
      <c r="H82" s="91">
        <f>H16+H24+H29+H36+H43+H45+H47+H49</f>
        <v>0</v>
      </c>
      <c r="I82" s="92">
        <f>SUM(I72:I81)+I16+I24+I29+I36+I43+I45+I47+I49+I51+I56+I61+I66</f>
        <v>1994129</v>
      </c>
      <c r="J82" s="91">
        <f>J16+J24+J29+J36+J43+J45+J47+J49</f>
        <v>0</v>
      </c>
      <c r="K82" s="110">
        <f>SUM(K72:K81)+K16+K24+K29+K36+K43+K45+K47+K49+K51+K56+K61+K66</f>
        <v>-1147021.5300000012</v>
      </c>
      <c r="L82" s="91">
        <f>L16+L24+L29+L36+L43+L45+L47+L49</f>
        <v>0</v>
      </c>
      <c r="M82" s="92">
        <f>SUM(M72:M81)+M16+M24+M29+M36+M43+M45+M47+M49+M51+M56+M61+M66</f>
        <v>8840418.5800000001</v>
      </c>
      <c r="N82" s="91">
        <f>N16+N24+N29+N36+N43+N45+N47+N49</f>
        <v>0</v>
      </c>
      <c r="O82" s="92">
        <f>SUM(O72:O81)+O16+O24+O29+O36+O43+O45+O47+O49+O51+O56+O61+O66</f>
        <v>-667643.17000000039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758419</v>
      </c>
      <c r="F86" s="145">
        <f>'TIE-OUT'!X86+RECLASS!V86</f>
        <v>0</v>
      </c>
      <c r="G86" s="146">
        <f>'TIE-OUT'!Y86+RECLASS!W86</f>
        <v>1522312</v>
      </c>
      <c r="H86" s="145">
        <v>0</v>
      </c>
      <c r="I86" s="215">
        <v>-115037</v>
      </c>
      <c r="J86" s="145">
        <v>0</v>
      </c>
      <c r="K86" s="145">
        <v>-1389106</v>
      </c>
      <c r="L86" s="145">
        <v>0</v>
      </c>
      <c r="M86" s="145">
        <v>0</v>
      </c>
      <c r="N86" s="145">
        <v>0</v>
      </c>
      <c r="O86" s="145">
        <v>740250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-1386419</v>
      </c>
      <c r="F88" s="147">
        <f>'TIE-OUT'!X88+RECLASS!V88</f>
        <v>0</v>
      </c>
      <c r="G88" s="147">
        <f>'TIE-OUT'!Y88+RECLASS!W88</f>
        <v>-646169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-740250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-628000</v>
      </c>
      <c r="F89" s="155">
        <f t="shared" si="16"/>
        <v>0</v>
      </c>
      <c r="G89" s="155">
        <f t="shared" si="16"/>
        <v>876143</v>
      </c>
      <c r="H89" s="155">
        <f t="shared" si="16"/>
        <v>0</v>
      </c>
      <c r="I89" s="155">
        <f t="shared" si="16"/>
        <v>-115037</v>
      </c>
      <c r="J89" s="155">
        <f t="shared" si="16"/>
        <v>0</v>
      </c>
      <c r="K89" s="155">
        <f t="shared" si="16"/>
        <v>-1389106</v>
      </c>
      <c r="L89" s="155">
        <f>SUM(L86:L88)</f>
        <v>0</v>
      </c>
      <c r="M89" s="155">
        <f>SUM(M86:M88)</f>
        <v>0</v>
      </c>
      <c r="N89" s="155">
        <f>SUM(N86:N88)</f>
        <v>0</v>
      </c>
      <c r="O89" s="155">
        <f>SUM(O86:O88)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3009623.5699999705</v>
      </c>
      <c r="F91" s="155">
        <f t="shared" si="17"/>
        <v>0</v>
      </c>
      <c r="G91" s="155">
        <f t="shared" si="17"/>
        <v>-4506116.3099999996</v>
      </c>
      <c r="H91" s="155">
        <f t="shared" si="17"/>
        <v>0</v>
      </c>
      <c r="I91" s="155">
        <f t="shared" si="17"/>
        <v>1879092</v>
      </c>
      <c r="J91" s="155">
        <f t="shared" si="17"/>
        <v>0</v>
      </c>
      <c r="K91" s="155">
        <f t="shared" si="17"/>
        <v>-2536127.5300000012</v>
      </c>
      <c r="L91" s="155">
        <f>+L82+L89</f>
        <v>0</v>
      </c>
      <c r="M91" s="155">
        <f>+M82+M89</f>
        <v>8840418.5800000001</v>
      </c>
      <c r="N91" s="155">
        <f>+N82+N89</f>
        <v>0</v>
      </c>
      <c r="O91" s="155">
        <f>+O82+O89</f>
        <v>-667643.17000000039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9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68832553</v>
      </c>
      <c r="E11" s="38">
        <f>SUM(G11,I11,K11,M11,O11,Q11,S11,U11,W11,Y11,AA11,AC11,AE11)</f>
        <v>291280862.48000002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68805563</v>
      </c>
      <c r="I11" s="38">
        <f>'TX-EGM-GL'!I11+'TX-HPLR-GL '!I11+'TX-HPLC-GL'!I11</f>
        <v>291438368.69999999</v>
      </c>
      <c r="J11" s="60">
        <f>'TX-EGM-GL'!J11+'TX-HPLR-GL '!J11+'TX-HPLC-GL'!J11</f>
        <v>512270</v>
      </c>
      <c r="K11" s="38">
        <f>'TX-EGM-GL'!K11+'TX-HPLR-GL '!K11+'TX-HPLC-GL'!K11</f>
        <v>1484227.38</v>
      </c>
      <c r="L11" s="60">
        <f>'TX-EGM-GL'!L11+'TX-HPLR-GL '!L11+'TX-HPLC-GL'!L11</f>
        <v>-483696</v>
      </c>
      <c r="M11" s="38">
        <f>'TX-EGM-GL'!M11+'TX-HPLR-GL '!M11+'TX-HPLC-GL'!M11</f>
        <v>-1614536.77</v>
      </c>
      <c r="N11" s="60">
        <f>'TX-EGM-GL'!N11+'TX-HPLR-GL '!N11+'TX-HPLC-GL'!N11</f>
        <v>-1584</v>
      </c>
      <c r="O11" s="38">
        <f>'TX-EGM-GL'!O11+'TX-HPLR-GL '!O11+'TX-HPLC-GL'!O11</f>
        <v>-27196.83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7880588.25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6460850.7599999998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1419737.49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12450000</v>
      </c>
      <c r="E13" s="38">
        <f t="shared" si="0"/>
        <v>43694930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10189948</v>
      </c>
      <c r="I13" s="38">
        <f>'TX-EGM-GL'!I13+'TX-HPLR-GL '!I13+'TX-HPLC-GL'!I13</f>
        <v>43284349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2260052</v>
      </c>
      <c r="O13" s="38">
        <f>'TX-EGM-GL'!O13+'TX-HPLR-GL '!O13+'TX-HPLC-GL'!O13</f>
        <v>410581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13186.059999999939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1554000</v>
      </c>
      <c r="J15" s="60">
        <f>'TX-EGM-GL'!J15+'TX-HPLR-GL '!J15+'TX-HPLC-GL'!J15</f>
        <v>0</v>
      </c>
      <c r="K15" s="38">
        <f>'TX-EGM-GL'!K15+'TX-HPLR-GL '!K15+'TX-HPLC-GL'!K15</f>
        <v>505844.4</v>
      </c>
      <c r="L15" s="60">
        <f>'TX-EGM-GL'!L15+'TX-HPLR-GL '!L15+'TX-HPLC-GL'!L15</f>
        <v>0</v>
      </c>
      <c r="M15" s="38">
        <f>'TX-EGM-GL'!M15+'TX-HPLR-GL '!M15+'TX-HPLC-GL'!M15</f>
        <v>-1968270.46</v>
      </c>
      <c r="N15" s="60">
        <f>'TX-EGM-GL'!N15+'TX-HPLR-GL '!N15+'TX-HPLC-GL'!N15</f>
        <v>0</v>
      </c>
      <c r="O15" s="38">
        <f>'TX-EGM-GL'!O15+'TX-HPLR-GL '!O15+'TX-HPLC-GL'!O15</f>
        <v>-78387.88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81282553</v>
      </c>
      <c r="E16" s="39">
        <f t="shared" si="1"/>
        <v>342869566.79000002</v>
      </c>
      <c r="F16" s="61">
        <f t="shared" si="1"/>
        <v>0</v>
      </c>
      <c r="G16" s="39">
        <f t="shared" si="1"/>
        <v>6460850.7599999998</v>
      </c>
      <c r="H16" s="61">
        <f t="shared" si="1"/>
        <v>78995511</v>
      </c>
      <c r="I16" s="39">
        <f t="shared" si="1"/>
        <v>336276717.69999999</v>
      </c>
      <c r="J16" s="61">
        <f t="shared" si="1"/>
        <v>512270</v>
      </c>
      <c r="K16" s="39">
        <f t="shared" si="1"/>
        <v>1990071.7799999998</v>
      </c>
      <c r="L16" s="61">
        <f t="shared" si="1"/>
        <v>-483696</v>
      </c>
      <c r="M16" s="39">
        <f t="shared" si="1"/>
        <v>-2163069.7400000002</v>
      </c>
      <c r="N16" s="61">
        <f t="shared" si="1"/>
        <v>2258468</v>
      </c>
      <c r="O16" s="39">
        <f t="shared" si="1"/>
        <v>304996.28999999998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-68208628</v>
      </c>
      <c r="E19" s="38">
        <f t="shared" si="2"/>
        <v>-288965600.87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-68857505</v>
      </c>
      <c r="I19" s="38">
        <f>'TX-EGM-GL'!I19+'TX-HPLR-GL '!I19+'TX-HPLC-GL'!I19</f>
        <v>-290790487.51999998</v>
      </c>
      <c r="J19" s="60">
        <f>'TX-EGM-GL'!J19+'TX-HPLR-GL '!J19+'TX-HPLC-GL'!J19</f>
        <v>230246</v>
      </c>
      <c r="K19" s="38">
        <f>'TX-EGM-GL'!K19+'TX-HPLR-GL '!K19+'TX-HPLC-GL'!K19</f>
        <v>97662.960000000196</v>
      </c>
      <c r="L19" s="60">
        <f>'TX-EGM-GL'!L19+'TX-HPLR-GL '!L19+'TX-HPLC-GL'!L19</f>
        <v>380237</v>
      </c>
      <c r="M19" s="38">
        <f>'TX-EGM-GL'!M19+'TX-HPLR-GL '!M19+'TX-HPLC-GL'!M19</f>
        <v>1458185.19</v>
      </c>
      <c r="N19" s="60">
        <f>'TX-EGM-GL'!N19+'TX-HPLR-GL '!N19+'TX-HPLC-GL'!N19</f>
        <v>38394</v>
      </c>
      <c r="O19" s="38">
        <f>'TX-EGM-GL'!O19+'TX-HPLR-GL '!O19+'TX-HPLC-GL'!O19</f>
        <v>269038.5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2759456.9800000014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-9868237.8199999984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5756986.21</v>
      </c>
      <c r="N20" s="60">
        <f>'TX-EGM-GL'!N20+'TX-HPLR-GL '!N20+'TX-HPLC-GL'!N20</f>
        <v>0</v>
      </c>
      <c r="O20" s="38">
        <f>'TX-EGM-GL'!O20+'TX-HPLR-GL '!O20+'TX-HPLC-GL'!O20</f>
        <v>6870708.5899999999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-12450000</v>
      </c>
      <c r="E21" s="38">
        <f t="shared" si="2"/>
        <v>-43694930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-10189948</v>
      </c>
      <c r="I21" s="38">
        <f>'TX-EGM-GL'!I21+'TX-HPLR-GL '!I21+'TX-HPLC-GL'!I21</f>
        <v>-43284349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-2260052</v>
      </c>
      <c r="O21" s="38">
        <f>'TX-EGM-GL'!O21+'TX-HPLR-GL '!O21+'TX-HPLC-GL'!O21</f>
        <v>-410581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144584</v>
      </c>
      <c r="E23" s="38">
        <f t="shared" si="2"/>
        <v>632481.84299999999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12541</v>
      </c>
      <c r="I23" s="38">
        <f>'TX-EGM-GL'!I23+'TX-HPLR-GL '!I23+'TX-HPLC-GL'!I23</f>
        <v>53713.103000000003</v>
      </c>
      <c r="J23" s="60">
        <f>'TX-EGM-GL'!J23+'TX-HPLR-GL '!J23+'TX-HPLC-GL'!J23</f>
        <v>136800</v>
      </c>
      <c r="K23" s="38">
        <f>'TX-EGM-GL'!K23+'TX-HPLR-GL '!K23+'TX-HPLC-GL'!K23</f>
        <v>599142.97</v>
      </c>
      <c r="L23" s="60">
        <f>'TX-EGM-GL'!L23+'TX-HPLR-GL '!L23+'TX-HPLC-GL'!L23</f>
        <v>-4757</v>
      </c>
      <c r="M23" s="38">
        <f>'TX-EGM-GL'!M23+'TX-HPLR-GL '!M23+'TX-HPLC-GL'!M23</f>
        <v>-20374.23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-80514044</v>
      </c>
      <c r="E24" s="39">
        <f t="shared" si="3"/>
        <v>-329268592.04699999</v>
      </c>
      <c r="F24" s="61">
        <f t="shared" si="3"/>
        <v>0</v>
      </c>
      <c r="G24" s="39">
        <f t="shared" si="3"/>
        <v>-9868237.8199999984</v>
      </c>
      <c r="H24" s="61">
        <f t="shared" si="3"/>
        <v>-79034912</v>
      </c>
      <c r="I24" s="39">
        <f t="shared" si="3"/>
        <v>-334021123.417</v>
      </c>
      <c r="J24" s="61">
        <f t="shared" si="3"/>
        <v>367046</v>
      </c>
      <c r="K24" s="39">
        <f t="shared" si="3"/>
        <v>696805.93000000017</v>
      </c>
      <c r="L24" s="61">
        <f t="shared" si="3"/>
        <v>375480</v>
      </c>
      <c r="M24" s="39">
        <f t="shared" si="3"/>
        <v>7194797.1699999999</v>
      </c>
      <c r="N24" s="61">
        <f t="shared" si="3"/>
        <v>-2221658</v>
      </c>
      <c r="O24" s="39">
        <f t="shared" si="3"/>
        <v>6729166.0899999999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34130965</v>
      </c>
      <c r="E27" s="38">
        <f>SUM(G27,I27,K27,M27,O27,Q27,S27,U27,W27,Y27,AA27,AC27,AE27)</f>
        <v>145169310.16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24976042</v>
      </c>
      <c r="I27" s="38">
        <f>'TX-EGM-GL'!I27+'TX-HPLR-GL '!I27+'TX-HPLC-GL'!I27</f>
        <v>106957189.7</v>
      </c>
      <c r="J27" s="60">
        <f>'TX-EGM-GL'!J27+'TX-HPLR-GL '!J27+'TX-HPLC-GL'!J27</f>
        <v>9171305</v>
      </c>
      <c r="K27" s="38">
        <f>'TX-EGM-GL'!K27+'TX-HPLR-GL '!K27+'TX-HPLC-GL'!K27</f>
        <v>38280526.649999999</v>
      </c>
      <c r="L27" s="60">
        <f>'TX-EGM-GL'!L27+'TX-HPLR-GL '!L27+'TX-HPLC-GL'!L27</f>
        <v>-13087</v>
      </c>
      <c r="M27" s="38">
        <f>'TX-EGM-GL'!M27+'TX-HPLR-GL '!M27+'TX-HPLC-GL'!M27</f>
        <v>-55322.550000000017</v>
      </c>
      <c r="N27" s="60">
        <f>'TX-EGM-GL'!N27+'TX-HPLR-GL '!N27+'TX-HPLC-GL'!N27</f>
        <v>-3295</v>
      </c>
      <c r="O27" s="38">
        <f>'TX-EGM-GL'!O27+'TX-HPLR-GL '!O27+'TX-HPLC-GL'!O27</f>
        <v>-13083.64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-35024031</v>
      </c>
      <c r="E28" s="38">
        <f>SUM(G28,I28,K28,M28,O28,Q28,S28,U28,W28,Y28,AA28,AC28,AE28)</f>
        <v>-150094331.40400001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-25819286</v>
      </c>
      <c r="I28" s="38">
        <f>'TX-EGM-GL'!I28+'TX-HPLR-GL '!I28+'TX-HPLC-GL'!I28</f>
        <v>-110687404.31</v>
      </c>
      <c r="J28" s="60">
        <f>'TX-EGM-GL'!J28+'TX-HPLR-GL '!J28+'TX-HPLC-GL'!J28</f>
        <v>-9163446</v>
      </c>
      <c r="K28" s="38">
        <f>'TX-EGM-GL'!K28+'TX-HPLR-GL '!K28+'TX-HPLC-GL'!K28</f>
        <v>-39226273.420000002</v>
      </c>
      <c r="L28" s="60">
        <f>'TX-EGM-GL'!L28+'TX-HPLR-GL '!L28+'TX-HPLC-GL'!L28</f>
        <v>6040</v>
      </c>
      <c r="M28" s="38">
        <f>'TX-EGM-GL'!M28+'TX-HPLR-GL '!M28+'TX-HPLC-GL'!M28</f>
        <v>15858.216</v>
      </c>
      <c r="N28" s="60">
        <f>'TX-EGM-GL'!N28+'TX-HPLR-GL '!N28+'TX-HPLC-GL'!N28</f>
        <v>-47339</v>
      </c>
      <c r="O28" s="38">
        <f>'TX-EGM-GL'!O28+'TX-HPLR-GL '!O28+'TX-HPLC-GL'!O28</f>
        <v>-196511.89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-893066</v>
      </c>
      <c r="E29" s="39">
        <f t="shared" si="4"/>
        <v>-4925021.2440000176</v>
      </c>
      <c r="F29" s="61">
        <f t="shared" si="4"/>
        <v>0</v>
      </c>
      <c r="G29" s="39">
        <f t="shared" si="4"/>
        <v>0</v>
      </c>
      <c r="H29" s="61">
        <f t="shared" si="4"/>
        <v>-843244</v>
      </c>
      <c r="I29" s="39">
        <f t="shared" si="4"/>
        <v>-3730214.6099999994</v>
      </c>
      <c r="J29" s="61">
        <f t="shared" si="4"/>
        <v>7859</v>
      </c>
      <c r="K29" s="39">
        <f t="shared" si="4"/>
        <v>-945746.77000000328</v>
      </c>
      <c r="L29" s="61">
        <f t="shared" si="4"/>
        <v>-7047</v>
      </c>
      <c r="M29" s="39">
        <f t="shared" si="4"/>
        <v>-39464.334000000017</v>
      </c>
      <c r="N29" s="61">
        <f t="shared" si="4"/>
        <v>-50634</v>
      </c>
      <c r="O29" s="39">
        <f t="shared" si="4"/>
        <v>-209595.53000000003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210413</v>
      </c>
      <c r="E32" s="38">
        <f t="shared" si="5"/>
        <v>892404.71100000339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-5948543</v>
      </c>
      <c r="I32" s="38">
        <f>'TX-EGM-GL'!I32+'TX-HPLR-GL '!I32+'TX-HPLC-GL'!I32</f>
        <v>-25477609.669</v>
      </c>
      <c r="J32" s="60">
        <f>'TX-EGM-GL'!J32+'TX-HPLR-GL '!J32+'TX-HPLC-GL'!J32</f>
        <v>5781432</v>
      </c>
      <c r="K32" s="38">
        <f>'TX-EGM-GL'!K32+'TX-HPLR-GL '!K32+'TX-HPLC-GL'!K32</f>
        <v>24753008.020000003</v>
      </c>
      <c r="L32" s="60">
        <f>'TX-EGM-GL'!L32+'TX-HPLR-GL '!L32+'TX-HPLC-GL'!L32</f>
        <v>187722</v>
      </c>
      <c r="M32" s="38">
        <f>'TX-EGM-GL'!M32+'TX-HPLR-GL '!M32+'TX-HPLC-GL'!M32</f>
        <v>804084.3899999999</v>
      </c>
      <c r="N32" s="60">
        <f>'TX-EGM-GL'!N32+'TX-HPLR-GL '!N32+'TX-HPLC-GL'!N32</f>
        <v>189802</v>
      </c>
      <c r="O32" s="38">
        <f>'TX-EGM-GL'!O32+'TX-HPLR-GL '!O32+'TX-HPLC-GL'!O32</f>
        <v>812921.97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-6870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-183064</v>
      </c>
      <c r="M35" s="38">
        <f>'TX-EGM-GL'!M35+'TX-HPLR-GL '!M35+'TX-HPLC-GL'!M35</f>
        <v>0</v>
      </c>
      <c r="N35" s="60">
        <f>'TX-EGM-GL'!N35+'TX-HPLR-GL '!N35+'TX-HPLC-GL'!N35</f>
        <v>176194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203543</v>
      </c>
      <c r="E36" s="39">
        <f t="shared" si="6"/>
        <v>892404.71100000339</v>
      </c>
      <c r="F36" s="61">
        <f t="shared" si="6"/>
        <v>0</v>
      </c>
      <c r="G36" s="39">
        <f t="shared" si="6"/>
        <v>0</v>
      </c>
      <c r="H36" s="61">
        <f t="shared" si="6"/>
        <v>-5948543</v>
      </c>
      <c r="I36" s="39">
        <f t="shared" si="6"/>
        <v>-25477609.669</v>
      </c>
      <c r="J36" s="61">
        <f t="shared" si="6"/>
        <v>5781432</v>
      </c>
      <c r="K36" s="39">
        <f t="shared" si="6"/>
        <v>24753008.020000003</v>
      </c>
      <c r="L36" s="61">
        <f t="shared" si="6"/>
        <v>4658</v>
      </c>
      <c r="M36" s="39">
        <f t="shared" si="6"/>
        <v>804084.3899999999</v>
      </c>
      <c r="N36" s="61">
        <f t="shared" si="6"/>
        <v>365996</v>
      </c>
      <c r="O36" s="39">
        <f t="shared" si="6"/>
        <v>812921.97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287704</v>
      </c>
      <c r="E39" s="38">
        <f t="shared" si="7"/>
        <v>1347643.22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307971</v>
      </c>
      <c r="I39" s="38">
        <f>'TX-EGM-GL'!I39+'TX-HPLR-GL '!I39+'TX-HPLC-GL'!I39</f>
        <v>1498169.99</v>
      </c>
      <c r="J39" s="60">
        <f>'TX-EGM-GL'!J39+'TX-HPLR-GL '!J39+'TX-HPLC-GL'!J39</f>
        <v>-20267</v>
      </c>
      <c r="K39" s="38">
        <f>'TX-EGM-GL'!K39+'TX-HPLR-GL '!K39+'TX-HPLC-GL'!K39</f>
        <v>-88359.77</v>
      </c>
      <c r="L39" s="60">
        <f>'TX-EGM-GL'!L39+'TX-HPLR-GL '!L39+'TX-HPLC-GL'!L39</f>
        <v>0</v>
      </c>
      <c r="M39" s="38">
        <f>'TX-EGM-GL'!M39+'TX-HPLR-GL '!M39+'TX-HPLC-GL'!M39</f>
        <v>-62167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-20000</v>
      </c>
      <c r="E40" s="38">
        <f t="shared" si="7"/>
        <v>-45190.889999999992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-40000</v>
      </c>
      <c r="I40" s="38">
        <f>'TX-EGM-GL'!I40+'TX-HPLR-GL '!I40+'TX-HPLC-GL'!I40</f>
        <v>-90381.79</v>
      </c>
      <c r="J40" s="60">
        <f>'TX-EGM-GL'!J40+'TX-HPLR-GL '!J40+'TX-HPLC-GL'!J40</f>
        <v>20000</v>
      </c>
      <c r="K40" s="38">
        <f>'TX-EGM-GL'!K40+'TX-HPLR-GL '!K40+'TX-HPLC-GL'!K40</f>
        <v>45190.9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-20000</v>
      </c>
      <c r="E42" s="39">
        <f t="shared" si="8"/>
        <v>-45190.889999999992</v>
      </c>
      <c r="F42" s="61">
        <f t="shared" si="8"/>
        <v>0</v>
      </c>
      <c r="G42" s="39">
        <f t="shared" si="8"/>
        <v>0</v>
      </c>
      <c r="H42" s="61">
        <f t="shared" si="8"/>
        <v>-40000</v>
      </c>
      <c r="I42" s="39">
        <f t="shared" si="8"/>
        <v>-90381.79</v>
      </c>
      <c r="J42" s="61">
        <f t="shared" si="8"/>
        <v>20000</v>
      </c>
      <c r="K42" s="39">
        <f t="shared" si="8"/>
        <v>45190.9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267704</v>
      </c>
      <c r="E43" s="39">
        <f t="shared" si="9"/>
        <v>1302452.33</v>
      </c>
      <c r="F43" s="61">
        <f t="shared" si="9"/>
        <v>0</v>
      </c>
      <c r="G43" s="39">
        <f t="shared" si="9"/>
        <v>0</v>
      </c>
      <c r="H43" s="61">
        <f t="shared" si="9"/>
        <v>267971</v>
      </c>
      <c r="I43" s="39">
        <f t="shared" si="9"/>
        <v>1407788.2</v>
      </c>
      <c r="J43" s="61">
        <f t="shared" si="9"/>
        <v>-267</v>
      </c>
      <c r="K43" s="39">
        <f t="shared" si="9"/>
        <v>-43168.87</v>
      </c>
      <c r="L43" s="61">
        <f t="shared" si="9"/>
        <v>0</v>
      </c>
      <c r="M43" s="39">
        <f t="shared" si="9"/>
        <v>-62167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-73090</v>
      </c>
      <c r="E49" s="38">
        <f>SUM(G49,I49,K49,M49,O49,Q49,S49,U49,W49,Y49,AA49,AC49,AE49)</f>
        <v>-313044.9159999988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6563217</v>
      </c>
      <c r="I49" s="38">
        <f>'TX-EGM-GL'!I49+'TX-HPLR-GL '!I49+'TX-HPLC-GL'!I49</f>
        <v>28110257.973999999</v>
      </c>
      <c r="J49" s="60">
        <f>'TX-EGM-GL'!J49+'TX-HPLR-GL '!J49+'TX-HPLC-GL'!J49</f>
        <v>-6394740</v>
      </c>
      <c r="K49" s="38">
        <f>'TX-EGM-GL'!K49+'TX-HPLR-GL '!K49+'TX-HPLC-GL'!K49</f>
        <v>-27388671.419999998</v>
      </c>
      <c r="L49" s="60">
        <f>'TX-EGM-GL'!L49+'TX-HPLR-GL '!L49+'TX-HPLC-GL'!L49</f>
        <v>110605</v>
      </c>
      <c r="M49" s="38">
        <f>'TX-EGM-GL'!M49+'TX-HPLR-GL '!M49+'TX-HPLC-GL'!M49</f>
        <v>473721.21</v>
      </c>
      <c r="N49" s="60">
        <f>'TX-EGM-GL'!N49+'TX-HPLR-GL '!N49+'TX-HPLC-GL'!N49</f>
        <v>-352172</v>
      </c>
      <c r="O49" s="38">
        <f>'TX-EGM-GL'!O49+'TX-HPLR-GL '!O49+'TX-HPLC-GL'!O49</f>
        <v>-1508352.6800000002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-8207</v>
      </c>
      <c r="E51" s="38">
        <f>SUM(G51,I51,K51,M51,O51,Q51,S51,U51,W51,Y51,AA51,AC51,AE51)</f>
        <v>-35150.582999999999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-12541</v>
      </c>
      <c r="I51" s="38">
        <f>'TX-EGM-GL'!I51+'TX-HPLR-GL '!I51+'TX-HPLC-GL'!I51</f>
        <v>-53713.103000000003</v>
      </c>
      <c r="J51" s="60">
        <f>'TX-EGM-GL'!J51+'TX-HPLR-GL '!J51+'TX-HPLC-GL'!J51</f>
        <v>-423</v>
      </c>
      <c r="K51" s="38">
        <f>'TX-EGM-GL'!K51+'TX-HPLR-GL '!K51+'TX-HPLC-GL'!K51</f>
        <v>-1811.71</v>
      </c>
      <c r="L51" s="60">
        <f>'TX-EGM-GL'!L51+'TX-HPLR-GL '!L51+'TX-HPLC-GL'!L51</f>
        <v>4757</v>
      </c>
      <c r="M51" s="38">
        <f>'TX-EGM-GL'!M51+'TX-HPLR-GL '!M51+'TX-HPLC-GL'!M51</f>
        <v>20374.23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-49308286</v>
      </c>
      <c r="E54" s="38">
        <f>SUM(G54,I54,K54,M54,O54,Q54,S54,U54,W54,Y54,AA54,AC54,AE54)</f>
        <v>-2766923.87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-1526566</v>
      </c>
      <c r="H54" s="60">
        <f>'TX-EGM-GL'!H54+'TX-HPLR-GL '!H54+'TX-HPLC-GL'!H54</f>
        <v>-15438557</v>
      </c>
      <c r="I54" s="38">
        <f>'TX-EGM-GL'!I54+'TX-HPLR-GL '!I54+'TX-HPLC-GL'!I54</f>
        <v>-276381.89</v>
      </c>
      <c r="J54" s="60">
        <f>'TX-EGM-GL'!J54+'TX-HPLR-GL '!J54+'TX-HPLC-GL'!J54</f>
        <v>-32896159</v>
      </c>
      <c r="K54" s="38">
        <f>'TX-EGM-GL'!K54+'TX-HPLR-GL '!K54+'TX-HPLC-GL'!K54</f>
        <v>-1551533.9100000001</v>
      </c>
      <c r="L54" s="60">
        <f>'TX-EGM-GL'!L54+'TX-HPLR-GL '!L54+'TX-HPLC-GL'!L54</f>
        <v>-825307</v>
      </c>
      <c r="M54" s="38">
        <f>'TX-EGM-GL'!M54+'TX-HPLR-GL '!M54+'TX-HPLC-GL'!M54</f>
        <v>581823.95000000007</v>
      </c>
      <c r="N54" s="60">
        <f>'TX-EGM-GL'!N54+'TX-HPLR-GL '!N54+'TX-HPLC-GL'!N54</f>
        <v>-148263</v>
      </c>
      <c r="O54" s="38">
        <f>'TX-EGM-GL'!O54+'TX-HPLR-GL '!O54+'TX-HPLC-GL'!O54</f>
        <v>5733.9800000000005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23344</v>
      </c>
      <c r="E55" s="38">
        <f>SUM(G55,I55,K55,M55,O55,Q55,S55,U55,W55,Y55,AA55,AC55,AE55)</f>
        <v>-169228.82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-160800</v>
      </c>
      <c r="J55" s="60">
        <f>'TX-EGM-GL'!J55+'TX-HPLR-GL '!J55+'TX-HPLC-GL'!J55</f>
        <v>0</v>
      </c>
      <c r="K55" s="38">
        <f>'TX-EGM-GL'!K55+'TX-HPLR-GL '!K55+'TX-HPLC-GL'!K55</f>
        <v>-101367.89</v>
      </c>
      <c r="L55" s="60">
        <f>'TX-EGM-GL'!L55+'TX-HPLR-GL '!L55+'TX-HPLC-GL'!L55</f>
        <v>23344</v>
      </c>
      <c r="M55" s="38">
        <f>'TX-EGM-GL'!M55+'TX-HPLR-GL '!M55+'TX-HPLC-GL'!M55</f>
        <v>93024.27</v>
      </c>
      <c r="N55" s="60">
        <f>'TX-EGM-GL'!N55+'TX-HPLR-GL '!N55+'TX-HPLC-GL'!N55</f>
        <v>0</v>
      </c>
      <c r="O55" s="38">
        <f>'TX-EGM-GL'!O55+'TX-HPLR-GL '!O55+'TX-HPLC-GL'!O55</f>
        <v>-85.2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-49284942</v>
      </c>
      <c r="E56" s="39">
        <f t="shared" si="10"/>
        <v>-2936152.69</v>
      </c>
      <c r="F56" s="61">
        <f t="shared" si="10"/>
        <v>0</v>
      </c>
      <c r="G56" s="39">
        <f t="shared" si="10"/>
        <v>-1526566</v>
      </c>
      <c r="H56" s="61">
        <f t="shared" si="10"/>
        <v>-15438557</v>
      </c>
      <c r="I56" s="39">
        <f t="shared" si="10"/>
        <v>-437181.89</v>
      </c>
      <c r="J56" s="61">
        <f t="shared" si="10"/>
        <v>-32896159</v>
      </c>
      <c r="K56" s="39">
        <f t="shared" si="10"/>
        <v>-1652901.8</v>
      </c>
      <c r="L56" s="61">
        <f t="shared" si="10"/>
        <v>-801963</v>
      </c>
      <c r="M56" s="39">
        <f t="shared" si="10"/>
        <v>674848.22000000009</v>
      </c>
      <c r="N56" s="61">
        <f t="shared" si="10"/>
        <v>-148263</v>
      </c>
      <c r="O56" s="39">
        <f t="shared" si="10"/>
        <v>5648.7800000000007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519130.8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519130.8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-6550905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-6550905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-6031774.2000000002</v>
      </c>
      <c r="F72" s="61">
        <f t="shared" si="13"/>
        <v>0</v>
      </c>
      <c r="G72" s="39">
        <f t="shared" si="13"/>
        <v>-6031774.2000000002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-1101928.8200000012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3336942.0399999996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2396540</v>
      </c>
      <c r="N74" s="60">
        <f>'TX-EGM-GL'!N74+'TX-HPLR-GL '!N74+'TX-HPLC-GL'!N74</f>
        <v>0</v>
      </c>
      <c r="O74" s="38">
        <f>'TX-EGM-GL'!O74+'TX-HPLR-GL '!O74+'TX-HPLC-GL'!O74</f>
        <v>-6835410.8600000003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308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308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-39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-39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-740250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-740250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-0.40000000000145519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-24836</v>
      </c>
      <c r="J81" s="60">
        <f>'TX-EGM-GL'!J81+'TX-HPLR-GL '!J81+'TX-HPLC-GL'!J81</f>
        <v>0</v>
      </c>
      <c r="K81" s="38">
        <f>'TX-EGM-GL'!K81+'TX-HPLR-GL '!K81+'TX-HPLC-GL'!K81</f>
        <v>35510.6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-10675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273600</v>
      </c>
      <c r="E82" s="92">
        <f>SUM(E72:E81)+E16+E24+E29+E36+E43+E45+E47+E49+E51+E56+E61+E66</f>
        <v>-385522.0689999992</v>
      </c>
      <c r="F82" s="91">
        <f>F16+F24+F29+F36+F43+F45+F47+F49</f>
        <v>0</v>
      </c>
      <c r="G82" s="92">
        <f>SUM(G72:G81)+G16+G24+G29+G36+G43+G45+G47+G49+G51+G56+G61+G66</f>
        <v>-7628516.2199999988</v>
      </c>
      <c r="H82" s="91">
        <f>H16+H24+H29+H36+H43+H45+H47+H49</f>
        <v>0</v>
      </c>
      <c r="I82" s="92">
        <f>SUM(I72:I81)+I16+I24+I29+I36+I43+I45+I47+I49+I51+I56+I61+I66</f>
        <v>2050085.1849999917</v>
      </c>
      <c r="J82" s="91">
        <f>J16+J24+J29+J36+J43+J45+J47+J49</f>
        <v>273600</v>
      </c>
      <c r="K82" s="92">
        <f>SUM(K72:K81)+K16+K24+K29+K36+K43+K45+K47+K49+K51+K56+K61+K66</f>
        <v>-2556904.2400000002</v>
      </c>
      <c r="L82" s="91">
        <f>L16+L24+L29+L36+L43+L45+L47+L49</f>
        <v>0</v>
      </c>
      <c r="M82" s="92">
        <f>SUM(M72:M81)+M16+M24+M29+M36+M43+M45+M47+M49+M51+M56+M61+M66</f>
        <v>9201364.1460000016</v>
      </c>
      <c r="N82" s="91">
        <f>N16+N24+N29+N36+N43+N45+N47+N49</f>
        <v>0</v>
      </c>
      <c r="O82" s="92">
        <f>SUM(O72:O81)+O16+O24+O29+O36+O43+O45+O47+O49+O51+O56+O61+O66</f>
        <v>-1451550.9400000006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18169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1522312</v>
      </c>
      <c r="H86" s="145">
        <f>'TX-EGM-GL'!H86+'TX-HPLR-GL '!H86+'TX-HPLC-GL'!H86</f>
        <v>0</v>
      </c>
      <c r="I86" s="145">
        <f>'TX-EGM-GL'!I86+'TX-HPLR-GL '!I86+'TX-HPLC-GL'!I86</f>
        <v>-115037</v>
      </c>
      <c r="J86" s="145">
        <f>'TX-EGM-GL'!J86+'TX-HPLR-GL '!J86+'TX-HPLC-GL'!J86</f>
        <v>0</v>
      </c>
      <c r="K86" s="145">
        <f>'TX-EGM-GL'!K86+'TX-HPLR-GL '!K86+'TX-HPLC-GL'!K86</f>
        <v>-1389106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-646169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-646169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-628000</v>
      </c>
      <c r="F89" s="155">
        <f t="shared" si="16"/>
        <v>0</v>
      </c>
      <c r="G89" s="155">
        <f t="shared" si="16"/>
        <v>876143</v>
      </c>
      <c r="H89" s="155">
        <f t="shared" si="16"/>
        <v>0</v>
      </c>
      <c r="I89" s="155">
        <f t="shared" si="16"/>
        <v>-115037</v>
      </c>
      <c r="J89" s="155">
        <f>SUM(J86:J88)</f>
        <v>0</v>
      </c>
      <c r="K89" s="155">
        <f>SUM(K86:K88)</f>
        <v>-1389106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273600</v>
      </c>
      <c r="E91" s="155">
        <f t="shared" ref="E91:M91" si="19">+E82+E89</f>
        <v>-1013522.0689999992</v>
      </c>
      <c r="F91" s="155">
        <f t="shared" si="19"/>
        <v>0</v>
      </c>
      <c r="G91" s="155">
        <f t="shared" si="19"/>
        <v>-6752373.2199999988</v>
      </c>
      <c r="H91" s="155">
        <f t="shared" si="19"/>
        <v>0</v>
      </c>
      <c r="I91" s="155">
        <f t="shared" si="19"/>
        <v>1935048.1849999917</v>
      </c>
      <c r="J91" s="155">
        <f>+J82+J89</f>
        <v>273600</v>
      </c>
      <c r="K91" s="155">
        <f>+K82+K89</f>
        <v>-3946010.24</v>
      </c>
      <c r="L91" s="155">
        <f t="shared" si="19"/>
        <v>0</v>
      </c>
      <c r="M91" s="155">
        <f t="shared" si="19"/>
        <v>9201364.1460000016</v>
      </c>
      <c r="N91" s="155">
        <f t="shared" ref="N91:AE91" si="20">+N82+N89</f>
        <v>0</v>
      </c>
      <c r="O91" s="155">
        <f t="shared" si="20"/>
        <v>-1451550.9400000006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P179"/>
  <sheetViews>
    <sheetView zoomScale="75" workbookViewId="0">
      <pane xSplit="3" ySplit="9" topLeftCell="I10" activePane="bottomRight" state="frozen"/>
      <selection activeCell="N16" sqref="N16"/>
      <selection pane="topRight" activeCell="N16" sqref="N16"/>
      <selection pane="bottomLeft" activeCell="N16" sqref="N16"/>
      <selection pane="bottomRight" activeCell="O20" sqref="O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27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55884601</v>
      </c>
      <c r="E11" s="38">
        <f>SUM(G11,I11,K11,M11,O11,Q11,S11,U11,W11,Y11,AA11,AC11,AE11)</f>
        <v>227301319.52000001</v>
      </c>
      <c r="F11" s="60">
        <f>'TIE-OUT'!P11+RECLASS!N11</f>
        <v>0</v>
      </c>
      <c r="G11" s="38">
        <f>'TIE-OUT'!Q11+RECLASS!O11</f>
        <v>0</v>
      </c>
      <c r="H11" s="118">
        <f>+Actuals!E484</f>
        <v>58220784</v>
      </c>
      <c r="I11" s="119">
        <f>+Actuals!F484</f>
        <v>238781329.09</v>
      </c>
      <c r="J11" s="118">
        <v>-588471</v>
      </c>
      <c r="K11" s="119">
        <v>-3424486.73</v>
      </c>
      <c r="L11" s="118">
        <v>-1308815</v>
      </c>
      <c r="M11" s="119">
        <v>-6070039.9699999997</v>
      </c>
      <c r="N11" s="118">
        <v>-438897</v>
      </c>
      <c r="O11" s="119">
        <v>-1985482.87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6447434.370000001</v>
      </c>
      <c r="F12" s="60">
        <f>'TIE-OUT'!P12+RECLASS!N12</f>
        <v>0</v>
      </c>
      <c r="G12" s="38">
        <f>'TIE-OUT'!Q12+RECLASS!O12</f>
        <v>12008786.130000001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4">
        <v>0</v>
      </c>
      <c r="L12" s="118">
        <f>+Actuals!I485</f>
        <v>0</v>
      </c>
      <c r="M12" s="119">
        <v>-5561351.7599999998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12953024</v>
      </c>
      <c r="E13" s="38">
        <f t="shared" si="0"/>
        <v>54506391</v>
      </c>
      <c r="F13" s="60">
        <f>'TIE-OUT'!P13+RECLASS!N13</f>
        <v>0</v>
      </c>
      <c r="G13" s="38">
        <f>'TIE-OUT'!Q13+RECLASS!O13</f>
        <v>0</v>
      </c>
      <c r="H13" s="118">
        <f>+Actuals!E486</f>
        <v>12953024</v>
      </c>
      <c r="I13" s="119">
        <f>+Actuals!F486</f>
        <v>54506391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1794448.5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1155193.02</v>
      </c>
      <c r="J15" s="118">
        <f>+Actuals!G488</f>
        <v>0</v>
      </c>
      <c r="K15" s="119">
        <v>528426.48</v>
      </c>
      <c r="L15" s="118">
        <f>+Actuals!I488</f>
        <v>0</v>
      </c>
      <c r="M15" s="119">
        <v>110829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68837625</v>
      </c>
      <c r="E16" s="39">
        <f t="shared" si="1"/>
        <v>290049593.38999999</v>
      </c>
      <c r="F16" s="61">
        <f t="shared" si="1"/>
        <v>0</v>
      </c>
      <c r="G16" s="39">
        <f t="shared" si="1"/>
        <v>12008786.130000001</v>
      </c>
      <c r="H16" s="61">
        <f t="shared" si="1"/>
        <v>71173808</v>
      </c>
      <c r="I16" s="39">
        <f t="shared" si="1"/>
        <v>294442913.11000001</v>
      </c>
      <c r="J16" s="61">
        <f t="shared" ref="J16:AO16" si="2">SUM(J11:J15)</f>
        <v>-588471</v>
      </c>
      <c r="K16" s="39">
        <f t="shared" si="2"/>
        <v>-2896060.25</v>
      </c>
      <c r="L16" s="61">
        <f t="shared" si="2"/>
        <v>-1308815</v>
      </c>
      <c r="M16" s="39">
        <f t="shared" si="2"/>
        <v>-11520562.73</v>
      </c>
      <c r="N16" s="61">
        <f t="shared" si="2"/>
        <v>-438897</v>
      </c>
      <c r="O16" s="39">
        <f t="shared" si="2"/>
        <v>-1985482.87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-56865070</v>
      </c>
      <c r="E19" s="38">
        <f t="shared" si="3"/>
        <v>-224435835.52000001</v>
      </c>
      <c r="F19" s="60">
        <f>'TIE-OUT'!P19+RECLASS!N19</f>
        <v>0</v>
      </c>
      <c r="G19" s="38">
        <f>'TIE-OUT'!Q19+RECLASS!O19</f>
        <v>0</v>
      </c>
      <c r="H19" s="118">
        <f>+Actuals!E489</f>
        <v>-59170839</v>
      </c>
      <c r="I19" s="119">
        <f>+Actuals!F489</f>
        <v>-234049221.96000001</v>
      </c>
      <c r="J19" s="118">
        <f>1913844+4703</f>
        <v>1918547</v>
      </c>
      <c r="K19" s="119">
        <f>8051430.73+18802.59</f>
        <v>8070233.3200000003</v>
      </c>
      <c r="L19" s="118">
        <v>76232</v>
      </c>
      <c r="M19" s="119">
        <v>-32931.879999999997</v>
      </c>
      <c r="N19" s="118">
        <v>310990</v>
      </c>
      <c r="O19" s="119">
        <v>1576085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-9827146.6600000001</v>
      </c>
      <c r="F20" s="60">
        <f>'TIE-OUT'!P20+RECLASS!N20</f>
        <v>0</v>
      </c>
      <c r="G20" s="38">
        <f>'TIE-OUT'!Q20+RECLASS!O20</f>
        <v>-16419350.630000001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4">
        <v>0</v>
      </c>
      <c r="L20" s="118">
        <f>+Actuals!I490</f>
        <v>0</v>
      </c>
      <c r="M20" s="119">
        <v>6107723.9699999997</v>
      </c>
      <c r="N20" s="118">
        <f>+Actuals!K490</f>
        <v>0</v>
      </c>
      <c r="O20" s="139">
        <f>250480+234000</f>
        <v>484480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-13572313</v>
      </c>
      <c r="E21" s="38">
        <f t="shared" si="3"/>
        <v>-56780943</v>
      </c>
      <c r="F21" s="60">
        <f>'TIE-OUT'!P21+RECLASS!N21</f>
        <v>0</v>
      </c>
      <c r="G21" s="38">
        <f>'TIE-OUT'!Q21+RECLASS!O21</f>
        <v>0</v>
      </c>
      <c r="H21" s="118">
        <f>+Actuals!E491</f>
        <v>-17092428</v>
      </c>
      <c r="I21" s="119">
        <f>+Actuals!F491</f>
        <v>-70353933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v>3520115</v>
      </c>
      <c r="O21" s="119">
        <v>13572990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296459</v>
      </c>
      <c r="E23" s="38">
        <f t="shared" si="3"/>
        <v>1185243.0819999999</v>
      </c>
      <c r="F23" s="60">
        <f>'TIE-OUT'!P23+RECLASS!N23</f>
        <v>0</v>
      </c>
      <c r="G23" s="38">
        <f>'TIE-OUT'!Q23+RECLASS!O23</f>
        <v>0</v>
      </c>
      <c r="H23" s="118">
        <f>+Actuals!E493</f>
        <v>311279</v>
      </c>
      <c r="I23" s="119">
        <f>+Actuals!F493</f>
        <v>1244493.442</v>
      </c>
      <c r="J23" s="118">
        <v>-4703</v>
      </c>
      <c r="K23" s="119">
        <v>-18802.59</v>
      </c>
      <c r="L23" s="118">
        <v>-10117</v>
      </c>
      <c r="M23" s="119">
        <v>-40447.769999999997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-70140924</v>
      </c>
      <c r="E24" s="39">
        <f t="shared" si="4"/>
        <v>-289858682.09799999</v>
      </c>
      <c r="F24" s="61">
        <f t="shared" si="4"/>
        <v>0</v>
      </c>
      <c r="G24" s="39">
        <f t="shared" si="4"/>
        <v>-16419350.630000001</v>
      </c>
      <c r="H24" s="61">
        <f t="shared" si="4"/>
        <v>-75951988</v>
      </c>
      <c r="I24" s="39">
        <f t="shared" si="4"/>
        <v>-303158661.51800007</v>
      </c>
      <c r="J24" s="61">
        <f t="shared" ref="J24:AO24" si="5">SUM(J19:J23)</f>
        <v>1913844</v>
      </c>
      <c r="K24" s="39">
        <f t="shared" si="5"/>
        <v>8051430.7300000004</v>
      </c>
      <c r="L24" s="61">
        <f t="shared" si="5"/>
        <v>66115</v>
      </c>
      <c r="M24" s="39">
        <f t="shared" si="5"/>
        <v>6034344.3200000003</v>
      </c>
      <c r="N24" s="61">
        <f t="shared" si="5"/>
        <v>3831105</v>
      </c>
      <c r="O24" s="39">
        <f t="shared" si="5"/>
        <v>15633555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1146590</v>
      </c>
      <c r="E27" s="38">
        <f>SUM(G27,I27,K27,M27,O27,Q27,S27,U27,W27,Y27,AA27,AC27,AE27)</f>
        <v>4791616.129999999</v>
      </c>
      <c r="F27" s="60">
        <f>'TIE-OUT'!P27+RECLASS!N27</f>
        <v>0</v>
      </c>
      <c r="G27" s="38">
        <f>'TIE-OUT'!Q27+RECLASS!O27</f>
        <v>0</v>
      </c>
      <c r="H27" s="118">
        <f>+Actuals!E494</f>
        <v>1146590</v>
      </c>
      <c r="I27" s="119">
        <f>+Actuals!F494</f>
        <v>4791616.13</v>
      </c>
      <c r="J27" s="118">
        <v>-4</v>
      </c>
      <c r="K27" s="119">
        <v>-2017.98</v>
      </c>
      <c r="L27" s="118">
        <v>-7808</v>
      </c>
      <c r="M27" s="119">
        <v>-30479.200000000001</v>
      </c>
      <c r="N27" s="118">
        <v>7812</v>
      </c>
      <c r="O27" s="119">
        <v>32497.18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1146590</v>
      </c>
      <c r="E29" s="39">
        <f t="shared" si="6"/>
        <v>4791616.129999999</v>
      </c>
      <c r="F29" s="61">
        <f t="shared" si="6"/>
        <v>0</v>
      </c>
      <c r="G29" s="39">
        <f t="shared" si="6"/>
        <v>0</v>
      </c>
      <c r="H29" s="61">
        <f t="shared" si="6"/>
        <v>1146590</v>
      </c>
      <c r="I29" s="39">
        <f t="shared" si="6"/>
        <v>4791616.13</v>
      </c>
      <c r="J29" s="61">
        <f t="shared" ref="J29:AO29" si="7">SUM(J27:J28)</f>
        <v>-4</v>
      </c>
      <c r="K29" s="39">
        <f t="shared" si="7"/>
        <v>-2017.98</v>
      </c>
      <c r="L29" s="61">
        <f t="shared" si="7"/>
        <v>-7808</v>
      </c>
      <c r="M29" s="39">
        <f t="shared" si="7"/>
        <v>-30479.200000000001</v>
      </c>
      <c r="N29" s="61">
        <f t="shared" si="7"/>
        <v>7812</v>
      </c>
      <c r="O29" s="39">
        <f t="shared" si="7"/>
        <v>32497.18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102973</v>
      </c>
      <c r="E32" s="38">
        <f t="shared" si="8"/>
        <v>411686.05799999996</v>
      </c>
      <c r="F32" s="60">
        <f>'TIE-OUT'!P32+RECLASS!N32</f>
        <v>0</v>
      </c>
      <c r="G32" s="38">
        <f>'TIE-OUT'!Q32+RECLASS!O32</f>
        <v>0</v>
      </c>
      <c r="H32" s="118">
        <f>+Actuals!E496</f>
        <v>-75629</v>
      </c>
      <c r="I32" s="119">
        <f>+Actuals!F496</f>
        <v>-302364.74200000003</v>
      </c>
      <c r="J32" s="118">
        <v>164105</v>
      </c>
      <c r="K32" s="119">
        <v>656091.79</v>
      </c>
      <c r="L32" s="118">
        <v>17922</v>
      </c>
      <c r="M32" s="119">
        <v>71652.160000000003</v>
      </c>
      <c r="N32" s="118">
        <v>-3425</v>
      </c>
      <c r="O32" s="119">
        <v>-13693.15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-200706</v>
      </c>
      <c r="E33" s="38">
        <f t="shared" si="8"/>
        <v>-785761.29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v>-188951</v>
      </c>
      <c r="K33" s="119">
        <v>-785761.29</v>
      </c>
      <c r="L33" s="118">
        <v>-10197</v>
      </c>
      <c r="M33" s="119">
        <f>+Actuals!J497</f>
        <v>0</v>
      </c>
      <c r="N33" s="118">
        <v>-1558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110619</v>
      </c>
      <c r="E34" s="38">
        <f t="shared" si="8"/>
        <v>367099.37000000005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v>110612</v>
      </c>
      <c r="K34" s="119">
        <v>367074.03</v>
      </c>
      <c r="L34" s="118">
        <v>7</v>
      </c>
      <c r="M34" s="119">
        <v>25.34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-19819</v>
      </c>
      <c r="E35" s="38">
        <f t="shared" si="8"/>
        <v>-1295018.6200000001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v>-158916</v>
      </c>
      <c r="K35" s="119">
        <f>+Actuals!H499</f>
        <v>0</v>
      </c>
      <c r="L35" s="118">
        <v>22504</v>
      </c>
      <c r="M35" s="119">
        <v>-1044538.62</v>
      </c>
      <c r="N35" s="118">
        <v>116593</v>
      </c>
      <c r="O35" s="119">
        <v>-250480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-6933</v>
      </c>
      <c r="E36" s="39">
        <f t="shared" si="9"/>
        <v>-1301994.4820000001</v>
      </c>
      <c r="F36" s="61">
        <f t="shared" si="9"/>
        <v>0</v>
      </c>
      <c r="G36" s="39">
        <f t="shared" si="9"/>
        <v>0</v>
      </c>
      <c r="H36" s="61">
        <f t="shared" si="9"/>
        <v>-75629</v>
      </c>
      <c r="I36" s="39">
        <f t="shared" si="9"/>
        <v>-302364.74200000003</v>
      </c>
      <c r="J36" s="61">
        <f t="shared" ref="J36:AO36" si="10">SUM(J32:J35)</f>
        <v>-73150</v>
      </c>
      <c r="K36" s="39">
        <f t="shared" si="10"/>
        <v>237404.53000000003</v>
      </c>
      <c r="L36" s="61">
        <f t="shared" si="10"/>
        <v>30236</v>
      </c>
      <c r="M36" s="39">
        <f t="shared" si="10"/>
        <v>-972861.12</v>
      </c>
      <c r="N36" s="61">
        <f t="shared" si="10"/>
        <v>111610</v>
      </c>
      <c r="O36" s="39">
        <f t="shared" si="10"/>
        <v>-264173.15000000002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61829</v>
      </c>
      <c r="E39" s="38">
        <f t="shared" si="11"/>
        <v>254460.25</v>
      </c>
      <c r="F39" s="60">
        <f>'TIE-OUT'!P39+RECLASS!N39</f>
        <v>0</v>
      </c>
      <c r="G39" s="38">
        <f>'TIE-OUT'!Q39+RECLASS!O39</f>
        <v>0</v>
      </c>
      <c r="H39" s="118">
        <f>+Actuals!E500</f>
        <v>112413</v>
      </c>
      <c r="I39" s="119">
        <f>+Actuals!F500</f>
        <v>347426.21</v>
      </c>
      <c r="J39" s="118">
        <v>-50585</v>
      </c>
      <c r="K39" s="119">
        <v>-202242.42</v>
      </c>
      <c r="L39" s="118">
        <v>-25513</v>
      </c>
      <c r="M39" s="119">
        <f>+Actuals!J500</f>
        <v>0</v>
      </c>
      <c r="N39" s="118">
        <v>25514</v>
      </c>
      <c r="O39" s="119">
        <v>109276.46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-142107</v>
      </c>
      <c r="E40" s="38">
        <f t="shared" si="11"/>
        <v>-321446.01</v>
      </c>
      <c r="F40" s="60">
        <f>'TIE-OUT'!P40+RECLASS!N40</f>
        <v>0</v>
      </c>
      <c r="G40" s="38">
        <f>'TIE-OUT'!Q40+RECLASS!O40</f>
        <v>0</v>
      </c>
      <c r="H40" s="118">
        <f>+Actuals!E501</f>
        <v>-3009</v>
      </c>
      <c r="I40" s="119">
        <f>+Actuals!F501</f>
        <v>-0.01</v>
      </c>
      <c r="J40" s="118">
        <f>+Actuals!G501</f>
        <v>0</v>
      </c>
      <c r="K40" s="119">
        <f>+Actuals!H501</f>
        <v>0</v>
      </c>
      <c r="L40" s="118">
        <v>3009</v>
      </c>
      <c r="M40" s="119">
        <f>+Actuals!J501</f>
        <v>0</v>
      </c>
      <c r="N40" s="118">
        <v>-142107</v>
      </c>
      <c r="O40" s="119">
        <v>-321446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-142107</v>
      </c>
      <c r="E42" s="39">
        <f t="shared" si="12"/>
        <v>-321446.01</v>
      </c>
      <c r="F42" s="61">
        <f t="shared" si="12"/>
        <v>0</v>
      </c>
      <c r="G42" s="39">
        <f t="shared" si="12"/>
        <v>0</v>
      </c>
      <c r="H42" s="61">
        <f t="shared" si="12"/>
        <v>-3009</v>
      </c>
      <c r="I42" s="39">
        <f t="shared" si="12"/>
        <v>-0.01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3009</v>
      </c>
      <c r="M42" s="39">
        <f t="shared" si="13"/>
        <v>0</v>
      </c>
      <c r="N42" s="61">
        <f t="shared" si="13"/>
        <v>-142107</v>
      </c>
      <c r="O42" s="39">
        <f t="shared" si="13"/>
        <v>-321446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-80278</v>
      </c>
      <c r="E43" s="39">
        <f t="shared" si="14"/>
        <v>-66985.760000000009</v>
      </c>
      <c r="F43" s="61">
        <f t="shared" si="14"/>
        <v>0</v>
      </c>
      <c r="G43" s="39">
        <f t="shared" si="14"/>
        <v>0</v>
      </c>
      <c r="H43" s="61">
        <f t="shared" si="14"/>
        <v>109404</v>
      </c>
      <c r="I43" s="39">
        <f t="shared" si="14"/>
        <v>347426.2</v>
      </c>
      <c r="J43" s="61">
        <f t="shared" ref="J43:AO43" si="15">J42+J39</f>
        <v>-50585</v>
      </c>
      <c r="K43" s="39">
        <f t="shared" si="15"/>
        <v>-202242.42</v>
      </c>
      <c r="L43" s="61">
        <f t="shared" si="15"/>
        <v>-22504</v>
      </c>
      <c r="M43" s="39">
        <f t="shared" si="15"/>
        <v>0</v>
      </c>
      <c r="N43" s="61">
        <f t="shared" si="15"/>
        <v>-116593</v>
      </c>
      <c r="O43" s="39">
        <f t="shared" si="15"/>
        <v>-212169.53999999998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243920</v>
      </c>
      <c r="E49" s="38">
        <f>SUM(G49,I49,K49,M49,O49,Q49,S49,U49,W49,Y49,AA49,AC49,AE49)</f>
        <v>975192.16000000015</v>
      </c>
      <c r="F49" s="60">
        <f>'TIE-OUT'!P49+RECLASS!N49</f>
        <v>0</v>
      </c>
      <c r="G49" s="38">
        <f>'TIE-OUT'!Q49+RECLASS!O49</f>
        <v>0</v>
      </c>
      <c r="H49" s="118">
        <f>+Actuals!E505</f>
        <v>3597815</v>
      </c>
      <c r="I49" s="119">
        <f>+Actuals!F505</f>
        <v>14384064.369999999</v>
      </c>
      <c r="J49" s="118">
        <v>-1201634</v>
      </c>
      <c r="K49" s="119">
        <v>-4804132.7300000004</v>
      </c>
      <c r="L49" s="118">
        <v>1242776</v>
      </c>
      <c r="M49" s="119">
        <v>4968618.45</v>
      </c>
      <c r="N49" s="118">
        <v>-3395037</v>
      </c>
      <c r="O49" s="119">
        <v>-13573357.93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-296459</v>
      </c>
      <c r="E51" s="38">
        <f>SUM(G51,I51,K51,M51,O51,Q51,S51,U51,W51,Y51,AA51,AC51,AE51)</f>
        <v>-1185243.0819999999</v>
      </c>
      <c r="F51" s="60">
        <f>'TIE-OUT'!P51+RECLASS!N51</f>
        <v>0</v>
      </c>
      <c r="G51" s="38">
        <f>'TIE-OUT'!Q51+RECLASS!O51</f>
        <v>0</v>
      </c>
      <c r="H51" s="118">
        <f>+Actuals!E506</f>
        <v>-311279</v>
      </c>
      <c r="I51" s="119">
        <f>+Actuals!F506</f>
        <v>-1244493.442</v>
      </c>
      <c r="J51" s="118">
        <v>4703</v>
      </c>
      <c r="K51" s="119">
        <v>18802.59</v>
      </c>
      <c r="L51" s="118">
        <v>10117</v>
      </c>
      <c r="M51" s="119">
        <v>40447.769999999997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-22479702</v>
      </c>
      <c r="E54" s="38">
        <f>SUM(G54,I54,K54,M54,O54,Q54,S54,U54,W54,Y54,AA54,AC54,AE54)</f>
        <v>1629302.46</v>
      </c>
      <c r="F54" s="60">
        <f>'TIE-OUT'!P54+RECLASS!N54</f>
        <v>0</v>
      </c>
      <c r="G54" s="38">
        <f>'TIE-OUT'!Q54+RECLASS!O54</f>
        <v>0</v>
      </c>
      <c r="H54" s="118">
        <f>+Actuals!E507</f>
        <v>-23155744</v>
      </c>
      <c r="I54" s="119">
        <f>+Actuals!F507</f>
        <v>-708542.32</v>
      </c>
      <c r="J54" s="118">
        <v>593241</v>
      </c>
      <c r="K54" s="119">
        <v>1941447.88</v>
      </c>
      <c r="L54" s="118">
        <v>78899</v>
      </c>
      <c r="M54" s="119">
        <v>397768.65</v>
      </c>
      <c r="N54" s="118">
        <v>3902</v>
      </c>
      <c r="O54" s="119">
        <v>-1371.75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-4653460.08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-2523582.58</v>
      </c>
      <c r="J55" s="118">
        <f>+Actuals!G508</f>
        <v>0</v>
      </c>
      <c r="K55" s="119">
        <v>-2129877.5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-22479702</v>
      </c>
      <c r="E56" s="39">
        <f t="shared" si="16"/>
        <v>-3024157.62</v>
      </c>
      <c r="F56" s="61">
        <f t="shared" si="16"/>
        <v>0</v>
      </c>
      <c r="G56" s="39">
        <f t="shared" si="16"/>
        <v>0</v>
      </c>
      <c r="H56" s="61">
        <f t="shared" si="16"/>
        <v>-23155744</v>
      </c>
      <c r="I56" s="39">
        <f t="shared" si="16"/>
        <v>-3232124.9</v>
      </c>
      <c r="J56" s="61">
        <f t="shared" ref="J56:AO56" si="17">SUM(J54:J55)</f>
        <v>593241</v>
      </c>
      <c r="K56" s="39">
        <f t="shared" si="17"/>
        <v>-188429.62000000011</v>
      </c>
      <c r="L56" s="61">
        <f t="shared" si="17"/>
        <v>78899</v>
      </c>
      <c r="M56" s="39">
        <f t="shared" si="17"/>
        <v>397768.65</v>
      </c>
      <c r="N56" s="61">
        <f t="shared" si="17"/>
        <v>3902</v>
      </c>
      <c r="O56" s="39">
        <f t="shared" si="17"/>
        <v>-1371.75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22698435.850000001</v>
      </c>
      <c r="F70" s="60">
        <f>'TIE-OUT'!P70+RECLASS!N70</f>
        <v>0</v>
      </c>
      <c r="G70" s="38">
        <f>'TIE-OUT'!Q70+RECLASS!O70</f>
        <v>22698435.850000001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-35422068</v>
      </c>
      <c r="F71" s="60">
        <f>'TIE-OUT'!P71+RECLASS!N71</f>
        <v>0</v>
      </c>
      <c r="G71" s="38">
        <f>'TIE-OUT'!Q71+RECLASS!O71</f>
        <v>-35422068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-12723632.149999999</v>
      </c>
      <c r="F72" s="61">
        <f t="shared" si="22"/>
        <v>0</v>
      </c>
      <c r="G72" s="39">
        <f t="shared" si="22"/>
        <v>-12723632.149999999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19510989.699999999</v>
      </c>
      <c r="F74" s="60">
        <f>'TIE-OUT'!P74+RECLASS!N74</f>
        <v>0</v>
      </c>
      <c r="G74" s="38">
        <f>'TIE-OUT'!Q74+RECLASS!O74</f>
        <v>19510989.699999999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-31067.98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-31067.98</v>
      </c>
      <c r="J76" s="118">
        <f>+Actuals!G518</f>
        <v>0</v>
      </c>
      <c r="K76" s="119">
        <f>+Actuals!H518</f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609.85999999999967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v>-6533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7136238.0680000009</v>
      </c>
      <c r="F82" s="91">
        <f>F16+F24+F29+F36+F43+F45+F47+F49</f>
        <v>0</v>
      </c>
      <c r="G82" s="92">
        <f>SUM(G72:G81)+G16+G24+G29+G36+G43+G45+G47+G49+G51+G56+G61+G66</f>
        <v>2376793.0499999989</v>
      </c>
      <c r="H82" s="91">
        <f>H16+H24+H29+H36+H43+H45+H47+H49</f>
        <v>0</v>
      </c>
      <c r="I82" s="92">
        <f>SUM(I72:I81)+I16+I24+I29+I36+I43+I45+I47+I49+I51+I56+I61+I66</f>
        <v>6004450.0879999436</v>
      </c>
      <c r="J82" s="91">
        <f>J16+J24+J29+J36+J43+J45+J47+J49</f>
        <v>0</v>
      </c>
      <c r="K82" s="137">
        <f>SUM(K72:K81)+K16+K24+K29+K36+K43+K45+K47+K49+K51+K56+K61+K66</f>
        <v>208221.8499999998</v>
      </c>
      <c r="L82" s="91">
        <f>L16+L24+L29+L36+L43+L45+L47+L49</f>
        <v>0</v>
      </c>
      <c r="M82" s="92">
        <f>SUM(M72:M81)+M16+M24+M29+M36+M43+M45+M47+M49+M51+M56+M61+M66</f>
        <v>-1082723.8600000003</v>
      </c>
      <c r="N82" s="91">
        <f>N16+N24+N29+N36+N43+N45+N47+N49</f>
        <v>0</v>
      </c>
      <c r="O82" s="92">
        <f>SUM(O72:O81)+O16+O24+O29+O36+O43+O45+O47+O49+O51+O56+O61+O66</f>
        <v>-370503.06000000052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G57" activePane="bottomRight" state="frozen"/>
      <selection activeCell="N16" sqref="N16"/>
      <selection pane="topRight" activeCell="N16" sqref="N16"/>
      <selection pane="bottomLeft" activeCell="N16" sqref="N16"/>
      <selection pane="bottomRight" activeCell="N90" sqref="N9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3476874</v>
      </c>
      <c r="E11" s="38">
        <f>SUM(G11,I11,K11,M11,O11,Q11,S11,U11,W11,Y11,AA11,AC11,AE11)</f>
        <v>12013841.77</v>
      </c>
      <c r="F11" s="60">
        <f>'TIE-OUT'!R11+RECLASS!P11</f>
        <v>0</v>
      </c>
      <c r="G11" s="38">
        <f>'TIE-OUT'!S11+RECLASS!Q11</f>
        <v>0</v>
      </c>
      <c r="H11" s="118">
        <f>+Actuals!E204</f>
        <v>3476947</v>
      </c>
      <c r="I11" s="119">
        <f>+Actuals!F204</f>
        <v>12016933.529999999</v>
      </c>
      <c r="J11" s="118">
        <v>-73</v>
      </c>
      <c r="K11" s="119">
        <v>-4636.76</v>
      </c>
      <c r="L11" s="118">
        <f>+Actuals!I204</f>
        <v>0</v>
      </c>
      <c r="M11" s="119">
        <v>1545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71276.829999999987</v>
      </c>
      <c r="F12" s="60">
        <f>'TIE-OUT'!R12+RECLASS!P12</f>
        <v>0</v>
      </c>
      <c r="G12" s="38">
        <f>'TIE-OUT'!S12+RECLASS!Q12</f>
        <v>-29120.93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v>100397.75999999999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5098819</v>
      </c>
      <c r="E13" s="38">
        <f t="shared" si="0"/>
        <v>19858480</v>
      </c>
      <c r="F13" s="60">
        <f>'TIE-OUT'!R13+RECLASS!P13</f>
        <v>0</v>
      </c>
      <c r="G13" s="38">
        <f>'TIE-OUT'!S13+RECLASS!Q13</f>
        <v>0</v>
      </c>
      <c r="H13" s="118">
        <f>+Actuals!E206</f>
        <v>5098819</v>
      </c>
      <c r="I13" s="119">
        <f>+Actuals!F206</f>
        <v>19858480</v>
      </c>
      <c r="J13" s="118">
        <f>+Actuals!G206</f>
        <v>0</v>
      </c>
      <c r="K13" s="119">
        <f>+Actuals!H206</f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8575693</v>
      </c>
      <c r="E16" s="39">
        <f t="shared" si="1"/>
        <v>31943598.600000001</v>
      </c>
      <c r="F16" s="61">
        <f t="shared" si="1"/>
        <v>0</v>
      </c>
      <c r="G16" s="39">
        <f t="shared" si="1"/>
        <v>-29120.93</v>
      </c>
      <c r="H16" s="61">
        <f t="shared" si="1"/>
        <v>8575766</v>
      </c>
      <c r="I16" s="39">
        <f t="shared" si="1"/>
        <v>31875413.530000001</v>
      </c>
      <c r="J16" s="61">
        <f t="shared" ref="J16:AO16" si="2">SUM(J11:J15)</f>
        <v>-73</v>
      </c>
      <c r="K16" s="39">
        <f t="shared" si="2"/>
        <v>-4636.76</v>
      </c>
      <c r="L16" s="61">
        <f t="shared" si="2"/>
        <v>0</v>
      </c>
      <c r="M16" s="39">
        <f t="shared" si="2"/>
        <v>101942.76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-5206159</v>
      </c>
      <c r="E19" s="38">
        <f t="shared" si="3"/>
        <v>-17444020.100000001</v>
      </c>
      <c r="F19" s="64">
        <f>'TIE-OUT'!R19+RECLASS!P19</f>
        <v>0</v>
      </c>
      <c r="G19" s="68">
        <f>'TIE-OUT'!S19+RECLASS!Q19</f>
        <v>0</v>
      </c>
      <c r="H19" s="118">
        <f>+Actuals!E209</f>
        <v>-5175839</v>
      </c>
      <c r="I19" s="119">
        <f>+Actuals!F209</f>
        <v>-17378867.899999999</v>
      </c>
      <c r="J19" s="118">
        <v>1293266</v>
      </c>
      <c r="K19" s="119">
        <v>221367.58</v>
      </c>
      <c r="L19" s="118">
        <v>-1241790</v>
      </c>
      <c r="M19" s="119">
        <v>-8620.52</v>
      </c>
      <c r="N19" s="118">
        <v>-81796</v>
      </c>
      <c r="O19" s="119">
        <v>-277899.26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282068.21999999997</v>
      </c>
      <c r="F20" s="60">
        <f>'TIE-OUT'!R20+RECLASS!P20</f>
        <v>0</v>
      </c>
      <c r="G20" s="38">
        <f>'TIE-OUT'!S20+RECLASS!Q20</f>
        <v>282068.21999999997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-3517539</v>
      </c>
      <c r="E21" s="38">
        <f t="shared" si="3"/>
        <v>-13563594</v>
      </c>
      <c r="F21" s="60">
        <f>'TIE-OUT'!R21+RECLASS!P21</f>
        <v>0</v>
      </c>
      <c r="G21" s="38">
        <f>'TIE-OUT'!S21+RECLASS!Q21</f>
        <v>0</v>
      </c>
      <c r="H21" s="118">
        <f>+Actuals!E211</f>
        <v>0</v>
      </c>
      <c r="I21" s="119">
        <f>+Actuals!F211</f>
        <v>0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v>-3517539</v>
      </c>
      <c r="O21" s="119">
        <v>-13563594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-8723698</v>
      </c>
      <c r="E24" s="39">
        <f t="shared" si="4"/>
        <v>-30725545.880000003</v>
      </c>
      <c r="F24" s="61">
        <f t="shared" si="4"/>
        <v>0</v>
      </c>
      <c r="G24" s="39">
        <f t="shared" si="4"/>
        <v>282068.21999999997</v>
      </c>
      <c r="H24" s="61">
        <f t="shared" si="4"/>
        <v>-5175839</v>
      </c>
      <c r="I24" s="39">
        <f t="shared" si="4"/>
        <v>-17378867.899999999</v>
      </c>
      <c r="J24" s="61">
        <f t="shared" ref="J24:AO24" si="5">SUM(J19:J23)</f>
        <v>1293266</v>
      </c>
      <c r="K24" s="39">
        <f t="shared" si="5"/>
        <v>221367.58</v>
      </c>
      <c r="L24" s="61">
        <f t="shared" si="5"/>
        <v>-1241790</v>
      </c>
      <c r="M24" s="39">
        <f t="shared" si="5"/>
        <v>-8620.52</v>
      </c>
      <c r="N24" s="61">
        <f t="shared" si="5"/>
        <v>-3599335</v>
      </c>
      <c r="O24" s="39">
        <f t="shared" si="5"/>
        <v>-13841493.26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0</v>
      </c>
      <c r="E32" s="38">
        <f t="shared" si="7"/>
        <v>0</v>
      </c>
      <c r="F32" s="64">
        <f>'TIE-OUT'!R32+RECLASS!P32</f>
        <v>0</v>
      </c>
      <c r="G32" s="68">
        <f>'TIE-OUT'!S32+RECLASS!Q32</f>
        <v>0</v>
      </c>
      <c r="H32" s="118">
        <f>+Actuals!E216</f>
        <v>0</v>
      </c>
      <c r="I32" s="119">
        <f>+Actuals!F216</f>
        <v>0</v>
      </c>
      <c r="J32" s="118">
        <f>+Actuals!G216</f>
        <v>0</v>
      </c>
      <c r="K32" s="119">
        <f>+Actuals!H216</f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0</v>
      </c>
      <c r="E36" s="39">
        <f t="shared" si="8"/>
        <v>0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148005</v>
      </c>
      <c r="E49" s="38">
        <f>SUM(G49,I49,K49,M49,O49,Q49,S49,U49,W49,Y49,AA49,AC49,AE49)</f>
        <v>504105.01800000109</v>
      </c>
      <c r="F49" s="60">
        <f>'TIE-OUT'!R49+RECLASS!P49</f>
        <v>0</v>
      </c>
      <c r="G49" s="38">
        <f>'TIE-OUT'!S49+RECLASS!Q49</f>
        <v>0</v>
      </c>
      <c r="H49" s="118">
        <f>+Actuals!E225</f>
        <v>-3399927</v>
      </c>
      <c r="I49" s="119">
        <f>+Actuals!F225</f>
        <v>-11580151.362</v>
      </c>
      <c r="J49" s="118">
        <v>-1293193</v>
      </c>
      <c r="K49" s="119">
        <v>-4404615.3600000003</v>
      </c>
      <c r="L49" s="118">
        <v>1241790</v>
      </c>
      <c r="M49" s="119">
        <v>4229536.74</v>
      </c>
      <c r="N49" s="118">
        <v>3599335</v>
      </c>
      <c r="O49" s="119">
        <v>12259335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-10600305</v>
      </c>
      <c r="E54" s="38">
        <f>SUM(G54,I54,K54,M54,O54,Q54,S54,U54,W54,Y54,AA54,AC54,AE54)</f>
        <v>125667.37999999999</v>
      </c>
      <c r="F54" s="64">
        <f>'TIE-OUT'!R54+RECLASS!P54</f>
        <v>0</v>
      </c>
      <c r="G54" s="68">
        <f>'TIE-OUT'!S54+RECLASS!Q54</f>
        <v>0</v>
      </c>
      <c r="H54" s="118">
        <f>+Actuals!E227</f>
        <v>-10222796</v>
      </c>
      <c r="I54" s="119">
        <f>+Actuals!F227</f>
        <v>-451290.99</v>
      </c>
      <c r="J54" s="118">
        <v>-374597</v>
      </c>
      <c r="K54" s="119">
        <v>582970.23</v>
      </c>
      <c r="L54" s="118">
        <v>-2916</v>
      </c>
      <c r="M54" s="119">
        <v>-6011.86</v>
      </c>
      <c r="N54" s="118">
        <v>4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-1380930.3399999999</v>
      </c>
      <c r="F55" s="81">
        <f>'TIE-OUT'!R55+RECLASS!P55</f>
        <v>0</v>
      </c>
      <c r="G55" s="82">
        <f>'TIE-OUT'!S55+RECLASS!Q55</f>
        <v>-321410</v>
      </c>
      <c r="H55" s="118">
        <f>+Actuals!E228</f>
        <v>0</v>
      </c>
      <c r="I55" s="119">
        <f>+Actuals!F228</f>
        <v>-751074.98</v>
      </c>
      <c r="J55" s="118">
        <f>+Actuals!G228</f>
        <v>0</v>
      </c>
      <c r="K55" s="119">
        <v>-314100.88</v>
      </c>
      <c r="L55" s="118">
        <f>+Actuals!I228</f>
        <v>0</v>
      </c>
      <c r="M55" s="119">
        <v>5655.52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-10600305</v>
      </c>
      <c r="E56" s="39">
        <f t="shared" si="15"/>
        <v>-1255262.96</v>
      </c>
      <c r="F56" s="61">
        <f t="shared" si="15"/>
        <v>0</v>
      </c>
      <c r="G56" s="39">
        <f t="shared" si="15"/>
        <v>-321410</v>
      </c>
      <c r="H56" s="61">
        <f t="shared" si="15"/>
        <v>-10222796</v>
      </c>
      <c r="I56" s="39">
        <f t="shared" si="15"/>
        <v>-1202365.97</v>
      </c>
      <c r="J56" s="61">
        <f t="shared" si="15"/>
        <v>-374597</v>
      </c>
      <c r="K56" s="39">
        <f t="shared" si="15"/>
        <v>268869.34999999998</v>
      </c>
      <c r="L56" s="61">
        <f t="shared" si="15"/>
        <v>-2916</v>
      </c>
      <c r="M56" s="39">
        <f t="shared" si="15"/>
        <v>-356.33999999999924</v>
      </c>
      <c r="N56" s="61">
        <f t="shared" si="15"/>
        <v>4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999999.96</v>
      </c>
      <c r="F70" s="64">
        <f>'TIE-OUT'!R70+RECLASS!P70</f>
        <v>0</v>
      </c>
      <c r="G70" s="68">
        <f>'TIE-OUT'!S70+RECLASS!Q70</f>
        <v>999999.96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-1096737</v>
      </c>
      <c r="F71" s="81">
        <f>'TIE-OUT'!R71+RECLASS!P71</f>
        <v>0</v>
      </c>
      <c r="G71" s="82">
        <f>'TIE-OUT'!S71+RECLASS!Q71</f>
        <v>-1096737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-96737.040000000037</v>
      </c>
      <c r="F72" s="61">
        <f t="shared" si="18"/>
        <v>0</v>
      </c>
      <c r="G72" s="39">
        <f t="shared" si="18"/>
        <v>-96737.040000000037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-232872.15</v>
      </c>
      <c r="F74" s="60">
        <f>'TIE-OUT'!R74+RECLASS!P74</f>
        <v>0</v>
      </c>
      <c r="G74" s="60">
        <f>'TIE-OUT'!S74+RECLASS!Q74</f>
        <v>-232872.15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-534</v>
      </c>
      <c r="F76" s="60">
        <f>'TIE-OUT'!R76+RECLASS!P76</f>
        <v>0</v>
      </c>
      <c r="G76" s="60">
        <f>'TIE-OUT'!S76+RECLASS!Q76</f>
        <v>-534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136751.58799999859</v>
      </c>
      <c r="F82" s="91">
        <f>F16+F24+F29+F36+F43+F45+F47+F49</f>
        <v>0</v>
      </c>
      <c r="G82" s="92">
        <f>SUM(G72:G81)+G16+G24+G29+G36+G43+G45+G47+G49+G51+G56+G61+G66</f>
        <v>-398605.90000000008</v>
      </c>
      <c r="H82" s="91">
        <f>H16+H24+H29+H36+H43+H45+H47+H49</f>
        <v>0</v>
      </c>
      <c r="I82" s="92">
        <f>SUM(I72:I81)+I16+I24+I29+I36+I43+I45+I47+I49+I51+I56+I61+I66</f>
        <v>1714028.298000003</v>
      </c>
      <c r="J82" s="91">
        <f>J16+J24+J29+J36+J43+J45+J47+J49</f>
        <v>0</v>
      </c>
      <c r="K82" s="137">
        <f>SUM(K72:K81)+K16+K24+K29+K36+K43+K45+K47+K49+K51+K56+K61+K66</f>
        <v>-3919015.1900000004</v>
      </c>
      <c r="L82" s="91">
        <f>L16+L24+L29+L36+L43+L45+L47+L49</f>
        <v>0</v>
      </c>
      <c r="M82" s="92">
        <f>SUM(M72:M81)+M16+M24+M29+M36+M43+M45+M47+M49+M51+M56+M61+M66</f>
        <v>4322502.6400000006</v>
      </c>
      <c r="N82" s="91">
        <f>N16+N24+N29+N36+N43+N45+N47+N49</f>
        <v>0</v>
      </c>
      <c r="O82" s="92">
        <f>SUM(O72:O81)+O16+O24+O29+O36+O43+O45+O47+O49+O51+O56+O61+O66</f>
        <v>-1582158.2599999998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55000</v>
      </c>
      <c r="F86" s="145">
        <f>'TIE-OUT'!R86+RECLASS!P86</f>
        <v>0</v>
      </c>
      <c r="G86" s="184">
        <f>'TIE-OUT'!S86+RECLASS!Q86</f>
        <v>55426</v>
      </c>
      <c r="H86" s="145">
        <v>0</v>
      </c>
      <c r="I86" s="145">
        <v>-1125</v>
      </c>
      <c r="J86" s="145">
        <v>0</v>
      </c>
      <c r="K86" s="145">
        <v>699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55000</v>
      </c>
      <c r="F89" s="155">
        <f t="shared" si="22"/>
        <v>0</v>
      </c>
      <c r="G89" s="155">
        <f t="shared" si="22"/>
        <v>55426</v>
      </c>
      <c r="H89" s="155">
        <f t="shared" si="22"/>
        <v>0</v>
      </c>
      <c r="I89" s="155">
        <f t="shared" si="22"/>
        <v>-1125</v>
      </c>
      <c r="J89" s="155">
        <f t="shared" si="22"/>
        <v>0</v>
      </c>
      <c r="K89" s="155">
        <f t="shared" si="22"/>
        <v>699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191751.58799999859</v>
      </c>
      <c r="F91" s="155">
        <f t="shared" si="23"/>
        <v>0</v>
      </c>
      <c r="G91" s="155">
        <f t="shared" si="23"/>
        <v>-343179.90000000008</v>
      </c>
      <c r="H91" s="155">
        <f t="shared" si="23"/>
        <v>0</v>
      </c>
      <c r="I91" s="155">
        <f t="shared" si="23"/>
        <v>1712903.298000003</v>
      </c>
      <c r="J91" s="155">
        <f t="shared" si="23"/>
        <v>0</v>
      </c>
      <c r="K91" s="155">
        <f t="shared" si="23"/>
        <v>-3918316.1900000004</v>
      </c>
      <c r="L91" s="155">
        <f t="shared" si="23"/>
        <v>0</v>
      </c>
      <c r="M91" s="155">
        <f t="shared" si="23"/>
        <v>4322502.6400000006</v>
      </c>
      <c r="N91" s="155">
        <f t="shared" si="23"/>
        <v>0</v>
      </c>
      <c r="O91" s="155">
        <f t="shared" si="23"/>
        <v>-1582158.2599999998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70" activePane="bottomRight" state="frozen"/>
      <selection activeCell="N16" sqref="N16"/>
      <selection pane="topRight" activeCell="N16" sqref="N16"/>
      <selection pane="bottomLeft" activeCell="N16" sqref="N16"/>
      <selection pane="bottomRight" activeCell="N16" sqref="N1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4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20">
        <f>+Actuals!E147</f>
        <v>0</v>
      </c>
      <c r="I54" s="121">
        <f>+Actuals!F147</f>
        <v>0</v>
      </c>
      <c r="J54" s="120">
        <f>+Actuals!G147</f>
        <v>0</v>
      </c>
      <c r="K54" s="121">
        <f>+Actuals!H147</f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20">
        <f>+Actuals!E148</f>
        <v>0</v>
      </c>
      <c r="I55" s="121">
        <f>+Actuals!F148</f>
        <v>0</v>
      </c>
      <c r="J55" s="120">
        <f>+Actuals!G148</f>
        <v>0</v>
      </c>
      <c r="K55" s="121">
        <f>+Actuals!H148</f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61236.76</v>
      </c>
      <c r="F74" s="60">
        <f>'TIE-OUT'!AH74+RECLASS!AH74</f>
        <v>0</v>
      </c>
      <c r="G74" s="60">
        <f>'TIE-OUT'!AI74+RECLASS!AI74</f>
        <v>61236.76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61236.76</v>
      </c>
      <c r="F82" s="91">
        <f>F16+F24+F29+F36+F43+F45+F47+F49</f>
        <v>0</v>
      </c>
      <c r="G82" s="92">
        <f>SUM(G72:G81)+G16+G24+G29+G36+G43+G45+G47+G49+G51+G56+G61+G66</f>
        <v>61236.76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I53" activePane="bottomRight" state="frozen"/>
      <selection activeCell="N16" sqref="N16"/>
      <selection pane="topRight" activeCell="N16" sqref="N16"/>
      <selection pane="bottomLeft" activeCell="N16" sqref="N16"/>
      <selection pane="bottomRight" activeCell="O87" sqref="O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2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-74633.570000000007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2"/>
      <c r="L12" s="60"/>
      <c r="M12" s="38">
        <v>-74633.570000000007</v>
      </c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-1366458</v>
      </c>
      <c r="F13" s="60">
        <f>'TIE-OUT'!Z13+RECLASS!X13</f>
        <v>0</v>
      </c>
      <c r="G13" s="38">
        <f>'TIE-OUT'!AA13+RECLASS!Y13</f>
        <v>1051530</v>
      </c>
      <c r="H13" s="60"/>
      <c r="I13" s="38">
        <f>-1423900</f>
        <v>-1423900</v>
      </c>
      <c r="J13" s="60"/>
      <c r="K13" s="212">
        <v>-994088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2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2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-1441091.57</v>
      </c>
      <c r="F16" s="61">
        <f t="shared" si="1"/>
        <v>0</v>
      </c>
      <c r="G16" s="39">
        <f t="shared" si="1"/>
        <v>1051530</v>
      </c>
      <c r="H16" s="61">
        <f t="shared" si="1"/>
        <v>0</v>
      </c>
      <c r="I16" s="39">
        <f t="shared" si="1"/>
        <v>-1423900</v>
      </c>
      <c r="J16" s="61">
        <f t="shared" si="1"/>
        <v>0</v>
      </c>
      <c r="K16" s="213">
        <f t="shared" si="1"/>
        <v>-994088</v>
      </c>
      <c r="L16" s="61">
        <f t="shared" si="1"/>
        <v>0</v>
      </c>
      <c r="M16" s="39">
        <f t="shared" si="1"/>
        <v>-74633.570000000007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2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2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2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2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2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2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2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3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2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2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2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2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3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2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2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2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2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2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2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3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2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2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2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2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2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3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3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2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2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2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2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2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2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2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-102602.52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2">
        <v>-13.14</v>
      </c>
      <c r="L51" s="60"/>
      <c r="M51" s="38">
        <v>-102589.38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2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2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2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2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3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2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2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2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4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3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2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2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2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2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3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2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2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2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146095483</v>
      </c>
      <c r="F70" s="64">
        <f>'TIE-OUT'!Z70+RECLASS!X70</f>
        <v>0</v>
      </c>
      <c r="G70" s="68">
        <f>'TIE-OUT'!AA70+RECLASS!Y70</f>
        <v>137450609</v>
      </c>
      <c r="H70" s="60"/>
      <c r="I70" s="38">
        <v>0</v>
      </c>
      <c r="J70" s="60"/>
      <c r="K70" s="214">
        <v>8644874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-146729180</v>
      </c>
      <c r="F71" s="81">
        <f>'TIE-OUT'!Z71+RECLASS!X71</f>
        <v>0</v>
      </c>
      <c r="G71" s="82">
        <f>'TIE-OUT'!AA71+RECLASS!Y71</f>
        <v>-146729180</v>
      </c>
      <c r="H71" s="60"/>
      <c r="I71" s="38"/>
      <c r="J71" s="60"/>
      <c r="K71" s="212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-633697</v>
      </c>
      <c r="F72" s="61">
        <f t="shared" si="13"/>
        <v>0</v>
      </c>
      <c r="G72" s="39">
        <f t="shared" si="13"/>
        <v>-9278571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3">
        <f t="shared" si="13"/>
        <v>8644874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2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1726015.4400000004</v>
      </c>
      <c r="F74" s="60">
        <f>'TIE-OUT'!Z74+RECLASS!X74</f>
        <v>0</v>
      </c>
      <c r="G74" s="60">
        <f>'TIE-OUT'!AA74+RECLASS!Y74</f>
        <v>3012381.87</v>
      </c>
      <c r="H74" s="60"/>
      <c r="I74" s="38"/>
      <c r="J74" s="60"/>
      <c r="K74" s="139">
        <v>0</v>
      </c>
      <c r="L74" s="60"/>
      <c r="M74" s="38">
        <v>-8121777.29</v>
      </c>
      <c r="N74" s="60"/>
      <c r="O74" s="38">
        <v>6835410.8600000003</v>
      </c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232</v>
      </c>
      <c r="D75" s="60">
        <f t="shared" si="14"/>
        <v>0</v>
      </c>
      <c r="E75" s="38">
        <f t="shared" si="14"/>
        <v>-1778864</v>
      </c>
      <c r="F75" s="60">
        <f>'TIE-OUT'!Z75+RECLASS!X75</f>
        <v>0</v>
      </c>
      <c r="G75" s="60">
        <f>'TIE-OUT'!AA75+RECLASS!Y75</f>
        <v>-1777304</v>
      </c>
      <c r="H75" s="60"/>
      <c r="I75" s="38"/>
      <c r="J75" s="60"/>
      <c r="K75" s="212">
        <v>-1560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-5196</v>
      </c>
      <c r="F76" s="60">
        <f>'TIE-OUT'!Z76+RECLASS!X76</f>
        <v>0</v>
      </c>
      <c r="G76" s="60">
        <f>'TIE-OUT'!AA76+RECLASS!Y76</f>
        <v>-5196</v>
      </c>
      <c r="H76" s="60"/>
      <c r="I76" s="38"/>
      <c r="J76" s="60"/>
      <c r="K76" s="212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-466578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2">
        <v>-466578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2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0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2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-128.33000000000001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2">
        <v>-128.33000000000001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-2702141.98</v>
      </c>
      <c r="F82" s="91">
        <f>F16+F24+F29+F36+F43+F45+F47+F49</f>
        <v>0</v>
      </c>
      <c r="G82" s="92">
        <f>SUM(G72:G81)+G16+G24+G29+G36+G43+G45+G47+G49+G51+G56+G61+G66</f>
        <v>-6997159.1299999999</v>
      </c>
      <c r="H82" s="91">
        <f>H16+H24+H29+H36+H43+H45+H47+H49</f>
        <v>0</v>
      </c>
      <c r="I82" s="140">
        <f>SUM(I72:I81)+I16+I24+I29+I36+I43+I45+I47+I49+I51+I56+I61+I66</f>
        <v>-1423900</v>
      </c>
      <c r="J82" s="91">
        <f>J16+J24+J29+J36+J43+J45+J47+J49</f>
        <v>0</v>
      </c>
      <c r="K82" s="140">
        <f>SUM(K72:K81)+K16+K24+K29+K36+K43+K45+K47+K49+K51+K56+K61+K66</f>
        <v>7182506.5300000003</v>
      </c>
      <c r="L82" s="91">
        <f>L16+L24+L29+L36+L43+L45+L47+L49</f>
        <v>0</v>
      </c>
      <c r="M82" s="92">
        <f>SUM(M72:M81)+M16+M24+M29+M36+M43+M45+M47+M49+M51+M56+M61+M66</f>
        <v>-8299000.2400000002</v>
      </c>
      <c r="N82" s="91">
        <f>N16+N24+N29+N36+N43+N45+N47+N49</f>
        <v>0</v>
      </c>
      <c r="O82" s="92">
        <f>SUM(O72:O81)+O16+O24+O29+O36+O43+O45+O47+O49+O51+O56+O61+O66</f>
        <v>6835410.8600000003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-708330.57000000007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79" activePane="bottomRight" state="frozen"/>
      <selection activeCell="N16" sqref="N16"/>
      <selection pane="topRight" activeCell="N16" sqref="N16"/>
      <selection pane="bottomLeft" activeCell="N16" sqref="N16"/>
      <selection pane="bottomRight" activeCell="AT91" sqref="AT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227</v>
      </c>
      <c r="K8" s="128"/>
      <c r="L8" s="26" t="s">
        <v>233</v>
      </c>
      <c r="M8" s="27"/>
      <c r="N8" s="26" t="s">
        <v>234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29094640</v>
      </c>
      <c r="E11" s="38">
        <f>SUM(G11,I11,K11,M11,O11,Q11,S11,U11,W11,Y11,AA11,AC11,AE11)</f>
        <v>126763236.66999999</v>
      </c>
      <c r="F11" s="60">
        <f>'TIE-OUT'!AB11+RECLASS!Z11</f>
        <v>0</v>
      </c>
      <c r="G11" s="38">
        <f>'TIE-OUT'!AC11+RECLASS!AA11</f>
        <v>0</v>
      </c>
      <c r="H11" s="118">
        <f>+Actuals!E284</f>
        <v>30578969</v>
      </c>
      <c r="I11" s="119">
        <f>+Actuals!F284</f>
        <v>127705469.34999999</v>
      </c>
      <c r="J11" s="118">
        <v>-148235</v>
      </c>
      <c r="K11" s="119">
        <v>-720238.03</v>
      </c>
      <c r="L11" s="118">
        <v>3526</v>
      </c>
      <c r="M11" s="119">
        <v>-221994.65</v>
      </c>
      <c r="N11" s="118">
        <v>-1339620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28127838.59</v>
      </c>
      <c r="F12" s="60">
        <f>'TIE-OUT'!AB12+RECLASS!Z12</f>
        <v>0</v>
      </c>
      <c r="G12" s="38">
        <f>'TIE-OUT'!AC12+RECLASS!AA12</f>
        <v>28127838.59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4177126</v>
      </c>
      <c r="E13" s="38">
        <f t="shared" si="0"/>
        <v>18321298</v>
      </c>
      <c r="F13" s="60">
        <f>'TIE-OUT'!AB13+RECLASS!Z13</f>
        <v>0</v>
      </c>
      <c r="G13" s="38">
        <f>'TIE-OUT'!AC13+RECLASS!AA13</f>
        <v>0</v>
      </c>
      <c r="H13" s="118">
        <f>+Actuals!E286</f>
        <v>4179702</v>
      </c>
      <c r="I13" s="119">
        <f>+Actuals!F286</f>
        <v>18330694</v>
      </c>
      <c r="J13" s="118">
        <f>+Actuals!G286</f>
        <v>0</v>
      </c>
      <c r="K13" s="119">
        <f>+Actuals!H286</f>
        <v>0</v>
      </c>
      <c r="L13" s="118">
        <f>+Actuals!I286</f>
        <v>0</v>
      </c>
      <c r="M13" s="119">
        <f>+Actuals!J286</f>
        <v>0</v>
      </c>
      <c r="N13" s="118">
        <v>-2576</v>
      </c>
      <c r="O13" s="119">
        <v>-9396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341000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v>330000</v>
      </c>
      <c r="N15" s="118">
        <f>+Actuals!K288</f>
        <v>0</v>
      </c>
      <c r="O15" s="119">
        <v>11000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33271766</v>
      </c>
      <c r="E16" s="39">
        <f t="shared" si="1"/>
        <v>173553373.25999999</v>
      </c>
      <c r="F16" s="61">
        <f t="shared" si="1"/>
        <v>0</v>
      </c>
      <c r="G16" s="39">
        <f t="shared" si="1"/>
        <v>28127838.59</v>
      </c>
      <c r="H16" s="61">
        <f t="shared" si="1"/>
        <v>34758671</v>
      </c>
      <c r="I16" s="39">
        <f t="shared" si="1"/>
        <v>146036163.34999999</v>
      </c>
      <c r="J16" s="61">
        <f t="shared" si="1"/>
        <v>-148235</v>
      </c>
      <c r="K16" s="39">
        <f t="shared" si="1"/>
        <v>-720238.03</v>
      </c>
      <c r="L16" s="61">
        <f t="shared" si="1"/>
        <v>3526</v>
      </c>
      <c r="M16" s="39">
        <f t="shared" si="1"/>
        <v>108005.35</v>
      </c>
      <c r="N16" s="61">
        <f t="shared" si="1"/>
        <v>-1342196</v>
      </c>
      <c r="O16" s="39">
        <f t="shared" si="1"/>
        <v>1604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-32201268</v>
      </c>
      <c r="E19" s="38">
        <f t="shared" si="2"/>
        <v>-143596469.96000001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-33810169</v>
      </c>
      <c r="I19" s="119">
        <f>+Actuals!F289</f>
        <v>-144476567.79000002</v>
      </c>
      <c r="J19" s="118">
        <f>1595203+13698</f>
        <v>1608901</v>
      </c>
      <c r="K19" s="119">
        <f>643004.83+59997</f>
        <v>703001.83</v>
      </c>
      <c r="L19" s="118">
        <f>+Actuals!I289</f>
        <v>0</v>
      </c>
      <c r="M19" s="119">
        <v>183471</v>
      </c>
      <c r="N19" s="118">
        <f>+Actuals!K289</f>
        <v>0</v>
      </c>
      <c r="O19" s="119">
        <v>-6375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-25724163.960000001</v>
      </c>
      <c r="F20" s="60">
        <f>'TIE-OUT'!AB20+RECLASS!Z20</f>
        <v>0</v>
      </c>
      <c r="G20" s="38">
        <f>'TIE-OUT'!AC20+RECLASS!AA20</f>
        <v>-27465157.539999999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4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39">
        <v>1740993.58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-1064304</v>
      </c>
      <c r="E21" s="38">
        <f t="shared" si="2"/>
        <v>-4329544</v>
      </c>
      <c r="F21" s="60">
        <f>'TIE-OUT'!AB21+RECLASS!Z21</f>
        <v>0</v>
      </c>
      <c r="G21" s="38">
        <f>'TIE-OUT'!AC21+RECLASS!AA21</f>
        <v>0</v>
      </c>
      <c r="H21" s="118">
        <f>+Actuals!E291</f>
        <v>-1064304</v>
      </c>
      <c r="I21" s="119">
        <f>+Actuals!F291</f>
        <v>-4329544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225571</v>
      </c>
      <c r="I23" s="119">
        <f>+Actuals!F293</f>
        <v>988000.98</v>
      </c>
      <c r="J23" s="118">
        <v>-13698</v>
      </c>
      <c r="K23" s="119">
        <v>-59997.24</v>
      </c>
      <c r="L23" s="118">
        <v>-211873</v>
      </c>
      <c r="M23" s="119">
        <v>-928003.74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-33265572</v>
      </c>
      <c r="E24" s="39">
        <f t="shared" si="3"/>
        <v>-173650177.92000002</v>
      </c>
      <c r="F24" s="61">
        <f t="shared" si="3"/>
        <v>0</v>
      </c>
      <c r="G24" s="39">
        <f t="shared" si="3"/>
        <v>-27465157.539999999</v>
      </c>
      <c r="H24" s="61">
        <f t="shared" si="3"/>
        <v>-34648902</v>
      </c>
      <c r="I24" s="39">
        <f t="shared" si="3"/>
        <v>-147818110.81000003</v>
      </c>
      <c r="J24" s="61">
        <f t="shared" si="3"/>
        <v>1595203</v>
      </c>
      <c r="K24" s="39">
        <f t="shared" si="3"/>
        <v>643004.59</v>
      </c>
      <c r="L24" s="61">
        <f t="shared" si="3"/>
        <v>-211873</v>
      </c>
      <c r="M24" s="39">
        <f t="shared" si="3"/>
        <v>-744532.74</v>
      </c>
      <c r="N24" s="61">
        <f t="shared" si="3"/>
        <v>0</v>
      </c>
      <c r="O24" s="39">
        <f t="shared" si="3"/>
        <v>1734618.58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462985</v>
      </c>
      <c r="E32" s="38">
        <f t="shared" si="5"/>
        <v>2027874.3</v>
      </c>
      <c r="F32" s="64">
        <f>'TIE-OUT'!AB32+RECLASS!Z32</f>
        <v>0</v>
      </c>
      <c r="G32" s="68">
        <f>'TIE-OUT'!AC32+RECLASS!AA32</f>
        <v>0</v>
      </c>
      <c r="H32" s="118">
        <f>+Actuals!E296</f>
        <v>456262</v>
      </c>
      <c r="I32" s="119">
        <f>+Actuals!F296</f>
        <v>1998427.56</v>
      </c>
      <c r="J32" s="118">
        <v>6723</v>
      </c>
      <c r="K32" s="119">
        <v>29446.74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462985</v>
      </c>
      <c r="E36" s="39">
        <f t="shared" si="6"/>
        <v>2027874.3</v>
      </c>
      <c r="F36" s="61">
        <f t="shared" si="6"/>
        <v>0</v>
      </c>
      <c r="G36" s="39">
        <f t="shared" si="6"/>
        <v>0</v>
      </c>
      <c r="H36" s="61">
        <f t="shared" si="6"/>
        <v>456262</v>
      </c>
      <c r="I36" s="39">
        <f t="shared" si="6"/>
        <v>1998427.56</v>
      </c>
      <c r="J36" s="61">
        <f t="shared" si="6"/>
        <v>6723</v>
      </c>
      <c r="K36" s="39">
        <f t="shared" si="6"/>
        <v>29446.74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-469179</v>
      </c>
      <c r="E49" s="38">
        <f>SUM(G49,I49,K49,M49,O49,Q49,S49,U49,W49,Y49,AA49,AC49,AE49)</f>
        <v>-2055004.0199999986</v>
      </c>
      <c r="F49" s="60">
        <f>'TIE-OUT'!AB49+RECLASS!Z49</f>
        <v>0</v>
      </c>
      <c r="G49" s="38">
        <f>'TIE-OUT'!AC49+RECLASS!AA49</f>
        <v>0</v>
      </c>
      <c r="H49" s="118">
        <f>+Actuals!E305</f>
        <v>-566031</v>
      </c>
      <c r="I49" s="119">
        <f>+Actuals!F305</f>
        <v>-2479215.7799999998</v>
      </c>
      <c r="J49" s="118">
        <v>-1453691</v>
      </c>
      <c r="K49" s="119">
        <v>-6367166.5800000001</v>
      </c>
      <c r="L49" s="118">
        <v>208347</v>
      </c>
      <c r="M49" s="119">
        <v>912559.86</v>
      </c>
      <c r="N49" s="118">
        <v>1342196</v>
      </c>
      <c r="O49" s="119">
        <v>5878818.4800000004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-225571</v>
      </c>
      <c r="I51" s="119">
        <f>+Actuals!F306</f>
        <v>-988000.98</v>
      </c>
      <c r="J51" s="118">
        <v>13698</v>
      </c>
      <c r="K51" s="119">
        <v>59997.24</v>
      </c>
      <c r="L51" s="118">
        <v>211873</v>
      </c>
      <c r="M51" s="119">
        <v>928003.74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-4074105.04</v>
      </c>
      <c r="E54" s="38">
        <f>SUM(G54,I54,K54,M54,O54,Q54,S54,U54,W54,Y54,AA54,AC54,AE54)</f>
        <v>1362617.19</v>
      </c>
      <c r="F54" s="64">
        <f>'TIE-OUT'!AB54+RECLASS!Z54</f>
        <v>0</v>
      </c>
      <c r="G54" s="68">
        <f>'TIE-OUT'!AC54+RECLASS!AA54</f>
        <v>0</v>
      </c>
      <c r="H54" s="118">
        <f>+Actuals!E307</f>
        <v>-7370405</v>
      </c>
      <c r="I54" s="119">
        <f>+Actuals!F307</f>
        <v>-13649.91</v>
      </c>
      <c r="J54" s="118">
        <v>3271730.65</v>
      </c>
      <c r="K54" s="119">
        <v>-15338.88</v>
      </c>
      <c r="L54" s="118">
        <v>0</v>
      </c>
      <c r="M54" s="119">
        <v>1392796</v>
      </c>
      <c r="N54" s="118">
        <v>24569.31</v>
      </c>
      <c r="O54" s="119">
        <v>-1190.02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-1403140.92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v>-1403140.92</v>
      </c>
      <c r="L55" s="118">
        <f>+Actuals!I308</f>
        <v>0</v>
      </c>
      <c r="M55" s="119"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-4074105.04</v>
      </c>
      <c r="E56" s="39">
        <f t="shared" si="10"/>
        <v>-40523.729999999981</v>
      </c>
      <c r="F56" s="61">
        <f t="shared" si="10"/>
        <v>0</v>
      </c>
      <c r="G56" s="39">
        <f t="shared" si="10"/>
        <v>0</v>
      </c>
      <c r="H56" s="61">
        <f t="shared" si="10"/>
        <v>-7370405</v>
      </c>
      <c r="I56" s="39">
        <f t="shared" si="10"/>
        <v>-13649.91</v>
      </c>
      <c r="J56" s="61">
        <f t="shared" si="10"/>
        <v>3271730.65</v>
      </c>
      <c r="K56" s="39">
        <f t="shared" si="10"/>
        <v>-1418479.7999999998</v>
      </c>
      <c r="L56" s="61">
        <f t="shared" si="10"/>
        <v>0</v>
      </c>
      <c r="M56" s="39">
        <f t="shared" si="10"/>
        <v>1392796</v>
      </c>
      <c r="N56" s="61">
        <f t="shared" si="10"/>
        <v>24569.31</v>
      </c>
      <c r="O56" s="39">
        <f t="shared" si="10"/>
        <v>-1190.02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8346121.5199999996</v>
      </c>
      <c r="F70" s="64">
        <f>'TIE-OUT'!AB70+RECLASS!Z70</f>
        <v>0</v>
      </c>
      <c r="G70" s="68">
        <f>'TIE-OUT'!AC70+RECLASS!AA70</f>
        <v>8346121.5199999996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-9378953</v>
      </c>
      <c r="F71" s="81">
        <f>'TIE-OUT'!AB71+RECLASS!Z71</f>
        <v>0</v>
      </c>
      <c r="G71" s="82">
        <f>'TIE-OUT'!AC71+RECLASS!AA71</f>
        <v>-9378953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-1032831.4800000004</v>
      </c>
      <c r="F72" s="61">
        <f t="shared" si="13"/>
        <v>0</v>
      </c>
      <c r="G72" s="183">
        <f t="shared" si="13"/>
        <v>-1032831.4800000004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-1125482.3399999999</v>
      </c>
      <c r="F74" s="60">
        <f>'TIE-OUT'!AB74+RECLASS!Z74</f>
        <v>0</v>
      </c>
      <c r="G74" s="60">
        <f>'TIE-OUT'!AC74+RECLASS!AA74</f>
        <v>5155016.66</v>
      </c>
      <c r="H74" s="118">
        <f>+Actuals!E316</f>
        <v>0</v>
      </c>
      <c r="I74" s="226">
        <v>0</v>
      </c>
      <c r="J74" s="118">
        <f>+Actuals!G316</f>
        <v>0</v>
      </c>
      <c r="K74" s="214">
        <f>+Actuals!H316</f>
        <v>0</v>
      </c>
      <c r="L74" s="118">
        <f>+Actuals!I316</f>
        <v>0</v>
      </c>
      <c r="M74" s="119">
        <v>-4890342</v>
      </c>
      <c r="N74" s="118">
        <f>+Actuals!K316</f>
        <v>0</v>
      </c>
      <c r="O74" s="139">
        <f>-1833950+443793</f>
        <v>-1390157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-17554</v>
      </c>
      <c r="F76" s="60">
        <f>'TIE-OUT'!AB76+RECLASS!Z76</f>
        <v>0</v>
      </c>
      <c r="G76" s="60">
        <f>'TIE-OUT'!AC76+RECLASS!AA76</f>
        <v>-12852</v>
      </c>
      <c r="H76" s="118">
        <f>+Actuals!E318</f>
        <v>0</v>
      </c>
      <c r="I76" s="119">
        <f>+Actuals!F318</f>
        <v>-4702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-666007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v>-666007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-3006332.9300000179</v>
      </c>
      <c r="F82" s="91">
        <f>F16+F24+F29+F36+F43+F45+F47+F49</f>
        <v>0</v>
      </c>
      <c r="G82" s="92">
        <f>SUM(G72:G81)+G16+G24+G29+G36+G43+G45+G47+G49+G51+G56+G61+G66</f>
        <v>4772014.2300000004</v>
      </c>
      <c r="H82" s="91">
        <f>H16+H24+H29+H36+H43+H45+H47+H49</f>
        <v>0</v>
      </c>
      <c r="I82" s="92">
        <f>SUM(I72:I81)+I16+I24+I29+I36+I43+I45+I47+I49+I51+I56+I61+I66</f>
        <v>-3935095.570000038</v>
      </c>
      <c r="J82" s="91">
        <f>J16+J24+J29+J36+J43+J45+J47+J49</f>
        <v>0</v>
      </c>
      <c r="K82" s="140">
        <f>SUM(K72:K81)+K16+K24+K29+K36+K43+K45+K47+K49+K51+K56+K61+K66</f>
        <v>-7773435.8399999999</v>
      </c>
      <c r="L82" s="91">
        <f>L16+L24+L29+L36+L43+L45+L47+L49</f>
        <v>0</v>
      </c>
      <c r="M82" s="92">
        <f>SUM(M72:M81)+M16+M24+M29+M36+M43+M45+M47+M49+M51+M56+M61+M66</f>
        <v>-2293509.79</v>
      </c>
      <c r="N82" s="91">
        <f>N16+N24+N29+N36+N43+N45+N47+N49</f>
        <v>0</v>
      </c>
      <c r="O82" s="92">
        <f>SUM(O72:O81)+O16+O24+O29+O36+O43+O45+O47+O49+O51+O56+O61+O66</f>
        <v>6223694.040000001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-1793993.58</v>
      </c>
      <c r="F86" s="145">
        <f>'TIE-OUT'!AB86+RECLASS!Z86</f>
        <v>0</v>
      </c>
      <c r="G86" s="184">
        <f>'TIE-OUT'!AC86+RECLASS!AA86</f>
        <v>-312669</v>
      </c>
      <c r="H86" s="145">
        <v>0</v>
      </c>
      <c r="I86" s="145">
        <v>-126269</v>
      </c>
      <c r="J86" s="145">
        <v>0</v>
      </c>
      <c r="K86" s="145">
        <v>385938</v>
      </c>
      <c r="L86" s="145">
        <v>0</v>
      </c>
      <c r="M86" s="145">
        <v>0</v>
      </c>
      <c r="N86" s="145">
        <v>0</v>
      </c>
      <c r="O86" s="145">
        <v>-1740993.58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'TIE-OUT'!AB87+RECLASS!Z87</f>
        <v>0</v>
      </c>
      <c r="G87" s="185">
        <f>'TIE-OUT'!AC87+RECLASS!AA87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1740994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1740994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-52999.580000000075</v>
      </c>
      <c r="F89" s="155">
        <f t="shared" si="16"/>
        <v>0</v>
      </c>
      <c r="G89" s="155">
        <f t="shared" si="16"/>
        <v>-312669</v>
      </c>
      <c r="H89" s="155">
        <f t="shared" si="16"/>
        <v>0</v>
      </c>
      <c r="I89" s="155">
        <f t="shared" si="16"/>
        <v>-126269</v>
      </c>
      <c r="J89" s="155">
        <f t="shared" si="16"/>
        <v>0</v>
      </c>
      <c r="K89" s="155">
        <f t="shared" si="16"/>
        <v>385938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0.41999999992549419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-3059332.5100000179</v>
      </c>
      <c r="F91" s="155">
        <f t="shared" si="19"/>
        <v>0</v>
      </c>
      <c r="G91" s="155">
        <f t="shared" si="19"/>
        <v>4459345.2300000004</v>
      </c>
      <c r="H91" s="155">
        <f t="shared" si="19"/>
        <v>0</v>
      </c>
      <c r="I91" s="155">
        <f t="shared" si="19"/>
        <v>-4061364.570000038</v>
      </c>
      <c r="J91" s="155">
        <f t="shared" si="19"/>
        <v>0</v>
      </c>
      <c r="K91" s="155">
        <f t="shared" si="19"/>
        <v>-7387497.8399999999</v>
      </c>
      <c r="L91" s="155">
        <f t="shared" si="19"/>
        <v>0</v>
      </c>
      <c r="M91" s="155">
        <f t="shared" si="19"/>
        <v>-2293509.79</v>
      </c>
      <c r="N91" s="155">
        <f t="shared" ref="N91:AE91" si="20">+N82+N89</f>
        <v>0</v>
      </c>
      <c r="O91" s="155">
        <f t="shared" si="20"/>
        <v>6223694.4600000009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7" activePane="bottomRight" state="frozen"/>
      <selection pane="topRight"/>
      <selection pane="bottomLeft"/>
      <selection pane="bottomRight" activeCell="I68" sqref="I6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118310530</v>
      </c>
      <c r="E11" s="66">
        <f>'CE-FLSH'!M11</f>
        <v>506294564</v>
      </c>
      <c r="F11" s="60">
        <f>CE_GL!D11</f>
        <v>118946576</v>
      </c>
      <c r="G11" s="38">
        <f>CE_GL!E11</f>
        <v>492869720.64000005</v>
      </c>
      <c r="H11" s="60">
        <f>F11-D11</f>
        <v>636046</v>
      </c>
      <c r="I11" s="38">
        <f>G11-E11</f>
        <v>-13424843.359999955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18211927.449999999</v>
      </c>
      <c r="H12" s="60">
        <f>F12-D12</f>
        <v>0</v>
      </c>
      <c r="I12" s="38">
        <f>G12-E12</f>
        <v>18211927.449999999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50611404</v>
      </c>
      <c r="E13" s="66">
        <f>'CE-FLSH'!M13</f>
        <v>217669162</v>
      </c>
      <c r="F13" s="60">
        <f>CE_GL!D13</f>
        <v>51133747</v>
      </c>
      <c r="G13" s="38">
        <f>CE_GL!E13</f>
        <v>218458942</v>
      </c>
      <c r="H13" s="60">
        <f t="shared" ref="H13:I15" si="0">F13-D13</f>
        <v>522343</v>
      </c>
      <c r="I13" s="38">
        <f t="shared" si="0"/>
        <v>789780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942663.02999999933</v>
      </c>
      <c r="H15" s="60">
        <f t="shared" si="0"/>
        <v>0</v>
      </c>
      <c r="I15" s="38">
        <f t="shared" si="0"/>
        <v>942663.02999999933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168921934</v>
      </c>
      <c r="E16" s="39">
        <f t="shared" si="1"/>
        <v>723963726</v>
      </c>
      <c r="F16" s="61">
        <f t="shared" si="1"/>
        <v>170080323</v>
      </c>
      <c r="G16" s="39">
        <f t="shared" si="1"/>
        <v>730483253.12</v>
      </c>
      <c r="H16" s="61">
        <f t="shared" si="1"/>
        <v>1158389</v>
      </c>
      <c r="I16" s="39">
        <f t="shared" si="1"/>
        <v>6519527.1200000439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-125740421</v>
      </c>
      <c r="E19" s="66">
        <f>'CE-FLSH'!M19</f>
        <v>-536704709</v>
      </c>
      <c r="F19" s="60">
        <f>CE_GL!D19</f>
        <v>-125309856</v>
      </c>
      <c r="G19" s="38">
        <f>CE_GL!E19</f>
        <v>-515413724.85000008</v>
      </c>
      <c r="H19" s="60">
        <f>F19-D19</f>
        <v>430565</v>
      </c>
      <c r="I19" s="38">
        <f>G19-E19</f>
        <v>21290984.149999917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-19085663.91</v>
      </c>
      <c r="H20" s="60">
        <f>F20-D20</f>
        <v>0</v>
      </c>
      <c r="I20" s="38">
        <f>G20-E20</f>
        <v>-19085663.91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-43573513</v>
      </c>
      <c r="E21" s="66">
        <f>'CE-FLSH'!M21</f>
        <v>-186858667</v>
      </c>
      <c r="F21" s="60">
        <f>CE_GL!D21</f>
        <v>-44535504</v>
      </c>
      <c r="G21" s="38">
        <f>CE_GL!E21</f>
        <v>-190879001</v>
      </c>
      <c r="H21" s="60">
        <f t="shared" ref="H21:I23" si="2">F21-D21</f>
        <v>-961991</v>
      </c>
      <c r="I21" s="38">
        <f t="shared" si="2"/>
        <v>-4020334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178409</v>
      </c>
      <c r="E23" s="66">
        <f>'CE-FLSH'!M23</f>
        <v>718499</v>
      </c>
      <c r="F23" s="60">
        <f>CE_GL!D23</f>
        <v>182189</v>
      </c>
      <c r="G23" s="38">
        <f>CE_GL!E23</f>
        <v>772481.35999999975</v>
      </c>
      <c r="H23" s="60">
        <f t="shared" si="2"/>
        <v>3780</v>
      </c>
      <c r="I23" s="38">
        <f t="shared" si="2"/>
        <v>53982.359999999753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-169135525</v>
      </c>
      <c r="E24" s="39">
        <f t="shared" si="3"/>
        <v>-722844877</v>
      </c>
      <c r="F24" s="61">
        <f t="shared" si="3"/>
        <v>-169663171</v>
      </c>
      <c r="G24" s="39">
        <f t="shared" si="3"/>
        <v>-724605908.4000001</v>
      </c>
      <c r="H24" s="61">
        <f t="shared" si="3"/>
        <v>-527646</v>
      </c>
      <c r="I24" s="39">
        <f t="shared" si="3"/>
        <v>-1761031.4000000837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86528</v>
      </c>
      <c r="G27" s="38">
        <f>CE_GL!E27</f>
        <v>358950.18000000005</v>
      </c>
      <c r="H27" s="60">
        <f>F27-D27</f>
        <v>86528</v>
      </c>
      <c r="I27" s="38">
        <f>G27-E27</f>
        <v>358950.18000000005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-441868</v>
      </c>
      <c r="G28" s="38">
        <f>CE_GL!E28</f>
        <v>-1825560.41</v>
      </c>
      <c r="H28" s="60">
        <f>F28-D28</f>
        <v>-441868</v>
      </c>
      <c r="I28" s="38">
        <f>G28-E28</f>
        <v>-1825560.41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-355340</v>
      </c>
      <c r="G29" s="70">
        <f t="shared" si="4"/>
        <v>-1466610.23</v>
      </c>
      <c r="H29" s="69">
        <f t="shared" si="4"/>
        <v>-355340</v>
      </c>
      <c r="I29" s="70">
        <f t="shared" si="4"/>
        <v>-1466610.23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92584</v>
      </c>
      <c r="E32" s="66">
        <f>'CE-FLSH'!M32</f>
        <v>401217</v>
      </c>
      <c r="F32" s="60">
        <f>CE_GL!D32</f>
        <v>-46544</v>
      </c>
      <c r="G32" s="38">
        <f>CE_GL!E32</f>
        <v>-185807.02000000002</v>
      </c>
      <c r="H32" s="60">
        <f>F32-D32</f>
        <v>-139128</v>
      </c>
      <c r="I32" s="38">
        <f>G32-E32</f>
        <v>-587024.02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-51046</v>
      </c>
      <c r="G33" s="38">
        <f>CE_GL!E33</f>
        <v>-216877.40000000002</v>
      </c>
      <c r="H33" s="60">
        <f t="shared" ref="H33:I35" si="5">F33-D33</f>
        <v>-51046</v>
      </c>
      <c r="I33" s="38">
        <f t="shared" si="5"/>
        <v>-216877.40000000002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53141</v>
      </c>
      <c r="G34" s="38">
        <f>CE_GL!E34</f>
        <v>224894.85</v>
      </c>
      <c r="H34" s="60">
        <f t="shared" si="5"/>
        <v>53141</v>
      </c>
      <c r="I34" s="38">
        <f t="shared" si="5"/>
        <v>224894.85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-35514</v>
      </c>
      <c r="E35" s="66">
        <f>'CE-FLSH'!M35</f>
        <v>-119517</v>
      </c>
      <c r="F35" s="60">
        <f>CE_GL!D35</f>
        <v>15</v>
      </c>
      <c r="G35" s="38">
        <f>CE_GL!E35</f>
        <v>0</v>
      </c>
      <c r="H35" s="60">
        <f t="shared" si="5"/>
        <v>35529</v>
      </c>
      <c r="I35" s="38">
        <f t="shared" si="5"/>
        <v>119517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57070</v>
      </c>
      <c r="E36" s="39">
        <f t="shared" si="6"/>
        <v>281700</v>
      </c>
      <c r="F36" s="61">
        <f t="shared" si="6"/>
        <v>-44434</v>
      </c>
      <c r="G36" s="39">
        <f t="shared" si="6"/>
        <v>-177789.57000000004</v>
      </c>
      <c r="H36" s="61">
        <f t="shared" si="6"/>
        <v>-101504</v>
      </c>
      <c r="I36" s="39">
        <f t="shared" si="6"/>
        <v>-459489.57000000007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34022</v>
      </c>
      <c r="G39" s="38">
        <f>CE_GL!E39</f>
        <v>144253.28</v>
      </c>
      <c r="H39" s="60">
        <f t="shared" ref="H39:I41" si="7">F39-D39</f>
        <v>34022</v>
      </c>
      <c r="I39" s="38">
        <f t="shared" si="7"/>
        <v>144253.28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-9097</v>
      </c>
      <c r="G40" s="38">
        <f>CE_GL!E40</f>
        <v>-4332.88</v>
      </c>
      <c r="H40" s="60">
        <f t="shared" si="7"/>
        <v>-9097</v>
      </c>
      <c r="I40" s="38">
        <f t="shared" si="7"/>
        <v>-4332.88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-9097</v>
      </c>
      <c r="G42" s="70">
        <f t="shared" si="8"/>
        <v>-4332.88</v>
      </c>
      <c r="H42" s="69">
        <f t="shared" si="8"/>
        <v>-9097</v>
      </c>
      <c r="I42" s="70">
        <f t="shared" si="8"/>
        <v>-4332.88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24925</v>
      </c>
      <c r="G43" s="39">
        <f t="shared" si="9"/>
        <v>139920.4</v>
      </c>
      <c r="H43" s="61">
        <f t="shared" si="9"/>
        <v>24925</v>
      </c>
      <c r="I43" s="39">
        <f t="shared" si="9"/>
        <v>139920.4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156521</v>
      </c>
      <c r="E49" s="66">
        <f>'CE-FLSH'!M49</f>
        <v>-663649.04</v>
      </c>
      <c r="F49" s="60">
        <f>CE_GL!D49</f>
        <v>-42303</v>
      </c>
      <c r="G49" s="38">
        <f>CE_GL!E49</f>
        <v>-179364.72000000006</v>
      </c>
      <c r="H49" s="60">
        <f>F49-D49</f>
        <v>-198824</v>
      </c>
      <c r="I49" s="38">
        <f>G49-E49</f>
        <v>484284.31999999995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-178409</v>
      </c>
      <c r="E51" s="66">
        <f>'CE-FLSH'!M51</f>
        <v>-718499</v>
      </c>
      <c r="F51" s="60">
        <f>CE_GL!D51</f>
        <v>-182189</v>
      </c>
      <c r="G51" s="38">
        <f>CE_GL!E51</f>
        <v>-772481.35999999975</v>
      </c>
      <c r="H51" s="60">
        <f>F51-D51</f>
        <v>-3780</v>
      </c>
      <c r="I51" s="38">
        <f>G51-E51</f>
        <v>-53982.359999999753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-212416.14660000009</v>
      </c>
      <c r="F54" s="60">
        <f>CE_GL!D54</f>
        <v>-132798516</v>
      </c>
      <c r="G54" s="38">
        <f>CE_GL!E54</f>
        <v>-318173.1500000002</v>
      </c>
      <c r="H54" s="60">
        <f>F54-D54</f>
        <v>-132798516</v>
      </c>
      <c r="I54" s="38">
        <f>G54-E54</f>
        <v>-105757.0034000001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-1777260</v>
      </c>
      <c r="F55" s="60">
        <f>CE_GL!D55</f>
        <v>0</v>
      </c>
      <c r="G55" s="38">
        <f>CE_GL!E55</f>
        <v>-1650765.8199999998</v>
      </c>
      <c r="H55" s="60">
        <f>F55-D55</f>
        <v>0</v>
      </c>
      <c r="I55" s="38">
        <f>G55-E55</f>
        <v>126494.18000000017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-1989676.1466000001</v>
      </c>
      <c r="F56" s="61">
        <f t="shared" si="10"/>
        <v>-132798516</v>
      </c>
      <c r="G56" s="39">
        <f t="shared" si="10"/>
        <v>-1968938.97</v>
      </c>
      <c r="H56" s="61">
        <f t="shared" si="10"/>
        <v>-132798516</v>
      </c>
      <c r="I56" s="39">
        <f t="shared" si="10"/>
        <v>20737.176600000064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11822013.162300002</v>
      </c>
      <c r="F70" s="60">
        <f>CE_GL!D70</f>
        <v>0</v>
      </c>
      <c r="G70" s="38">
        <f>CE_GL!E70</f>
        <v>11822013.16</v>
      </c>
      <c r="H70" s="60">
        <f>F70-D70</f>
        <v>0</v>
      </c>
      <c r="I70" s="38">
        <f>G70-E70</f>
        <v>-2.3000016808509827E-3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-15976612</v>
      </c>
      <c r="F71" s="60">
        <f>CE_GL!D71</f>
        <v>0</v>
      </c>
      <c r="G71" s="38">
        <f>CE_GL!E71</f>
        <v>-15976611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-4154598.8376999982</v>
      </c>
      <c r="F72" s="69">
        <f t="shared" si="13"/>
        <v>0</v>
      </c>
      <c r="G72" s="70">
        <f t="shared" si="13"/>
        <v>-4154597.84</v>
      </c>
      <c r="H72" s="69">
        <f t="shared" si="13"/>
        <v>0</v>
      </c>
      <c r="I72" s="70">
        <f t="shared" si="13"/>
        <v>0.99769999831914902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7700994</v>
      </c>
      <c r="F74" s="60">
        <f>CE_GL!D74</f>
        <v>0</v>
      </c>
      <c r="G74" s="38">
        <f>CE_GL!E74</f>
        <v>6938676.3300000001</v>
      </c>
      <c r="H74" s="60">
        <f t="shared" ref="H74:I79" si="14">F74-D74</f>
        <v>0</v>
      </c>
      <c r="I74" s="38">
        <f t="shared" si="14"/>
        <v>-762317.66999999993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172538.1</v>
      </c>
      <c r="F75" s="60">
        <f>CE_GL!D75</f>
        <v>0</v>
      </c>
      <c r="G75" s="38">
        <f>CE_GL!E75</f>
        <v>172538</v>
      </c>
      <c r="H75" s="60">
        <f t="shared" si="14"/>
        <v>0</v>
      </c>
      <c r="I75" s="38">
        <f t="shared" si="14"/>
        <v>-0.10000000000582077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-3341.06</v>
      </c>
      <c r="H76" s="60">
        <f t="shared" si="14"/>
        <v>0</v>
      </c>
      <c r="I76" s="38">
        <f t="shared" si="14"/>
        <v>-3341.06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1016486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-1016486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333398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-355898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3097542.0757000144</v>
      </c>
      <c r="F82" s="71">
        <f>F16+F24+F29+F36+F43+F45+F47+F49</f>
        <v>0</v>
      </c>
      <c r="G82" s="72">
        <f>SUM(G72:G81)+G16+G24+G29+G36+G43+G45+G47+G49+G51+G56+G61+G66</f>
        <v>4382855.6999998577</v>
      </c>
      <c r="H82" s="71">
        <f>H16+H24+H29+H36+H43+H45+H47+H49</f>
        <v>0</v>
      </c>
      <c r="I82" s="72">
        <f>SUM(I72:I81)+I16+I24+I29+I36+I43+I45+I47+I49+I51+I56+I61+I66</f>
        <v>1285313.6242999586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4331184</v>
      </c>
      <c r="E11" s="66">
        <f>'SITHE-FLSH'!M11</f>
        <v>18664400</v>
      </c>
      <c r="F11" s="60">
        <f>SITHE_GL!D11</f>
        <v>4331175</v>
      </c>
      <c r="G11" s="38">
        <f>SITHE_GL!E11</f>
        <v>19737612.209999997</v>
      </c>
      <c r="H11" s="60">
        <f>F11-D11</f>
        <v>-9</v>
      </c>
      <c r="I11" s="38">
        <f>G11-E11</f>
        <v>1073212.2099999972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-918830.1</v>
      </c>
      <c r="H12" s="60">
        <f>F12-D12</f>
        <v>0</v>
      </c>
      <c r="I12" s="38">
        <f>G12-E12</f>
        <v>-918830.1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6364383</v>
      </c>
      <c r="E13" s="66">
        <f>'SITHE-FLSH'!M13</f>
        <v>27355816</v>
      </c>
      <c r="F13" s="60">
        <f>SITHE_GL!D13</f>
        <v>6364383</v>
      </c>
      <c r="G13" s="38">
        <f>SITHE_GL!E13</f>
        <v>27355816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10695567</v>
      </c>
      <c r="E16" s="39">
        <f t="shared" si="1"/>
        <v>46020216</v>
      </c>
      <c r="F16" s="61">
        <f t="shared" si="1"/>
        <v>10695558</v>
      </c>
      <c r="G16" s="39">
        <f t="shared" si="1"/>
        <v>46174598.109999999</v>
      </c>
      <c r="H16" s="61">
        <f t="shared" si="1"/>
        <v>-9</v>
      </c>
      <c r="I16" s="39">
        <f t="shared" si="1"/>
        <v>154382.10999999719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0</v>
      </c>
      <c r="E19" s="66">
        <f>'SITHE-FLSH'!M19</f>
        <v>0</v>
      </c>
      <c r="F19" s="60">
        <f>SITHE_GL!D19</f>
        <v>-930000</v>
      </c>
      <c r="G19" s="38">
        <f>SITHE_GL!E19</f>
        <v>-4152898.37</v>
      </c>
      <c r="H19" s="60">
        <f>F19-D19</f>
        <v>-930000</v>
      </c>
      <c r="I19" s="38">
        <f>G19-E19</f>
        <v>-4152898.37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-0.16999999998370185</v>
      </c>
      <c r="H20" s="60">
        <f>F20-D20</f>
        <v>0</v>
      </c>
      <c r="I20" s="38">
        <f>G20-E20</f>
        <v>-0.16999999998370185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-10735001</v>
      </c>
      <c r="E21" s="66">
        <f>'SITHE-FLSH'!M21</f>
        <v>-46636512</v>
      </c>
      <c r="F21" s="60">
        <f>SITHE_GL!D21</f>
        <v>-9883001</v>
      </c>
      <c r="G21" s="38">
        <f>SITHE_GL!E21</f>
        <v>-42798908</v>
      </c>
      <c r="H21" s="60">
        <f t="shared" ref="H21:I23" si="2">F21-D21</f>
        <v>852000</v>
      </c>
      <c r="I21" s="38">
        <f t="shared" si="2"/>
        <v>3837604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3069</v>
      </c>
      <c r="E23" s="66">
        <f>'SITHE-FLSH'!M23</f>
        <v>12843</v>
      </c>
      <c r="F23" s="60">
        <f>SITHE_GL!D23</f>
        <v>3069</v>
      </c>
      <c r="G23" s="38">
        <f>SITHE_GL!E23</f>
        <v>13196.7</v>
      </c>
      <c r="H23" s="60">
        <f t="shared" si="2"/>
        <v>0</v>
      </c>
      <c r="I23" s="38">
        <f t="shared" si="2"/>
        <v>353.70000000000073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-10731932</v>
      </c>
      <c r="E24" s="39">
        <f t="shared" si="3"/>
        <v>-46623669</v>
      </c>
      <c r="F24" s="61">
        <f t="shared" si="3"/>
        <v>-10809932</v>
      </c>
      <c r="G24" s="39">
        <f t="shared" si="3"/>
        <v>-46938609.839999996</v>
      </c>
      <c r="H24" s="61">
        <f t="shared" si="3"/>
        <v>-78000</v>
      </c>
      <c r="I24" s="39">
        <f t="shared" si="3"/>
        <v>-314940.84000000003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-70191.999999999985</v>
      </c>
      <c r="H27" s="60">
        <f>F27-D27</f>
        <v>0</v>
      </c>
      <c r="I27" s="38">
        <f>G27-E27</f>
        <v>-70191.999999999985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-70191.999999999985</v>
      </c>
      <c r="H29" s="69">
        <f t="shared" si="4"/>
        <v>0</v>
      </c>
      <c r="I29" s="70">
        <f t="shared" si="4"/>
        <v>-70191.999999999985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51919</v>
      </c>
      <c r="E32" s="66">
        <f>'SITHE-FLSH'!M32</f>
        <v>539590</v>
      </c>
      <c r="F32" s="60">
        <f>SITHE_GL!D32</f>
        <v>0</v>
      </c>
      <c r="G32" s="38">
        <f>SITHE_GL!E32</f>
        <v>0</v>
      </c>
      <c r="H32" s="60">
        <f>F32-D32</f>
        <v>-51919</v>
      </c>
      <c r="I32" s="38">
        <f>G32-E32</f>
        <v>-539590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51919</v>
      </c>
      <c r="E36" s="39">
        <f t="shared" si="6"/>
        <v>539590</v>
      </c>
      <c r="F36" s="61">
        <f t="shared" si="6"/>
        <v>0</v>
      </c>
      <c r="G36" s="39">
        <f t="shared" si="6"/>
        <v>0</v>
      </c>
      <c r="H36" s="61">
        <f t="shared" si="6"/>
        <v>-51919</v>
      </c>
      <c r="I36" s="39">
        <f t="shared" si="6"/>
        <v>-539590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-15554</v>
      </c>
      <c r="E49" s="66">
        <f>'SITHE-FLSH'!M49</f>
        <v>-66882.2</v>
      </c>
      <c r="F49" s="60">
        <f>SITHE_GL!D49</f>
        <v>114374</v>
      </c>
      <c r="G49" s="38">
        <f>SITHE_GL!E49</f>
        <v>491808.2</v>
      </c>
      <c r="H49" s="60">
        <f>F49-D49</f>
        <v>129928</v>
      </c>
      <c r="I49" s="38">
        <f>G49-E49</f>
        <v>558690.4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-3069</v>
      </c>
      <c r="E51" s="66">
        <f>'SITHE-FLSH'!M51</f>
        <v>-12843</v>
      </c>
      <c r="F51" s="60">
        <f>SITHE_GL!D51</f>
        <v>-3069</v>
      </c>
      <c r="G51" s="38">
        <f>SITHE_GL!E51</f>
        <v>-13196.7</v>
      </c>
      <c r="H51" s="60">
        <f>F51-D51</f>
        <v>0</v>
      </c>
      <c r="I51" s="38">
        <f>G51-E51</f>
        <v>-353.70000000000073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-2163</v>
      </c>
      <c r="F54" s="60">
        <f>SITHE_GL!D54</f>
        <v>-969157.6099999994</v>
      </c>
      <c r="G54" s="38">
        <f>SITHE_GL!E54</f>
        <v>-4236.4699999999721</v>
      </c>
      <c r="H54" s="60">
        <f>F54-D54</f>
        <v>-969157.6099999994</v>
      </c>
      <c r="I54" s="38">
        <f>G54-E54</f>
        <v>-2073.4699999999721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-8200</v>
      </c>
      <c r="H55" s="60">
        <f>F55-D55</f>
        <v>0</v>
      </c>
      <c r="I55" s="38">
        <f>G55-E55</f>
        <v>-830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-9533</v>
      </c>
      <c r="F56" s="61">
        <f t="shared" si="10"/>
        <v>-969157.6099999994</v>
      </c>
      <c r="G56" s="39">
        <f t="shared" si="10"/>
        <v>-12436.469999999972</v>
      </c>
      <c r="H56" s="61">
        <f t="shared" si="10"/>
        <v>-969157.6099999994</v>
      </c>
      <c r="I56" s="39">
        <f t="shared" si="10"/>
        <v>-2903.4699999999721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2321550.9972000001</v>
      </c>
      <c r="F70" s="60">
        <f>SITHE_GL!D70</f>
        <v>0</v>
      </c>
      <c r="G70" s="38">
        <f>SITHE_GL!E70</f>
        <v>2321551</v>
      </c>
      <c r="H70" s="60">
        <f>F70-D70</f>
        <v>0</v>
      </c>
      <c r="I70" s="38">
        <f>G70-E70</f>
        <v>2.79999990016222E-3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-1741430</v>
      </c>
      <c r="F71" s="60">
        <f>SITHE_GL!D71</f>
        <v>0</v>
      </c>
      <c r="G71" s="38">
        <f>SITHE_GL!E71</f>
        <v>-1740930</v>
      </c>
      <c r="H71" s="60">
        <f>F71-D71</f>
        <v>0</v>
      </c>
      <c r="I71" s="38">
        <f>G71-E71</f>
        <v>500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580120.9972000001</v>
      </c>
      <c r="F72" s="69">
        <f t="shared" si="13"/>
        <v>0</v>
      </c>
      <c r="G72" s="70">
        <f t="shared" si="13"/>
        <v>580621</v>
      </c>
      <c r="H72" s="69">
        <f t="shared" si="13"/>
        <v>0</v>
      </c>
      <c r="I72" s="70">
        <f t="shared" si="13"/>
        <v>500.00279999990016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-527435</v>
      </c>
      <c r="F74" s="60">
        <f>SITHE_GL!D74</f>
        <v>0</v>
      </c>
      <c r="G74" s="38">
        <f>SITHE_GL!E74</f>
        <v>-527434</v>
      </c>
      <c r="H74" s="60">
        <f t="shared" ref="H74:I79" si="14">F74-D74</f>
        <v>0</v>
      </c>
      <c r="I74" s="38">
        <f t="shared" si="14"/>
        <v>1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62347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-62347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-38088.202800002691</v>
      </c>
      <c r="F82" s="71">
        <f>F16+F24+F29+F36+F43+F45+F47+F49</f>
        <v>0</v>
      </c>
      <c r="G82" s="72">
        <f>SUM(G72:G81)+G16+G24+G29+G36+G43+G45+G47+G49+G51+G56+G61+G66</f>
        <v>-314841.69999999669</v>
      </c>
      <c r="H82" s="71">
        <f>H16+H24+H29+H36+H43+H45+H47+H49</f>
        <v>0</v>
      </c>
      <c r="I82" s="72">
        <f>SUM(I72:I81)+I16+I24+I29+I36+I43+I45+I47+I49+I51+I56+I61+I66</f>
        <v>-276753.49720000284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D61" sqref="D6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9877555</v>
      </c>
      <c r="E11" s="66">
        <f>'ARUBA-FLSH'!M11</f>
        <v>43767603</v>
      </c>
      <c r="F11" s="60">
        <f>ARUBA_GL!D11</f>
        <v>9877555</v>
      </c>
      <c r="G11" s="38">
        <f>ARUBA_GL!E11</f>
        <v>43678542.75</v>
      </c>
      <c r="H11" s="60">
        <f>F11-D11</f>
        <v>0</v>
      </c>
      <c r="I11" s="38">
        <f>G11-E11</f>
        <v>-89060.25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187937.25</v>
      </c>
      <c r="H12" s="60">
        <f>F12-D12</f>
        <v>0</v>
      </c>
      <c r="I12" s="38">
        <f>G12-E12</f>
        <v>187937.25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23219168</v>
      </c>
      <c r="E13" s="66">
        <f>'ARUBA-FLSH'!M13</f>
        <v>102136858</v>
      </c>
      <c r="F13" s="60">
        <f>ARUBA_GL!D13</f>
        <v>23219168</v>
      </c>
      <c r="G13" s="38">
        <f>ARUBA_GL!E13</f>
        <v>102136858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1477214.2199999997</v>
      </c>
      <c r="H15" s="60">
        <f t="shared" si="0"/>
        <v>0</v>
      </c>
      <c r="I15" s="38">
        <f t="shared" si="0"/>
        <v>-25057.780000000261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33096723</v>
      </c>
      <c r="E16" s="39">
        <f t="shared" si="1"/>
        <v>147406733</v>
      </c>
      <c r="F16" s="61">
        <f t="shared" si="1"/>
        <v>33096723</v>
      </c>
      <c r="G16" s="39">
        <f t="shared" si="1"/>
        <v>147480552.22</v>
      </c>
      <c r="H16" s="61">
        <f t="shared" si="1"/>
        <v>0</v>
      </c>
      <c r="I16" s="39">
        <f t="shared" si="1"/>
        <v>73819.219999999739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-3521108</v>
      </c>
      <c r="E19" s="66">
        <f>'ARUBA-FLSH'!M19</f>
        <v>-14969052</v>
      </c>
      <c r="F19" s="60">
        <f>ARUBA_GL!D19</f>
        <v>-3522587</v>
      </c>
      <c r="G19" s="38">
        <f>ARUBA_GL!E19</f>
        <v>-15122449.799999999</v>
      </c>
      <c r="H19" s="60">
        <f>F19-D19</f>
        <v>-1479</v>
      </c>
      <c r="I19" s="38">
        <f>G19-E19</f>
        <v>-153397.79999999888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147145.57999999999</v>
      </c>
      <c r="H20" s="60">
        <f>F20-D20</f>
        <v>0</v>
      </c>
      <c r="I20" s="38">
        <f>G20-E20</f>
        <v>147145.57999999999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-29734470</v>
      </c>
      <c r="E21" s="66">
        <f>'ARUBA-FLSH'!M21</f>
        <v>-129522006</v>
      </c>
      <c r="F21" s="60">
        <f>ARUBA_GL!D21</f>
        <v>-29734470</v>
      </c>
      <c r="G21" s="38">
        <f>ARUBA_GL!E21</f>
        <v>-129522006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151464</v>
      </c>
      <c r="E23" s="66">
        <f>'ARUBA-FLSH'!M23</f>
        <v>634061</v>
      </c>
      <c r="F23" s="60">
        <f>ARUBA_GL!D23</f>
        <v>151464</v>
      </c>
      <c r="G23" s="38">
        <f>ARUBA_GL!E23</f>
        <v>643722</v>
      </c>
      <c r="H23" s="60">
        <f t="shared" si="2"/>
        <v>0</v>
      </c>
      <c r="I23" s="38">
        <f t="shared" si="2"/>
        <v>9661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-33104114</v>
      </c>
      <c r="E24" s="39">
        <f t="shared" si="3"/>
        <v>-143856997</v>
      </c>
      <c r="F24" s="61">
        <f t="shared" si="3"/>
        <v>-33105593</v>
      </c>
      <c r="G24" s="39">
        <f t="shared" si="3"/>
        <v>-143853588.22</v>
      </c>
      <c r="H24" s="61">
        <f t="shared" si="3"/>
        <v>-1479</v>
      </c>
      <c r="I24" s="39">
        <f t="shared" si="3"/>
        <v>3408.7800000011048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7391</v>
      </c>
      <c r="E49" s="66">
        <f>'ARUBA-FLSH'!M49</f>
        <v>31411.75</v>
      </c>
      <c r="F49" s="60">
        <f>ARUBA_GL!D49</f>
        <v>8870</v>
      </c>
      <c r="G49" s="38">
        <f>ARUBA_GL!E49</f>
        <v>37697.5</v>
      </c>
      <c r="H49" s="60">
        <f>F49-D49</f>
        <v>1479</v>
      </c>
      <c r="I49" s="38">
        <f>G49-E49</f>
        <v>6285.75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-151464</v>
      </c>
      <c r="E51" s="66">
        <f>'ARUBA-FLSH'!M51</f>
        <v>-634061</v>
      </c>
      <c r="F51" s="60">
        <f>ARUBA_GL!D51</f>
        <v>-151464</v>
      </c>
      <c r="G51" s="38">
        <f>ARUBA_GL!E51</f>
        <v>-643722</v>
      </c>
      <c r="H51" s="60">
        <f>F51-D51</f>
        <v>0</v>
      </c>
      <c r="I51" s="38">
        <f>G51-E51</f>
        <v>-9661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-43511</v>
      </c>
      <c r="F54" s="60">
        <f>ARUBA_GL!D54</f>
        <v>-3153706</v>
      </c>
      <c r="G54" s="38">
        <f>ARUBA_GL!E54</f>
        <v>-43289.159999999916</v>
      </c>
      <c r="H54" s="60">
        <f>F54-D54</f>
        <v>-3153706</v>
      </c>
      <c r="I54" s="38">
        <f>G54-E54</f>
        <v>221.84000000008382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-1470008.87</v>
      </c>
      <c r="H55" s="60">
        <f>F55-D55</f>
        <v>0</v>
      </c>
      <c r="I55" s="38">
        <f>G55-E55</f>
        <v>32263.129999999888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-1545783</v>
      </c>
      <c r="F56" s="61">
        <f t="shared" si="10"/>
        <v>-3153706</v>
      </c>
      <c r="G56" s="39">
        <f t="shared" si="10"/>
        <v>-1513298.03</v>
      </c>
      <c r="H56" s="61">
        <f t="shared" si="10"/>
        <v>-3153706</v>
      </c>
      <c r="I56" s="39">
        <f t="shared" si="10"/>
        <v>32484.969999999972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10336992.175900005</v>
      </c>
      <c r="F70" s="60">
        <f>ARUBA_GL!D70</f>
        <v>0</v>
      </c>
      <c r="G70" s="38">
        <f>ARUBA_GL!E70</f>
        <v>10119630.18</v>
      </c>
      <c r="H70" s="60">
        <f>F70-D70</f>
        <v>0</v>
      </c>
      <c r="I70" s="38">
        <f>G70-E70</f>
        <v>-217361.9959000051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-8677221</v>
      </c>
      <c r="F71" s="60">
        <f>ARUBA_GL!D71</f>
        <v>0</v>
      </c>
      <c r="G71" s="38">
        <f>ARUBA_GL!E71</f>
        <v>-8459859</v>
      </c>
      <c r="H71" s="60">
        <f>F71-D71</f>
        <v>0</v>
      </c>
      <c r="I71" s="38">
        <f>G71-E71</f>
        <v>217362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1659771.1759000048</v>
      </c>
      <c r="F72" s="69">
        <f t="shared" si="13"/>
        <v>0</v>
      </c>
      <c r="G72" s="70">
        <f t="shared" si="13"/>
        <v>1659771.1799999997</v>
      </c>
      <c r="H72" s="69">
        <f t="shared" si="13"/>
        <v>0</v>
      </c>
      <c r="I72" s="70">
        <f t="shared" si="13"/>
        <v>4.0999948978424072E-3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-467646.63550000021</v>
      </c>
      <c r="F74" s="60">
        <f>ARUBA_GL!D74</f>
        <v>0</v>
      </c>
      <c r="G74" s="38">
        <f>ARUBA_GL!E74</f>
        <v>-635477.85000000009</v>
      </c>
      <c r="H74" s="60">
        <f t="shared" ref="H74:I79" si="14">F74-D74</f>
        <v>0</v>
      </c>
      <c r="I74" s="38">
        <f t="shared" si="14"/>
        <v>-167831.21449999989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-998728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998728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1594700.2903999984</v>
      </c>
      <c r="F82" s="71">
        <f>F16+F24+F29+F36+F43+F45+F47+F49</f>
        <v>0</v>
      </c>
      <c r="G82" s="72">
        <f>SUM(G72:G81)+G16+G24+G29+G36+G43+G45+G47+G49+G51+G56+G61+G66</f>
        <v>2531934.8000000129</v>
      </c>
      <c r="H82" s="71">
        <f>H16+H24+H29+H36+H43+H45+H47+H49</f>
        <v>0</v>
      </c>
      <c r="I82" s="72">
        <f>SUM(I72:I81)+I16+I24+I29+I36+I43+I45+I47+I49+I51+I56+I61+I66</f>
        <v>937234.5095999958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1377361</v>
      </c>
      <c r="E11" s="66">
        <f>'MidMarket-FLSH'!M11</f>
        <v>5802033</v>
      </c>
      <c r="F11" s="60">
        <f>MidMarket_GL!D11</f>
        <v>-1725</v>
      </c>
      <c r="G11" s="38">
        <f>MidMarket_GL!E11</f>
        <v>-7759.47</v>
      </c>
      <c r="H11" s="60">
        <f>F11-D11</f>
        <v>-1379086</v>
      </c>
      <c r="I11" s="38">
        <f>G11-E11</f>
        <v>-5809792.4699999997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1377361</v>
      </c>
      <c r="E16" s="39">
        <f t="shared" si="1"/>
        <v>5802033</v>
      </c>
      <c r="F16" s="61">
        <f t="shared" si="1"/>
        <v>-1725</v>
      </c>
      <c r="G16" s="39">
        <f t="shared" si="1"/>
        <v>-7759.47</v>
      </c>
      <c r="H16" s="61">
        <f t="shared" si="1"/>
        <v>-1379086</v>
      </c>
      <c r="I16" s="39">
        <f t="shared" si="1"/>
        <v>-5809792.4699999997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-1395244</v>
      </c>
      <c r="E19" s="66">
        <f>'MidMarket-FLSH'!M19</f>
        <v>-5739334</v>
      </c>
      <c r="F19" s="60">
        <f>MidMarket_GL!D19</f>
        <v>0</v>
      </c>
      <c r="G19" s="38">
        <f>MidMarket_GL!E19</f>
        <v>0</v>
      </c>
      <c r="H19" s="60">
        <f>F19-D19</f>
        <v>1395244</v>
      </c>
      <c r="I19" s="38">
        <f>G19-E19</f>
        <v>5739334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-1395244</v>
      </c>
      <c r="E24" s="39">
        <f t="shared" si="3"/>
        <v>-5739334</v>
      </c>
      <c r="F24" s="61">
        <f t="shared" si="3"/>
        <v>0</v>
      </c>
      <c r="G24" s="39">
        <f t="shared" si="3"/>
        <v>0</v>
      </c>
      <c r="H24" s="61">
        <f t="shared" si="3"/>
        <v>1395244</v>
      </c>
      <c r="I24" s="39">
        <f t="shared" si="3"/>
        <v>5739334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0</v>
      </c>
      <c r="G27" s="38">
        <f>MidMarket_GL!E27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0</v>
      </c>
      <c r="G28" s="38">
        <f>MidMarket_GL!E28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'MidMarket-FLSH'!L49</f>
        <v>17883</v>
      </c>
      <c r="E49" s="66">
        <f>'MidMarket-FLSH'!M49</f>
        <v>79130.603274660549</v>
      </c>
      <c r="F49" s="60">
        <f>MidMarket_GL!D49</f>
        <v>1725</v>
      </c>
      <c r="G49" s="38">
        <f>MidMarket_GL!E49</f>
        <v>-52444.5</v>
      </c>
      <c r="H49" s="60">
        <f>F49-D49</f>
        <v>-16158</v>
      </c>
      <c r="I49" s="38">
        <f>G49-E49</f>
        <v>-131575.10327466053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16443493.423999999</v>
      </c>
      <c r="F70" s="60">
        <f>MidMarket_GL!D70</f>
        <v>0</v>
      </c>
      <c r="G70" s="38">
        <f>MidMarket_GL!E70</f>
        <v>0</v>
      </c>
      <c r="H70" s="60">
        <f>F70-D70</f>
        <v>0</v>
      </c>
      <c r="I70" s="38">
        <f>G70-E70</f>
        <v>-16443493.423999999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0</v>
      </c>
      <c r="F71" s="60">
        <f>MidMarket_GL!D71</f>
        <v>0</v>
      </c>
      <c r="G71" s="38">
        <f>MidMarket_GL!E71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16443493.423999999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-16443493.423999999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-6607767.8269999996</v>
      </c>
      <c r="F74" s="60">
        <f>MidMarket_GL!D74</f>
        <v>0</v>
      </c>
      <c r="G74" s="38">
        <f>MidMarket_GL!E74</f>
        <v>0</v>
      </c>
      <c r="H74" s="60">
        <f t="shared" ref="H74:I79" si="14">F74-D74</f>
        <v>0</v>
      </c>
      <c r="I74" s="38">
        <f t="shared" si="14"/>
        <v>6607767.8269999996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0</v>
      </c>
      <c r="F75" s="60">
        <f>MidMarket_GL!D75</f>
        <v>0</v>
      </c>
      <c r="G75" s="38">
        <f>MidMarket_GL!E75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-3200780</v>
      </c>
      <c r="H80" s="60">
        <f>F80-D80</f>
        <v>0</v>
      </c>
      <c r="I80" s="38">
        <f>G80-E80</f>
        <v>-3200780</v>
      </c>
    </row>
    <row r="81" spans="1:63" x14ac:dyDescent="0.2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-9289031</v>
      </c>
      <c r="F81" s="60">
        <f>MidMarket_GL!D81</f>
        <v>0</v>
      </c>
      <c r="G81" s="38">
        <f>MidMarket_GL!E81</f>
        <v>3949983.8000000003</v>
      </c>
      <c r="H81" s="60">
        <f>F81-D81</f>
        <v>0</v>
      </c>
      <c r="I81" s="38">
        <f>G81-E81</f>
        <v>13239014.800000001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688524.20027465967</v>
      </c>
      <c r="F82" s="71">
        <f>F16+F24+F29+F36+F43+F45+F47+F49</f>
        <v>0</v>
      </c>
      <c r="G82" s="72">
        <f>SUM(G72:G81)+G16+G24+G29+G36+G43+G45+G47+G49+G51+G56+G61+G66</f>
        <v>688999.83000000031</v>
      </c>
      <c r="H82" s="71">
        <f>H16+H24+H29+H36+H43+H45+H47+H49</f>
        <v>0</v>
      </c>
      <c r="I82" s="72">
        <f>SUM(I72:I81)+I16+I24+I29+I36+I43+I45+I47+I49+I51+I56+I61+I66</f>
        <v>475.62972534133587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E7" sqref="E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27">
        <f>+E11/D11</f>
        <v>4.3144457252581709</v>
      </c>
      <c r="F7" s="33"/>
      <c r="G7" s="227">
        <f>+G11/F11</f>
        <v>4.1916520314158232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153756420</v>
      </c>
      <c r="E11" s="66">
        <f>'EAST-EGM-FLSH'!M11</f>
        <v>663373729</v>
      </c>
      <c r="F11" s="60">
        <f>'EAST-EGM-GL'!D11</f>
        <v>157990573</v>
      </c>
      <c r="G11" s="38">
        <f>'EAST-EGM-GL'!E11</f>
        <v>662241506.25999987</v>
      </c>
      <c r="H11" s="60">
        <f>F11-D11</f>
        <v>4234153</v>
      </c>
      <c r="I11" s="38">
        <f>G11-E11</f>
        <v>-1132222.7400001287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20325826.789999999</v>
      </c>
      <c r="H12" s="60">
        <f>F12-D12</f>
        <v>0</v>
      </c>
      <c r="I12" s="38">
        <f>G12-E12</f>
        <v>20325826.789999999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98199788</v>
      </c>
      <c r="E13" s="66">
        <f>'EAST-EGM-FLSH'!M13</f>
        <v>425874002</v>
      </c>
      <c r="F13" s="60">
        <f>'EAST-EGM-GL'!D13</f>
        <v>98199788</v>
      </c>
      <c r="G13" s="38">
        <f>'EAST-EGM-GL'!E13</f>
        <v>425874002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30520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-30520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4853957.24</v>
      </c>
      <c r="H15" s="60">
        <f t="shared" si="0"/>
        <v>0</v>
      </c>
      <c r="I15" s="38">
        <f t="shared" si="0"/>
        <v>4853957.24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251956208</v>
      </c>
      <c r="E16" s="39">
        <f t="shared" si="1"/>
        <v>1089278251</v>
      </c>
      <c r="F16" s="61">
        <f t="shared" si="1"/>
        <v>256190361</v>
      </c>
      <c r="G16" s="39">
        <f t="shared" si="1"/>
        <v>1113295292.2899997</v>
      </c>
      <c r="H16" s="61">
        <f t="shared" si="1"/>
        <v>4234153</v>
      </c>
      <c r="I16" s="39">
        <f t="shared" si="1"/>
        <v>24017041.289999872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-160335517</v>
      </c>
      <c r="E19" s="66">
        <f>'EAST-EGM-FLSH'!M19</f>
        <v>-690300032</v>
      </c>
      <c r="F19" s="60">
        <f>'EAST-EGM-GL'!D19</f>
        <v>-170771873</v>
      </c>
      <c r="G19" s="38">
        <f>'EAST-EGM-GL'!E19</f>
        <v>-719038282.99000013</v>
      </c>
      <c r="H19" s="60">
        <f>F19-D19</f>
        <v>-10436356</v>
      </c>
      <c r="I19" s="38">
        <f>G19-E19</f>
        <v>-28738250.990000129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-31658710.870000001</v>
      </c>
      <c r="H20" s="60">
        <f>F20-D20</f>
        <v>0</v>
      </c>
      <c r="I20" s="38">
        <f>G20-E20</f>
        <v>-31658710.870000001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-92207938</v>
      </c>
      <c r="E21" s="66">
        <f>'EAST-EGM-FLSH'!M21</f>
        <v>-398424782</v>
      </c>
      <c r="F21" s="60">
        <f>'EAST-EGM-GL'!D21</f>
        <v>-92207938</v>
      </c>
      <c r="G21" s="38">
        <f>'EAST-EGM-GL'!E21</f>
        <v>-398424782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574829</v>
      </c>
      <c r="E23" s="66">
        <f>'EAST-EGM-FLSH'!M23</f>
        <v>2438737</v>
      </c>
      <c r="F23" s="60">
        <f>'EAST-EGM-GL'!D23</f>
        <v>794469</v>
      </c>
      <c r="G23" s="38">
        <f>'EAST-EGM-GL'!E23</f>
        <v>3410655.4210000006</v>
      </c>
      <c r="H23" s="60">
        <f t="shared" si="2"/>
        <v>219640</v>
      </c>
      <c r="I23" s="38">
        <f t="shared" si="2"/>
        <v>971918.42100000056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-251968626</v>
      </c>
      <c r="E24" s="39">
        <f t="shared" si="3"/>
        <v>-1086286077</v>
      </c>
      <c r="F24" s="61">
        <f t="shared" si="3"/>
        <v>-262185342</v>
      </c>
      <c r="G24" s="39">
        <f t="shared" si="3"/>
        <v>-1145711120.4390001</v>
      </c>
      <c r="H24" s="61">
        <f t="shared" si="3"/>
        <v>-10216716</v>
      </c>
      <c r="I24" s="39">
        <f t="shared" si="3"/>
        <v>-59425043.43900013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139825</v>
      </c>
      <c r="G27" s="38">
        <f>'EAST-EGM-GL'!E27</f>
        <v>578895.73</v>
      </c>
      <c r="H27" s="60">
        <f>F27-D27</f>
        <v>139825</v>
      </c>
      <c r="I27" s="38">
        <f>G27-E27</f>
        <v>578895.73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-89332</v>
      </c>
      <c r="G28" s="38">
        <f>'EAST-EGM-GL'!E28</f>
        <v>-369479.04</v>
      </c>
      <c r="H28" s="60">
        <f>F28-D28</f>
        <v>-89332</v>
      </c>
      <c r="I28" s="38">
        <f>G28-E28</f>
        <v>-369479.04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50493</v>
      </c>
      <c r="G29" s="70">
        <f t="shared" si="4"/>
        <v>209416.69</v>
      </c>
      <c r="H29" s="69">
        <f t="shared" si="4"/>
        <v>50493</v>
      </c>
      <c r="I29" s="70">
        <f t="shared" si="4"/>
        <v>209416.69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-15987</v>
      </c>
      <c r="E32" s="66">
        <f>'EAST-EGM-FLSH'!M32</f>
        <v>-68946</v>
      </c>
      <c r="F32" s="60">
        <f>'EAST-EGM-GL'!D32</f>
        <v>-1193931</v>
      </c>
      <c r="G32" s="38">
        <f>'EAST-EGM-GL'!E32</f>
        <v>-5125414.9930000007</v>
      </c>
      <c r="H32" s="60">
        <f>F32-D32</f>
        <v>-1177944</v>
      </c>
      <c r="I32" s="38">
        <f>G32-E32</f>
        <v>-5056468.9930000007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678108</v>
      </c>
      <c r="E33" s="66">
        <f>'EAST-EGM-FLSH'!M33</f>
        <v>2882796</v>
      </c>
      <c r="F33" s="60">
        <f>'EAST-EGM-GL'!D33</f>
        <v>-377965</v>
      </c>
      <c r="G33" s="38">
        <f>'EAST-EGM-GL'!E33</f>
        <v>-1489667.72</v>
      </c>
      <c r="H33" s="60">
        <f t="shared" ref="H33:I35" si="5">F33-D33</f>
        <v>-1056073</v>
      </c>
      <c r="I33" s="38">
        <f t="shared" si="5"/>
        <v>-4372463.72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-624629</v>
      </c>
      <c r="E34" s="66">
        <f>'EAST-EGM-FLSH'!M34</f>
        <v>-2675858</v>
      </c>
      <c r="F34" s="60">
        <f>'EAST-EGM-GL'!D34</f>
        <v>462391</v>
      </c>
      <c r="G34" s="38">
        <f>'EAST-EGM-GL'!E34</f>
        <v>1779892.4100000001</v>
      </c>
      <c r="H34" s="60">
        <f t="shared" si="5"/>
        <v>1087020</v>
      </c>
      <c r="I34" s="38">
        <f t="shared" si="5"/>
        <v>4455750.41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530010</v>
      </c>
      <c r="E35" s="66">
        <f>'EAST-EGM-FLSH'!M35</f>
        <v>2113994</v>
      </c>
      <c r="F35" s="60">
        <f>'EAST-EGM-GL'!D35</f>
        <v>778347</v>
      </c>
      <c r="G35" s="38">
        <f>'EAST-EGM-GL'!E35</f>
        <v>2223440.09</v>
      </c>
      <c r="H35" s="60">
        <f t="shared" si="5"/>
        <v>248337</v>
      </c>
      <c r="I35" s="38">
        <f t="shared" si="5"/>
        <v>109446.08999999985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567502</v>
      </c>
      <c r="E36" s="39">
        <f t="shared" si="6"/>
        <v>2251986</v>
      </c>
      <c r="F36" s="61">
        <f t="shared" si="6"/>
        <v>-331158</v>
      </c>
      <c r="G36" s="39">
        <f t="shared" si="6"/>
        <v>-2611750.2130000005</v>
      </c>
      <c r="H36" s="61">
        <f t="shared" si="6"/>
        <v>-898660</v>
      </c>
      <c r="I36" s="39">
        <f t="shared" si="6"/>
        <v>-4863736.2129999995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1423689</v>
      </c>
      <c r="E39" s="66">
        <f>'EAST-EGM-FLSH'!M39</f>
        <v>6198360</v>
      </c>
      <c r="F39" s="60">
        <f>'EAST-EGM-GL'!D39</f>
        <v>2505480</v>
      </c>
      <c r="G39" s="38">
        <f>'EAST-EGM-GL'!E39</f>
        <v>9351594.2799999993</v>
      </c>
      <c r="H39" s="60">
        <f t="shared" ref="H39:I41" si="7">F39-D39</f>
        <v>1081791</v>
      </c>
      <c r="I39" s="38">
        <f t="shared" si="7"/>
        <v>3153234.2799999993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-1006097</v>
      </c>
      <c r="E40" s="66">
        <f>'EAST-EGM-FLSH'!M40</f>
        <v>-4370253</v>
      </c>
      <c r="F40" s="60">
        <f>'EAST-EGM-GL'!D40</f>
        <v>-1164897</v>
      </c>
      <c r="G40" s="38">
        <f>'EAST-EGM-GL'!E40</f>
        <v>-5387268.0200000005</v>
      </c>
      <c r="H40" s="60">
        <f t="shared" si="7"/>
        <v>-158800</v>
      </c>
      <c r="I40" s="38">
        <f t="shared" si="7"/>
        <v>-1017015.0200000005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-1006097</v>
      </c>
      <c r="E42" s="70">
        <f t="shared" si="8"/>
        <v>-4370253</v>
      </c>
      <c r="F42" s="69">
        <f t="shared" si="8"/>
        <v>-1164897</v>
      </c>
      <c r="G42" s="70">
        <f t="shared" si="8"/>
        <v>-5387268.0200000005</v>
      </c>
      <c r="H42" s="69">
        <f t="shared" si="8"/>
        <v>-158800</v>
      </c>
      <c r="I42" s="70">
        <f t="shared" si="8"/>
        <v>-1017015.0200000005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417592</v>
      </c>
      <c r="E43" s="39">
        <f t="shared" si="9"/>
        <v>1828107</v>
      </c>
      <c r="F43" s="61">
        <f t="shared" si="9"/>
        <v>1340583</v>
      </c>
      <c r="G43" s="39">
        <f t="shared" si="9"/>
        <v>3964326.2599999988</v>
      </c>
      <c r="H43" s="61">
        <f t="shared" si="9"/>
        <v>922991</v>
      </c>
      <c r="I43" s="39">
        <f t="shared" si="9"/>
        <v>2136219.2599999988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-972676</v>
      </c>
      <c r="E49" s="66">
        <f>'EAST-EGM-FLSH'!M49</f>
        <v>-4175600.8004000005</v>
      </c>
      <c r="F49" s="60">
        <f>'EAST-EGM-GL'!D49</f>
        <v>4935228</v>
      </c>
      <c r="G49" s="38">
        <f>'EAST-EGM-GL'!E49</f>
        <v>21186933.804000001</v>
      </c>
      <c r="H49" s="60">
        <f>F49-D49</f>
        <v>5907904</v>
      </c>
      <c r="I49" s="38">
        <f>G49-E49</f>
        <v>25362534.604400001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-574829</v>
      </c>
      <c r="E51" s="66">
        <f>'EAST-EGM-FLSH'!M51</f>
        <v>-2438737</v>
      </c>
      <c r="F51" s="60">
        <f>'EAST-EGM-GL'!D51</f>
        <v>-794469</v>
      </c>
      <c r="G51" s="38">
        <f>'EAST-EGM-GL'!E51</f>
        <v>-3410655.4210000006</v>
      </c>
      <c r="H51" s="60">
        <f>F51-D51</f>
        <v>-219640</v>
      </c>
      <c r="I51" s="38">
        <f>G51-E51</f>
        <v>-971918.42100000056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-2048301</v>
      </c>
      <c r="F54" s="60">
        <f>'EAST-EGM-GL'!D54</f>
        <v>-138037335</v>
      </c>
      <c r="G54" s="38">
        <f>'EAST-EGM-GL'!E54</f>
        <v>2199631.6199999996</v>
      </c>
      <c r="H54" s="60">
        <f>F54-D54</f>
        <v>-138037335</v>
      </c>
      <c r="I54" s="38">
        <f>G54-E54</f>
        <v>4247932.6199999992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-2220811.5</v>
      </c>
      <c r="F55" s="60">
        <f>'EAST-EGM-GL'!D55</f>
        <v>0</v>
      </c>
      <c r="G55" s="38">
        <f>'EAST-EGM-GL'!E55</f>
        <v>-9220428.129999999</v>
      </c>
      <c r="H55" s="60">
        <f>F55-D55</f>
        <v>0</v>
      </c>
      <c r="I55" s="38">
        <f>G55-E55</f>
        <v>-6999616.629999999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-4269112.5</v>
      </c>
      <c r="F56" s="61">
        <f t="shared" si="10"/>
        <v>-138037335</v>
      </c>
      <c r="G56" s="39">
        <f t="shared" si="10"/>
        <v>-7020796.5099999998</v>
      </c>
      <c r="H56" s="61">
        <f t="shared" si="10"/>
        <v>-138037335</v>
      </c>
      <c r="I56" s="39">
        <f t="shared" si="10"/>
        <v>-2751684.01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48847.92</v>
      </c>
      <c r="H59" s="60">
        <f>F59-D59</f>
        <v>0</v>
      </c>
      <c r="I59" s="38">
        <f>G59-E59</f>
        <v>48847.92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48847.92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-5134326.6295999996</v>
      </c>
      <c r="F70" s="60">
        <f>'EAST-EGM-GL'!D70</f>
        <v>0</v>
      </c>
      <c r="G70" s="38">
        <f>'EAST-EGM-GL'!E70</f>
        <v>-5134326.63</v>
      </c>
      <c r="H70" s="60">
        <f>F70-D70</f>
        <v>0</v>
      </c>
      <c r="I70" s="38">
        <f>G70-E70</f>
        <v>-4.0000025182962418E-4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-14964909</v>
      </c>
      <c r="F71" s="60">
        <f>'EAST-EGM-GL'!D71</f>
        <v>0</v>
      </c>
      <c r="G71" s="38">
        <f>'EAST-EGM-GL'!E71</f>
        <v>-14964909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-20099235.6296</v>
      </c>
      <c r="F72" s="69">
        <f t="shared" si="13"/>
        <v>0</v>
      </c>
      <c r="G72" s="70">
        <f t="shared" si="13"/>
        <v>-20099235.629999999</v>
      </c>
      <c r="H72" s="69">
        <f t="shared" si="13"/>
        <v>0</v>
      </c>
      <c r="I72" s="70">
        <f t="shared" si="13"/>
        <v>-4.0000025182962418E-4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13849134</v>
      </c>
      <c r="F74" s="60">
        <f>'EAST-EGM-GL'!D74</f>
        <v>0</v>
      </c>
      <c r="G74" s="38">
        <f>'EAST-EGM-GL'!E74</f>
        <v>15790987.42</v>
      </c>
      <c r="H74" s="60">
        <f t="shared" ref="H74:I79" si="14">F74-D74</f>
        <v>0</v>
      </c>
      <c r="I74" s="38">
        <f t="shared" si="14"/>
        <v>1941853.42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210386</v>
      </c>
      <c r="F75" s="60">
        <f>'EAST-EGM-GL'!D75</f>
        <v>0</v>
      </c>
      <c r="G75" s="38">
        <f>'EAST-EGM-GL'!E75</f>
        <v>228732</v>
      </c>
      <c r="H75" s="60">
        <f t="shared" si="14"/>
        <v>0</v>
      </c>
      <c r="I75" s="38">
        <f t="shared" si="14"/>
        <v>18346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-867</v>
      </c>
      <c r="F76" s="60">
        <f>'EAST-EGM-GL'!D76</f>
        <v>0</v>
      </c>
      <c r="G76" s="38">
        <f>'EAST-EGM-GL'!E76</f>
        <v>-866.58</v>
      </c>
      <c r="H76" s="60">
        <f t="shared" si="14"/>
        <v>0</v>
      </c>
      <c r="I76" s="38">
        <f t="shared" si="14"/>
        <v>0.41999999999995907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23733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-23733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963669</v>
      </c>
      <c r="F81" s="60">
        <f>'EAST-EGM-GL'!D81</f>
        <v>0</v>
      </c>
      <c r="G81" s="38">
        <f>'EAST-EGM-GL'!E81</f>
        <v>468168.06</v>
      </c>
      <c r="H81" s="60">
        <f>F81-D81</f>
        <v>0</v>
      </c>
      <c r="I81" s="38">
        <f>G81-E81</f>
        <v>-495500.94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-8911113.9300000481</v>
      </c>
      <c r="F82" s="71">
        <f>F16+F24+F29+F36+F43+F45+F47+F49</f>
        <v>165</v>
      </c>
      <c r="G82" s="72">
        <f>SUM(G72:G81)+G16+G24+G29+G36+G43+G45+G47+G49+G51+G56+G61+G66</f>
        <v>-23661720.349000424</v>
      </c>
      <c r="H82" s="71">
        <f>H16+H24+H29+H36+H43+H45+H47+H49</f>
        <v>165</v>
      </c>
      <c r="I82" s="72">
        <f>SUM(I72:I81)+I16+I24+I29+I36+I43+I45+I47+I49+I51+I56+I61+I66</f>
        <v>-14750606.419000261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-42632</v>
      </c>
      <c r="F86" s="145">
        <f>'EAST-EGM-GL'!D86</f>
        <v>0</v>
      </c>
      <c r="G86" s="145">
        <f>'EAST-EGM-GL'!E86</f>
        <v>-43000</v>
      </c>
      <c r="H86" s="145">
        <f t="shared" ref="H86:I88" si="15">F86-D86</f>
        <v>0</v>
      </c>
      <c r="I86" s="145">
        <f t="shared" si="15"/>
        <v>-368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-42632</v>
      </c>
      <c r="F89" s="160">
        <f t="shared" si="16"/>
        <v>0</v>
      </c>
      <c r="G89" s="160">
        <f t="shared" si="16"/>
        <v>-43000</v>
      </c>
      <c r="H89" s="160">
        <f t="shared" si="16"/>
        <v>0</v>
      </c>
      <c r="I89" s="160">
        <f t="shared" si="16"/>
        <v>-368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-8953745.9300000481</v>
      </c>
      <c r="F91" s="160">
        <f t="shared" si="17"/>
        <v>165</v>
      </c>
      <c r="G91" s="160">
        <f t="shared" si="17"/>
        <v>-23704720.349000424</v>
      </c>
      <c r="H91" s="160">
        <f t="shared" si="17"/>
        <v>165</v>
      </c>
      <c r="I91" s="160">
        <f t="shared" si="17"/>
        <v>-14750974.419000261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65293826</v>
      </c>
      <c r="E11" s="66">
        <f>'EAST-MKT-FLSH'!M11</f>
        <v>295459076</v>
      </c>
      <c r="F11" s="60">
        <f>'EAST-MKT-GL'!D11</f>
        <v>65274394</v>
      </c>
      <c r="G11" s="38">
        <f>'EAST-MKT-GL'!E11</f>
        <v>290793958.98000002</v>
      </c>
      <c r="H11" s="60">
        <f>F11-D11</f>
        <v>-19432</v>
      </c>
      <c r="I11" s="38">
        <f>G11-E11</f>
        <v>-4665117.0199999809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5954584.3499999996</v>
      </c>
      <c r="H12" s="60">
        <f>F12-D12</f>
        <v>0</v>
      </c>
      <c r="I12" s="38">
        <f>G12-E12</f>
        <v>5954584.3499999996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8679509</v>
      </c>
      <c r="E13" s="66">
        <f>'EAST-MKT-FLSH'!M13</f>
        <v>39511966</v>
      </c>
      <c r="F13" s="60">
        <f>'EAST-MKT-GL'!D13</f>
        <v>8679509</v>
      </c>
      <c r="G13" s="38">
        <f>'EAST-MKT-GL'!E13</f>
        <v>39511966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-450000</v>
      </c>
      <c r="G15" s="38">
        <f>'EAST-MKT-GL'!E15</f>
        <v>393352.10999999993</v>
      </c>
      <c r="H15" s="60">
        <f t="shared" si="0"/>
        <v>-450000</v>
      </c>
      <c r="I15" s="38">
        <f t="shared" si="0"/>
        <v>393352.10999999993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73973335</v>
      </c>
      <c r="E16" s="39">
        <f t="shared" si="1"/>
        <v>334971042</v>
      </c>
      <c r="F16" s="61">
        <f t="shared" si="1"/>
        <v>73503903</v>
      </c>
      <c r="G16" s="39">
        <f t="shared" si="1"/>
        <v>336653861.44000006</v>
      </c>
      <c r="H16" s="61">
        <f t="shared" si="1"/>
        <v>-469432</v>
      </c>
      <c r="I16" s="39">
        <f t="shared" si="1"/>
        <v>1682819.4400000186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-60041053</v>
      </c>
      <c r="E19" s="66">
        <f>'EAST-MKT-FLSH'!M19</f>
        <v>-271749316</v>
      </c>
      <c r="F19" s="60">
        <f>'EAST-MKT-GL'!D19</f>
        <v>-59464453</v>
      </c>
      <c r="G19" s="38">
        <f>'EAST-MKT-GL'!E19</f>
        <v>-261787815.50000003</v>
      </c>
      <c r="H19" s="60">
        <f>F19-D19</f>
        <v>576600</v>
      </c>
      <c r="I19" s="38">
        <f>G19-E19</f>
        <v>9961500.4999999702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-11625586.74</v>
      </c>
      <c r="H20" s="60">
        <f>F20-D20</f>
        <v>0</v>
      </c>
      <c r="I20" s="38">
        <f>G20-E20</f>
        <v>-11625586.74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-15310495</v>
      </c>
      <c r="E21" s="66">
        <f>'EAST-MKT-FLSH'!M21</f>
        <v>-69724975</v>
      </c>
      <c r="F21" s="60">
        <f>'EAST-MKT-GL'!D21</f>
        <v>-15310495</v>
      </c>
      <c r="G21" s="38">
        <f>'EAST-MKT-GL'!E21</f>
        <v>-69724975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113651</v>
      </c>
      <c r="E23" s="66">
        <f>'EAST-MKT-FLSH'!M23</f>
        <v>503435</v>
      </c>
      <c r="F23" s="60">
        <f>'EAST-MKT-GL'!D23</f>
        <v>0</v>
      </c>
      <c r="G23" s="38">
        <f>'EAST-MKT-GL'!E23</f>
        <v>0</v>
      </c>
      <c r="H23" s="60">
        <f t="shared" si="2"/>
        <v>-113651</v>
      </c>
      <c r="I23" s="38">
        <f t="shared" si="2"/>
        <v>-503435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-75237897</v>
      </c>
      <c r="E24" s="39">
        <f t="shared" si="3"/>
        <v>-340970856</v>
      </c>
      <c r="F24" s="61">
        <f t="shared" si="3"/>
        <v>-74774948</v>
      </c>
      <c r="G24" s="39">
        <f t="shared" si="3"/>
        <v>-343138377.24000001</v>
      </c>
      <c r="H24" s="61">
        <f t="shared" si="3"/>
        <v>462949</v>
      </c>
      <c r="I24" s="39">
        <f t="shared" si="3"/>
        <v>-2167521.24000003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62465</v>
      </c>
      <c r="E32" s="66">
        <f>'EAST-MKT-FLSH'!M32</f>
        <v>282829</v>
      </c>
      <c r="F32" s="60">
        <f>'EAST-MKT-GL'!D32</f>
        <v>1404467</v>
      </c>
      <c r="G32" s="38">
        <f>'EAST-MKT-GL'!E32</f>
        <v>6334146</v>
      </c>
      <c r="H32" s="60">
        <f>F32-D32</f>
        <v>1342002</v>
      </c>
      <c r="I32" s="38">
        <f>G32-E32</f>
        <v>6051317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208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-208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0</v>
      </c>
      <c r="E34" s="66">
        <f>'EAST-MKT-FLSH'!M34</f>
        <v>0</v>
      </c>
      <c r="F34" s="60">
        <f>'EAST-MKT-GL'!D34</f>
        <v>0</v>
      </c>
      <c r="G34" s="38">
        <f>'EAST-MKT-GL'!E34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248589</v>
      </c>
      <c r="E35" s="66">
        <f>'EAST-MKT-FLSH'!M35</f>
        <v>1404828</v>
      </c>
      <c r="F35" s="60">
        <f>'EAST-MKT-GL'!D35</f>
        <v>0</v>
      </c>
      <c r="G35" s="38">
        <f>'EAST-MKT-GL'!E35</f>
        <v>1408174.91</v>
      </c>
      <c r="H35" s="60">
        <f t="shared" si="5"/>
        <v>-248589</v>
      </c>
      <c r="I35" s="38">
        <f t="shared" si="5"/>
        <v>3346.9099999999162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311262</v>
      </c>
      <c r="E36" s="39">
        <f t="shared" si="6"/>
        <v>1687657</v>
      </c>
      <c r="F36" s="61">
        <f t="shared" si="6"/>
        <v>1404467</v>
      </c>
      <c r="G36" s="39">
        <f t="shared" si="6"/>
        <v>7742320.9100000001</v>
      </c>
      <c r="H36" s="61">
        <f t="shared" si="6"/>
        <v>1093205</v>
      </c>
      <c r="I36" s="39">
        <f t="shared" si="6"/>
        <v>6054663.9100000001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1058782</v>
      </c>
      <c r="E39" s="66">
        <f>'EAST-MKT-FLSH'!M39</f>
        <v>220712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-1058782</v>
      </c>
      <c r="I39" s="38">
        <f t="shared" si="7"/>
        <v>-220712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-1000000</v>
      </c>
      <c r="E40" s="66">
        <f>'EAST-MKT-FLSH'!M40</f>
        <v>-10</v>
      </c>
      <c r="F40" s="60">
        <f>'EAST-MKT-GL'!D40</f>
        <v>0</v>
      </c>
      <c r="G40" s="38">
        <f>'EAST-MKT-GL'!E40</f>
        <v>0</v>
      </c>
      <c r="H40" s="60">
        <f t="shared" si="7"/>
        <v>1000000</v>
      </c>
      <c r="I40" s="38">
        <f t="shared" si="7"/>
        <v>10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-1000000</v>
      </c>
      <c r="E42" s="70">
        <f t="shared" si="8"/>
        <v>-10</v>
      </c>
      <c r="F42" s="69">
        <f t="shared" si="8"/>
        <v>0</v>
      </c>
      <c r="G42" s="70">
        <f t="shared" si="8"/>
        <v>0</v>
      </c>
      <c r="H42" s="69">
        <f t="shared" si="8"/>
        <v>1000000</v>
      </c>
      <c r="I42" s="70">
        <f t="shared" si="8"/>
        <v>10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58782</v>
      </c>
      <c r="E43" s="39">
        <f t="shared" si="9"/>
        <v>220702</v>
      </c>
      <c r="F43" s="61">
        <f t="shared" si="9"/>
        <v>0</v>
      </c>
      <c r="G43" s="39">
        <f t="shared" si="9"/>
        <v>0</v>
      </c>
      <c r="H43" s="61">
        <f t="shared" si="9"/>
        <v>-58782</v>
      </c>
      <c r="I43" s="39">
        <f t="shared" si="9"/>
        <v>-220702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894518</v>
      </c>
      <c r="E49" s="66">
        <f>'EAST-MKT-FLSH'!M49</f>
        <v>4034276.18</v>
      </c>
      <c r="F49" s="60">
        <f>'EAST-MKT-GL'!D49</f>
        <v>-133422</v>
      </c>
      <c r="G49" s="38">
        <f>'EAST-MKT-GL'!E49</f>
        <v>-601733.22000000067</v>
      </c>
      <c r="H49" s="60">
        <f>F49-D49</f>
        <v>-1027940</v>
      </c>
      <c r="I49" s="38">
        <f>G49-E49</f>
        <v>-4636009.4000000004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-113651</v>
      </c>
      <c r="E51" s="66">
        <f>'EAST-MKT-FLSH'!M51</f>
        <v>-503435</v>
      </c>
      <c r="F51" s="60">
        <f>'EAST-MKT-GL'!D51</f>
        <v>0</v>
      </c>
      <c r="G51" s="38">
        <f>'EAST-MKT-GL'!E51</f>
        <v>0</v>
      </c>
      <c r="H51" s="60">
        <f>F51-D51</f>
        <v>113651</v>
      </c>
      <c r="I51" s="38">
        <f>G51-E51</f>
        <v>503435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-341659</v>
      </c>
      <c r="F54" s="60">
        <f>'EAST-MKT-GL'!D54</f>
        <v>-9092424</v>
      </c>
      <c r="G54" s="38">
        <f>'EAST-MKT-GL'!E54</f>
        <v>1060535.17</v>
      </c>
      <c r="H54" s="60">
        <f>F54-D54</f>
        <v>-9092424</v>
      </c>
      <c r="I54" s="38">
        <f>G54-E54</f>
        <v>1402194.17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-320894.12</v>
      </c>
      <c r="F55" s="60">
        <f>'EAST-MKT-GL'!D55</f>
        <v>0</v>
      </c>
      <c r="G55" s="38">
        <f>'EAST-MKT-GL'!E55</f>
        <v>-3479497.4699999997</v>
      </c>
      <c r="H55" s="60">
        <f>F55-D55</f>
        <v>0</v>
      </c>
      <c r="I55" s="38">
        <f>G55-E55</f>
        <v>-3158603.3499999996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-662553.12</v>
      </c>
      <c r="F56" s="61">
        <f t="shared" si="10"/>
        <v>-9092424</v>
      </c>
      <c r="G56" s="39">
        <f t="shared" si="10"/>
        <v>-2418962.2999999998</v>
      </c>
      <c r="H56" s="61">
        <f t="shared" si="10"/>
        <v>-9092424</v>
      </c>
      <c r="I56" s="39">
        <f t="shared" si="10"/>
        <v>-1756409.1799999997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1198403.767599999</v>
      </c>
      <c r="F70" s="60">
        <f>'EAST-MKT-GL'!D70</f>
        <v>0</v>
      </c>
      <c r="G70" s="38">
        <f>'EAST-MKT-GL'!E70</f>
        <v>1198403.77</v>
      </c>
      <c r="H70" s="60">
        <f>F70-D70</f>
        <v>0</v>
      </c>
      <c r="I70" s="38">
        <f>G70-E70</f>
        <v>2.4000010453164577E-3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-6919988</v>
      </c>
      <c r="F71" s="60">
        <f>'EAST-MKT-GL'!D71</f>
        <v>0</v>
      </c>
      <c r="G71" s="38">
        <f>'EAST-MKT-GL'!E71</f>
        <v>-6919990</v>
      </c>
      <c r="H71" s="60">
        <f>F71-D71</f>
        <v>0</v>
      </c>
      <c r="I71" s="38">
        <f>G71-E71</f>
        <v>-2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-5721584.232400001</v>
      </c>
      <c r="F72" s="69">
        <f t="shared" si="13"/>
        <v>0</v>
      </c>
      <c r="G72" s="70">
        <f t="shared" si="13"/>
        <v>-5721586.2300000004</v>
      </c>
      <c r="H72" s="69">
        <f t="shared" si="13"/>
        <v>0</v>
      </c>
      <c r="I72" s="70">
        <f t="shared" si="13"/>
        <v>-1.9975999989546835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6805714</v>
      </c>
      <c r="F74" s="60">
        <f>'EAST-MKT-GL'!D74</f>
        <v>0</v>
      </c>
      <c r="G74" s="38">
        <f>'EAST-MKT-GL'!E74</f>
        <v>6991821.2100000009</v>
      </c>
      <c r="H74" s="60">
        <f t="shared" ref="H74:I79" si="14">F74-D74</f>
        <v>0</v>
      </c>
      <c r="I74" s="38">
        <f t="shared" si="14"/>
        <v>186107.21000000089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18346.419999999998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-18346.419999999998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-504</v>
      </c>
      <c r="F76" s="60">
        <f>'EAST-MKT-GL'!D76</f>
        <v>0</v>
      </c>
      <c r="G76" s="38">
        <f>'EAST-MKT-GL'!E76</f>
        <v>0</v>
      </c>
      <c r="H76" s="60">
        <f t="shared" si="14"/>
        <v>0</v>
      </c>
      <c r="I76" s="38">
        <f t="shared" si="14"/>
        <v>504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-38551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38551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-159745.75239998323</v>
      </c>
      <c r="F82" s="71">
        <f>F16+F24+F29+F36+F43+F45+F47+F49</f>
        <v>0</v>
      </c>
      <c r="G82" s="72">
        <f>SUM(G72:G81)+G16+G24+G29+G36+G43+G45+G47+G49+G51+G56+G61+G66</f>
        <v>-492655.42999993358</v>
      </c>
      <c r="H82" s="71">
        <f>H16+H24+H29+H36+H43+H45+H47+H49</f>
        <v>0</v>
      </c>
      <c r="I82" s="72">
        <f>SUM(I72:I81)+I16+I24+I29+I36+I43+I45+I47+I49+I51+I56+I61+I66</f>
        <v>-332909.67760000937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-33856.559999999998</v>
      </c>
      <c r="H12" s="60">
        <f>F12-D12</f>
        <v>0</v>
      </c>
      <c r="I12" s="38">
        <f>G12-E12</f>
        <v>-33856.559999999998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-33856.559999999998</v>
      </c>
      <c r="H16" s="61">
        <f t="shared" si="1"/>
        <v>0</v>
      </c>
      <c r="I16" s="39">
        <f t="shared" si="1"/>
        <v>-33856.559999999998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-33856.559999999998</v>
      </c>
      <c r="H82" s="71">
        <f>H16+H24+H29+H36+H43+H45+H47+H49</f>
        <v>0</v>
      </c>
      <c r="I82" s="72">
        <f>SUM(I72:I81)+I16+I24+I29+I36+I43+I45+I47+I49+I51+I56+I61+I66</f>
        <v>-33856.559999999998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31" activePane="bottomRight" state="frozen"/>
      <selection pane="topRight"/>
      <selection pane="bottomLeft"/>
      <selection pane="bottomRight" activeCell="F35" sqref="F3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153756420</v>
      </c>
      <c r="E11" s="66">
        <f>'EAST-CON-FLSH'!M11</f>
        <v>663373729</v>
      </c>
      <c r="F11" s="60">
        <f>'EAST-CON-GL '!D11</f>
        <v>157990573</v>
      </c>
      <c r="G11" s="38">
        <f>'EAST-CON-GL '!E11</f>
        <v>662241506.25999987</v>
      </c>
      <c r="H11" s="60">
        <f>F11-D11</f>
        <v>4234153</v>
      </c>
      <c r="I11" s="38">
        <f>G11-E11</f>
        <v>-1132222.7400001287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20291970.23</v>
      </c>
      <c r="H12" s="60">
        <f>F12-D12</f>
        <v>0</v>
      </c>
      <c r="I12" s="38">
        <f>G12-E12</f>
        <v>20291970.23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98199788</v>
      </c>
      <c r="E13" s="66">
        <f>'EAST-CON-FLSH'!M13</f>
        <v>425874002</v>
      </c>
      <c r="F13" s="60">
        <f>'EAST-CON-GL '!D13</f>
        <v>98199788</v>
      </c>
      <c r="G13" s="38">
        <f>'EAST-CON-GL '!E13</f>
        <v>425874002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30520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-30520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4853957.24</v>
      </c>
      <c r="H15" s="60">
        <f t="shared" si="0"/>
        <v>0</v>
      </c>
      <c r="I15" s="38">
        <f t="shared" si="0"/>
        <v>4853957.24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251956208</v>
      </c>
      <c r="E16" s="39">
        <f t="shared" si="1"/>
        <v>1089278251</v>
      </c>
      <c r="F16" s="61">
        <f t="shared" si="1"/>
        <v>256190361</v>
      </c>
      <c r="G16" s="39">
        <f t="shared" si="1"/>
        <v>1113261435.7299998</v>
      </c>
      <c r="H16" s="61">
        <f t="shared" si="1"/>
        <v>4234153</v>
      </c>
      <c r="I16" s="39">
        <f t="shared" si="1"/>
        <v>23983184.72999987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-160335517</v>
      </c>
      <c r="E19" s="66">
        <f>'EAST-CON-FLSH'!M19</f>
        <v>-690300032</v>
      </c>
      <c r="F19" s="60">
        <f>'EAST-CON-GL '!D19</f>
        <v>-170771873</v>
      </c>
      <c r="G19" s="38">
        <f>'EAST-CON-GL '!E19</f>
        <v>-719038282.99000013</v>
      </c>
      <c r="H19" s="60">
        <f>F19-D19</f>
        <v>-10436356</v>
      </c>
      <c r="I19" s="38">
        <f>G19-E19</f>
        <v>-28738250.990000129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-31658710.870000001</v>
      </c>
      <c r="H20" s="60">
        <f>F20-D20</f>
        <v>0</v>
      </c>
      <c r="I20" s="38">
        <f>G20-E20</f>
        <v>-31658710.870000001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-92207938</v>
      </c>
      <c r="E21" s="66">
        <f>'EAST-CON-FLSH'!M21</f>
        <v>-398424782</v>
      </c>
      <c r="F21" s="60">
        <f>'EAST-CON-GL '!D21</f>
        <v>-92207938</v>
      </c>
      <c r="G21" s="38">
        <f>'EAST-CON-GL '!E21</f>
        <v>-398424782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574829</v>
      </c>
      <c r="E23" s="66">
        <f>'EAST-CON-FLSH'!M23</f>
        <v>2438737</v>
      </c>
      <c r="F23" s="60">
        <f>'EAST-CON-GL '!D23</f>
        <v>794469</v>
      </c>
      <c r="G23" s="38">
        <f>'EAST-CON-GL '!E23</f>
        <v>3410655.4210000006</v>
      </c>
      <c r="H23" s="60">
        <f t="shared" si="2"/>
        <v>219640</v>
      </c>
      <c r="I23" s="38">
        <f t="shared" si="2"/>
        <v>971918.42100000056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-251968626</v>
      </c>
      <c r="E24" s="39">
        <f t="shared" si="3"/>
        <v>-1086286077</v>
      </c>
      <c r="F24" s="61">
        <f t="shared" si="3"/>
        <v>-262185342</v>
      </c>
      <c r="G24" s="39">
        <f t="shared" si="3"/>
        <v>-1145711120.4390001</v>
      </c>
      <c r="H24" s="61">
        <f t="shared" si="3"/>
        <v>-10216716</v>
      </c>
      <c r="I24" s="39">
        <f t="shared" si="3"/>
        <v>-59425043.43900013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139825</v>
      </c>
      <c r="G27" s="38">
        <f>'EAST-CON-GL '!E27</f>
        <v>578895.73</v>
      </c>
      <c r="H27" s="60">
        <f>F27-D27</f>
        <v>139825</v>
      </c>
      <c r="I27" s="38">
        <f>G27-E27</f>
        <v>578895.73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-89332</v>
      </c>
      <c r="G28" s="38">
        <f>'EAST-CON-GL '!E28</f>
        <v>-369479.04</v>
      </c>
      <c r="H28" s="60">
        <f>F28-D28</f>
        <v>-89332</v>
      </c>
      <c r="I28" s="38">
        <f>G28-E28</f>
        <v>-369479.04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50493</v>
      </c>
      <c r="G29" s="70">
        <f t="shared" si="4"/>
        <v>209416.69</v>
      </c>
      <c r="H29" s="69">
        <f t="shared" si="4"/>
        <v>50493</v>
      </c>
      <c r="I29" s="70">
        <f t="shared" si="4"/>
        <v>209416.69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-15987</v>
      </c>
      <c r="E32" s="66">
        <f>'EAST-CON-FLSH'!M32</f>
        <v>-68946</v>
      </c>
      <c r="F32" s="60">
        <f>'EAST-CON-GL '!D32</f>
        <v>-1193931</v>
      </c>
      <c r="G32" s="38">
        <f>'EAST-CON-GL '!E32</f>
        <v>-5125414.9930000007</v>
      </c>
      <c r="H32" s="60">
        <f>F32-D32</f>
        <v>-1177944</v>
      </c>
      <c r="I32" s="38">
        <f>G32-E32</f>
        <v>-5056468.9930000007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678108</v>
      </c>
      <c r="E33" s="66">
        <f>'EAST-CON-FLSH'!M33</f>
        <v>2882796</v>
      </c>
      <c r="F33" s="60">
        <f>'EAST-CON-GL '!D33</f>
        <v>-377965</v>
      </c>
      <c r="G33" s="38">
        <f>'EAST-CON-GL '!E33</f>
        <v>-1489667.72</v>
      </c>
      <c r="H33" s="60">
        <f t="shared" ref="H33:I35" si="5">F33-D33</f>
        <v>-1056073</v>
      </c>
      <c r="I33" s="38">
        <f t="shared" si="5"/>
        <v>-4372463.72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-624629</v>
      </c>
      <c r="E34" s="66">
        <f>'EAST-CON-FLSH'!M34</f>
        <v>-2675858</v>
      </c>
      <c r="F34" s="60">
        <f>'EAST-CON-GL '!D34</f>
        <v>462391</v>
      </c>
      <c r="G34" s="38">
        <f>'EAST-CON-GL '!E34</f>
        <v>1779892.4100000001</v>
      </c>
      <c r="H34" s="60">
        <f t="shared" si="5"/>
        <v>1087020</v>
      </c>
      <c r="I34" s="38">
        <f t="shared" si="5"/>
        <v>4455750.41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530010</v>
      </c>
      <c r="E35" s="66">
        <f>'EAST-CON-FLSH'!M35</f>
        <v>2113994</v>
      </c>
      <c r="F35" s="60">
        <f>'EAST-CON-GL '!D35</f>
        <v>778347</v>
      </c>
      <c r="G35" s="38">
        <f>'EAST-CON-GL '!E35</f>
        <v>2223440.09</v>
      </c>
      <c r="H35" s="60">
        <f t="shared" si="5"/>
        <v>248337</v>
      </c>
      <c r="I35" s="38">
        <f t="shared" si="5"/>
        <v>109446.08999999985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567502</v>
      </c>
      <c r="E36" s="39">
        <f t="shared" si="6"/>
        <v>2251986</v>
      </c>
      <c r="F36" s="61">
        <f t="shared" si="6"/>
        <v>-331158</v>
      </c>
      <c r="G36" s="39">
        <f t="shared" si="6"/>
        <v>-2611750.2130000005</v>
      </c>
      <c r="H36" s="61">
        <f t="shared" si="6"/>
        <v>-898660</v>
      </c>
      <c r="I36" s="39">
        <f t="shared" si="6"/>
        <v>-4863736.2129999995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1423689</v>
      </c>
      <c r="E39" s="66">
        <f>'EAST-CON-FLSH'!M39</f>
        <v>6198360</v>
      </c>
      <c r="F39" s="60">
        <f>'EAST-CON-GL '!D39</f>
        <v>2505480</v>
      </c>
      <c r="G39" s="38">
        <f>'EAST-CON-GL '!E39</f>
        <v>9351594.2799999993</v>
      </c>
      <c r="H39" s="60">
        <f t="shared" ref="H39:I41" si="7">F39-D39</f>
        <v>1081791</v>
      </c>
      <c r="I39" s="38">
        <f t="shared" si="7"/>
        <v>3153234.2799999993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-1006097</v>
      </c>
      <c r="E40" s="66">
        <f>'EAST-CON-FLSH'!M40</f>
        <v>-4370253</v>
      </c>
      <c r="F40" s="60">
        <f>'EAST-CON-GL '!D40</f>
        <v>-1164897</v>
      </c>
      <c r="G40" s="38">
        <f>'EAST-CON-GL '!E40</f>
        <v>-5387268.0200000005</v>
      </c>
      <c r="H40" s="60">
        <f t="shared" si="7"/>
        <v>-158800</v>
      </c>
      <c r="I40" s="38">
        <f t="shared" si="7"/>
        <v>-1017015.0200000005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-1006097</v>
      </c>
      <c r="E42" s="70">
        <f t="shared" si="8"/>
        <v>-4370253</v>
      </c>
      <c r="F42" s="69">
        <f t="shared" si="8"/>
        <v>-1164897</v>
      </c>
      <c r="G42" s="70">
        <f t="shared" si="8"/>
        <v>-5387268.0200000005</v>
      </c>
      <c r="H42" s="69">
        <f t="shared" si="8"/>
        <v>-158800</v>
      </c>
      <c r="I42" s="70">
        <f t="shared" si="8"/>
        <v>-1017015.0200000005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417592</v>
      </c>
      <c r="E43" s="39">
        <f t="shared" si="9"/>
        <v>1828107</v>
      </c>
      <c r="F43" s="61">
        <f t="shared" si="9"/>
        <v>1340583</v>
      </c>
      <c r="G43" s="39">
        <f t="shared" si="9"/>
        <v>3964326.2599999988</v>
      </c>
      <c r="H43" s="61">
        <f t="shared" si="9"/>
        <v>922991</v>
      </c>
      <c r="I43" s="39">
        <f t="shared" si="9"/>
        <v>2136219.2599999988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-972676</v>
      </c>
      <c r="E49" s="66">
        <f>'EAST-CON-FLSH'!M49</f>
        <v>-4175600.8004000005</v>
      </c>
      <c r="F49" s="60">
        <f>'EAST-CON-GL '!D49</f>
        <v>4935228</v>
      </c>
      <c r="G49" s="38">
        <f>'EAST-CON-GL '!E49</f>
        <v>21186933.804000001</v>
      </c>
      <c r="H49" s="60">
        <f>F49-D49</f>
        <v>5907904</v>
      </c>
      <c r="I49" s="38">
        <f>G49-E49</f>
        <v>25362534.604400001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-574829</v>
      </c>
      <c r="E51" s="66">
        <f>'EAST-CON-FLSH'!M51</f>
        <v>-2438737</v>
      </c>
      <c r="F51" s="60">
        <f>'EAST-CON-GL '!D51</f>
        <v>-794469</v>
      </c>
      <c r="G51" s="38">
        <f>'EAST-CON-GL '!E51</f>
        <v>-3410655.4210000006</v>
      </c>
      <c r="H51" s="60">
        <f>F51-D51</f>
        <v>-219640</v>
      </c>
      <c r="I51" s="38">
        <f>G51-E51</f>
        <v>-971918.42100000056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-2048301</v>
      </c>
      <c r="F54" s="60">
        <f>'EAST-CON-GL '!D54</f>
        <v>-138037335</v>
      </c>
      <c r="G54" s="38">
        <f>'EAST-CON-GL '!E54</f>
        <v>2199631.6199999996</v>
      </c>
      <c r="H54" s="60">
        <f>F54-D54</f>
        <v>-138037335</v>
      </c>
      <c r="I54" s="38">
        <f>G54-E54</f>
        <v>4247932.6199999992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-2220811.5</v>
      </c>
      <c r="F55" s="60">
        <f>'EAST-CON-GL '!D55</f>
        <v>0</v>
      </c>
      <c r="G55" s="38">
        <f>'EAST-CON-GL '!E55</f>
        <v>-9220428.129999999</v>
      </c>
      <c r="H55" s="60">
        <f>F55-D55</f>
        <v>0</v>
      </c>
      <c r="I55" s="38">
        <f>G55-E55</f>
        <v>-6999616.629999999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-4269112.5</v>
      </c>
      <c r="F56" s="61">
        <f t="shared" si="10"/>
        <v>-138037335</v>
      </c>
      <c r="G56" s="39">
        <f t="shared" si="10"/>
        <v>-7020796.5099999998</v>
      </c>
      <c r="H56" s="61">
        <f t="shared" si="10"/>
        <v>-138037335</v>
      </c>
      <c r="I56" s="39">
        <f t="shared" si="10"/>
        <v>-2751684.01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48847.92</v>
      </c>
      <c r="H59" s="60">
        <f>F59-D59</f>
        <v>0</v>
      </c>
      <c r="I59" s="38">
        <f>G59-E59</f>
        <v>48847.92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48847.92</v>
      </c>
      <c r="H61" s="69">
        <f t="shared" si="11"/>
        <v>0</v>
      </c>
      <c r="I61" s="70">
        <f t="shared" si="11"/>
        <v>48847.92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-5134326.6295999996</v>
      </c>
      <c r="F70" s="60">
        <f>'EAST-CON-GL '!D70</f>
        <v>0</v>
      </c>
      <c r="G70" s="38">
        <f>'EAST-CON-GL '!E70</f>
        <v>-5134326.63</v>
      </c>
      <c r="H70" s="60">
        <f>F70-D70</f>
        <v>0</v>
      </c>
      <c r="I70" s="38">
        <f>G70-E70</f>
        <v>-4.0000025182962418E-4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-14964909</v>
      </c>
      <c r="F71" s="60">
        <f>'EAST-CON-GL '!D71</f>
        <v>0</v>
      </c>
      <c r="G71" s="38">
        <f>'EAST-CON-GL '!E71</f>
        <v>-14964909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-20099235.6296</v>
      </c>
      <c r="F72" s="69">
        <f t="shared" si="13"/>
        <v>0</v>
      </c>
      <c r="G72" s="70">
        <f t="shared" si="13"/>
        <v>-20099235.629999999</v>
      </c>
      <c r="H72" s="69">
        <f t="shared" si="13"/>
        <v>0</v>
      </c>
      <c r="I72" s="70">
        <f t="shared" si="13"/>
        <v>-4.0000025182962418E-4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13849134</v>
      </c>
      <c r="F74" s="60">
        <f>'EAST-CON-GL '!D74</f>
        <v>0</v>
      </c>
      <c r="G74" s="38">
        <f>'EAST-CON-GL '!E74</f>
        <v>15790987.42</v>
      </c>
      <c r="H74" s="60">
        <f t="shared" ref="H74:I79" si="14">F74-D74</f>
        <v>0</v>
      </c>
      <c r="I74" s="38">
        <f t="shared" si="14"/>
        <v>1941853.42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210386</v>
      </c>
      <c r="F75" s="60">
        <f>'EAST-CON-GL '!D75</f>
        <v>0</v>
      </c>
      <c r="G75" s="38">
        <f>'EAST-CON-GL '!E75</f>
        <v>228732</v>
      </c>
      <c r="H75" s="60">
        <f t="shared" si="14"/>
        <v>0</v>
      </c>
      <c r="I75" s="38">
        <f t="shared" si="14"/>
        <v>18346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-867</v>
      </c>
      <c r="F76" s="60">
        <f>'EAST-CON-GL '!D76</f>
        <v>0</v>
      </c>
      <c r="G76" s="38">
        <f>'EAST-CON-GL '!E76</f>
        <v>-866.58</v>
      </c>
      <c r="H76" s="60">
        <f t="shared" si="14"/>
        <v>0</v>
      </c>
      <c r="I76" s="38">
        <f t="shared" si="14"/>
        <v>0.41999999999995907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23733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-23733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963669</v>
      </c>
      <c r="F81" s="60">
        <f>'EAST-CON-GL '!D81</f>
        <v>0</v>
      </c>
      <c r="G81" s="38">
        <f>'EAST-CON-GL '!E81</f>
        <v>468168.06000000006</v>
      </c>
      <c r="H81" s="60">
        <f>F81-D81</f>
        <v>0</v>
      </c>
      <c r="I81" s="38">
        <f>G81-E81</f>
        <v>-495500.93999999994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-8911113.9300000481</v>
      </c>
      <c r="F82" s="109">
        <f>F16+F24+F29+F36+F43+F45+F47+F49</f>
        <v>165</v>
      </c>
      <c r="G82" s="110">
        <f>SUM(G72:G81)+G16+G24+G29+G36+G43+G45+G47+G49+G51+G56+G61+G66</f>
        <v>-23695576.909000367</v>
      </c>
      <c r="H82" s="109">
        <f>H16+H24+H29+H36+H43+H45+H47+H49</f>
        <v>165</v>
      </c>
      <c r="I82" s="110">
        <f>SUM(I72:I81)+I16+I24+I29+I36+I43+I45+I47+I49+I51+I56+I61+I66</f>
        <v>-14784462.979000263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-42632</v>
      </c>
      <c r="F86" s="145">
        <f>'EAST-CON-GL '!D86</f>
        <v>0</v>
      </c>
      <c r="G86" s="145">
        <f>'EAST-CON-GL '!E86</f>
        <v>-43000</v>
      </c>
      <c r="H86" s="145">
        <f t="shared" ref="H86:I88" si="15">F86-D86</f>
        <v>0</v>
      </c>
      <c r="I86" s="145">
        <f t="shared" si="15"/>
        <v>-368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-42632</v>
      </c>
      <c r="F89" s="155">
        <f t="shared" si="16"/>
        <v>0</v>
      </c>
      <c r="G89" s="155">
        <f t="shared" si="16"/>
        <v>-43000</v>
      </c>
      <c r="H89" s="155">
        <f t="shared" si="16"/>
        <v>0</v>
      </c>
      <c r="I89" s="155">
        <f t="shared" si="16"/>
        <v>-368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-8953745.9300000481</v>
      </c>
      <c r="F91" s="160">
        <f t="shared" si="17"/>
        <v>165</v>
      </c>
      <c r="G91" s="160">
        <f t="shared" si="17"/>
        <v>-23738576.909000367</v>
      </c>
      <c r="H91" s="160">
        <f t="shared" si="17"/>
        <v>165</v>
      </c>
      <c r="I91" s="160">
        <f t="shared" si="17"/>
        <v>-14784830.979000263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-8953745.9300000481</v>
      </c>
      <c r="G94" s="14">
        <f>+'EAST-EGM-VAR'!G91+'EAST-LRC-VAR'!G82</f>
        <v>-23738576.909000423</v>
      </c>
      <c r="I94" s="14">
        <f>+'EAST-EGM-VAR'!I91+'EAST-LRC-VAR'!I82</f>
        <v>-14784830.979000261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14711696</v>
      </c>
      <c r="G11" s="38">
        <f>'TX-EGM-GL'!E11</f>
        <v>60584597.840000004</v>
      </c>
      <c r="H11" s="60">
        <f>F11-D11</f>
        <v>2653627</v>
      </c>
      <c r="I11" s="38">
        <f>G11-E11</f>
        <v>22154597.330000013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3737063.63</v>
      </c>
      <c r="H12" s="60">
        <f>F12-D12</f>
        <v>0</v>
      </c>
      <c r="I12" s="38">
        <f>G12-E12</f>
        <v>3737063.63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12450000</v>
      </c>
      <c r="G13" s="38">
        <f>'TX-EGM-GL'!E13</f>
        <v>43694930</v>
      </c>
      <c r="H13" s="60">
        <f t="shared" ref="H13:I15" si="0">F13-D13</f>
        <v>12450000</v>
      </c>
      <c r="I13" s="38">
        <f t="shared" si="0"/>
        <v>43694930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1708322</v>
      </c>
      <c r="H15" s="60">
        <f t="shared" si="0"/>
        <v>0</v>
      </c>
      <c r="I15" s="38">
        <f t="shared" si="0"/>
        <v>1708322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27161696</v>
      </c>
      <c r="G16" s="39">
        <f t="shared" si="1"/>
        <v>109724913.47</v>
      </c>
      <c r="H16" s="61">
        <f t="shared" si="1"/>
        <v>15103627</v>
      </c>
      <c r="I16" s="39">
        <f t="shared" si="1"/>
        <v>71294912.960000008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-8014020</v>
      </c>
      <c r="G19" s="38">
        <f>'TX-EGM-GL'!E19</f>
        <v>-34835907.419999994</v>
      </c>
      <c r="H19" s="60">
        <f>F19-D19</f>
        <v>-297115</v>
      </c>
      <c r="I19" s="38">
        <f>G19-E19</f>
        <v>-10068340.660000004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120337.63</v>
      </c>
      <c r="H20" s="60">
        <f>F20-D20</f>
        <v>0</v>
      </c>
      <c r="I20" s="38">
        <f>G20-E20</f>
        <v>120337.63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-12450000</v>
      </c>
      <c r="G21" s="38">
        <f>'TX-EGM-GL'!E21</f>
        <v>-43694930</v>
      </c>
      <c r="H21" s="60">
        <f t="shared" ref="H21:I23" si="2">F21-D21</f>
        <v>-12450000</v>
      </c>
      <c r="I21" s="38">
        <f t="shared" si="2"/>
        <v>-43694930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144584</v>
      </c>
      <c r="G23" s="38">
        <f>'TX-EGM-GL'!E23</f>
        <v>632481.84299999999</v>
      </c>
      <c r="H23" s="60">
        <f t="shared" si="2"/>
        <v>127797</v>
      </c>
      <c r="I23" s="38">
        <f t="shared" si="2"/>
        <v>574409.84299999999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-20319436</v>
      </c>
      <c r="G24" s="39">
        <f t="shared" si="3"/>
        <v>-77778017.946999997</v>
      </c>
      <c r="H24" s="61">
        <f t="shared" si="3"/>
        <v>-12619318</v>
      </c>
      <c r="I24" s="39">
        <f t="shared" si="3"/>
        <v>-53068523.186999999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13507668</v>
      </c>
      <c r="G27" s="38">
        <f>'TX-EGM-GL'!E27</f>
        <v>57872197.150000006</v>
      </c>
      <c r="H27" s="60">
        <f>F27-D27</f>
        <v>-8821228</v>
      </c>
      <c r="I27" s="38">
        <f>G27-E27</f>
        <v>-20685521.370000005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-19974087</v>
      </c>
      <c r="G28" s="38">
        <f>'TX-EGM-GL'!E28</f>
        <v>-85676158.66399999</v>
      </c>
      <c r="H28" s="60">
        <f>F28-D28</f>
        <v>3049789</v>
      </c>
      <c r="I28" s="38">
        <f>G28-E28</f>
        <v>-4619187.8539999872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-6466419</v>
      </c>
      <c r="G29" s="70">
        <f t="shared" si="4"/>
        <v>-27803961.513999984</v>
      </c>
      <c r="H29" s="69">
        <f t="shared" si="4"/>
        <v>-5771439</v>
      </c>
      <c r="I29" s="70">
        <f t="shared" si="4"/>
        <v>-25304709.223999992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537385</v>
      </c>
      <c r="E32" s="66">
        <f>'TX-EGM-FLSH'!M32</f>
        <v>3</v>
      </c>
      <c r="F32" s="60">
        <f>'TX-EGM-GL'!D32</f>
        <v>-43781</v>
      </c>
      <c r="G32" s="38">
        <f>'TX-EGM-GL'!E32</f>
        <v>-196308.19899999816</v>
      </c>
      <c r="H32" s="60">
        <f>F32-D32</f>
        <v>-581166</v>
      </c>
      <c r="I32" s="38">
        <f>G32-E32</f>
        <v>-196311.19899999816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-536755</v>
      </c>
      <c r="E33" s="66">
        <f>'TX-EGM-FLSH'!M33</f>
        <v>-16109</v>
      </c>
      <c r="F33" s="60">
        <f>'TX-EGM-GL'!D33</f>
        <v>0</v>
      </c>
      <c r="G33" s="38">
        <f>'TX-EGM-GL'!E33</f>
        <v>0</v>
      </c>
      <c r="H33" s="60">
        <f t="shared" ref="H33:I35" si="5">F33-D33</f>
        <v>536755</v>
      </c>
      <c r="I33" s="38">
        <f t="shared" si="5"/>
        <v>16109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-6870</v>
      </c>
      <c r="G35" s="38">
        <f>'TX-EGM-GL'!E35</f>
        <v>0</v>
      </c>
      <c r="H35" s="60">
        <f t="shared" si="5"/>
        <v>-6870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630</v>
      </c>
      <c r="E36" s="39">
        <f t="shared" si="6"/>
        <v>-16106</v>
      </c>
      <c r="F36" s="61">
        <f t="shared" si="6"/>
        <v>-50651</v>
      </c>
      <c r="G36" s="39">
        <f t="shared" si="6"/>
        <v>-196308.19899999816</v>
      </c>
      <c r="H36" s="61">
        <f t="shared" si="6"/>
        <v>-51281</v>
      </c>
      <c r="I36" s="39">
        <f t="shared" si="6"/>
        <v>-180202.19899999816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-31402</v>
      </c>
      <c r="G39" s="38">
        <f>'TX-EGM-GL'!E39</f>
        <v>-0.01</v>
      </c>
      <c r="H39" s="60">
        <f t="shared" ref="H39:I41" si="7">F39-D39</f>
        <v>-31402</v>
      </c>
      <c r="I39" s="38">
        <f t="shared" si="7"/>
        <v>-0.01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-20000</v>
      </c>
      <c r="G40" s="38">
        <f>'TX-EGM-GL'!E40</f>
        <v>-45190.889999999992</v>
      </c>
      <c r="H40" s="60">
        <f t="shared" si="7"/>
        <v>-20000</v>
      </c>
      <c r="I40" s="38">
        <f t="shared" si="7"/>
        <v>-45190.889999999992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-20000</v>
      </c>
      <c r="G42" s="70">
        <f t="shared" si="8"/>
        <v>-45190.889999999992</v>
      </c>
      <c r="H42" s="69">
        <f t="shared" si="8"/>
        <v>-20000</v>
      </c>
      <c r="I42" s="70">
        <f t="shared" si="8"/>
        <v>-45190.889999999992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-51402</v>
      </c>
      <c r="G43" s="39">
        <f t="shared" si="9"/>
        <v>-45190.899999999994</v>
      </c>
      <c r="H43" s="61">
        <f t="shared" si="9"/>
        <v>-51402</v>
      </c>
      <c r="I43" s="39">
        <f t="shared" si="9"/>
        <v>-45190.899999999994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-15687545.484167419</v>
      </c>
      <c r="F49" s="60">
        <f>'TX-EGM-GL'!D49</f>
        <v>-188</v>
      </c>
      <c r="G49" s="38">
        <f>'TX-EGM-GL'!E49</f>
        <v>-805.20599999988917</v>
      </c>
      <c r="H49" s="60">
        <f>F49-D49</f>
        <v>3662783</v>
      </c>
      <c r="I49" s="38">
        <f>G49-E49</f>
        <v>15686740.278167419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-8207</v>
      </c>
      <c r="G51" s="38">
        <f>'TX-EGM-GL'!E51</f>
        <v>-35150.582999999999</v>
      </c>
      <c r="H51" s="60">
        <f>F51-D51</f>
        <v>8580</v>
      </c>
      <c r="I51" s="38">
        <f>G51-E51</f>
        <v>-35150.582999999999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0</v>
      </c>
      <c r="F54" s="60">
        <f>'TX-EGM-GL'!D54</f>
        <v>-28043834</v>
      </c>
      <c r="G54" s="38">
        <f>'TX-EGM-GL'!E54</f>
        <v>-345652.11000000004</v>
      </c>
      <c r="H54" s="60">
        <f>F54-D54</f>
        <v>-28043834</v>
      </c>
      <c r="I54" s="38">
        <f>G54-E54</f>
        <v>-345652.11000000004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23344</v>
      </c>
      <c r="G55" s="38">
        <f>'TX-EGM-GL'!E55</f>
        <v>-278635.11</v>
      </c>
      <c r="H55" s="60">
        <f>F55-D55</f>
        <v>23344</v>
      </c>
      <c r="I55" s="38">
        <f>G55-E55</f>
        <v>-278635.11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-28020490</v>
      </c>
      <c r="G56" s="39">
        <f t="shared" si="10"/>
        <v>-624287.22</v>
      </c>
      <c r="H56" s="61">
        <f t="shared" si="10"/>
        <v>-28020490</v>
      </c>
      <c r="I56" s="39">
        <f t="shared" si="10"/>
        <v>-624287.22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519130.8</v>
      </c>
      <c r="F70" s="60">
        <f>'TX-EGM-GL'!D70</f>
        <v>0</v>
      </c>
      <c r="G70" s="38">
        <f>'TX-EGM-GL'!E70</f>
        <v>519130.8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-6879227</v>
      </c>
      <c r="F71" s="60">
        <f>'TX-EGM-GL'!D71</f>
        <v>0</v>
      </c>
      <c r="G71" s="38">
        <f>'TX-EGM-GL'!E71</f>
        <v>-6550905</v>
      </c>
      <c r="H71" s="60">
        <f>F71-D71</f>
        <v>0</v>
      </c>
      <c r="I71" s="38">
        <f>G71-E71</f>
        <v>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-6360096.2000000002</v>
      </c>
      <c r="F72" s="69">
        <f t="shared" si="13"/>
        <v>0</v>
      </c>
      <c r="G72" s="70">
        <f t="shared" si="13"/>
        <v>-6031774.2000000002</v>
      </c>
      <c r="H72" s="69">
        <f t="shared" si="13"/>
        <v>0</v>
      </c>
      <c r="I72" s="70">
        <f t="shared" si="13"/>
        <v>328322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5792644</v>
      </c>
      <c r="F74" s="60">
        <f>'TX-EGM-GL'!D74</f>
        <v>0</v>
      </c>
      <c r="G74" s="38">
        <f>'TX-EGM-GL'!E74</f>
        <v>-70463.97</v>
      </c>
      <c r="H74" s="60">
        <f t="shared" ref="H74:I79" si="14">F74-D74</f>
        <v>0</v>
      </c>
      <c r="I74" s="38">
        <f t="shared" si="14"/>
        <v>-5863107.9699999997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308</v>
      </c>
      <c r="F75" s="60">
        <f>'TX-EGM-GL'!D75</f>
        <v>0</v>
      </c>
      <c r="G75" s="38">
        <f>'TX-EGM-GL'!E75</f>
        <v>308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-1000</v>
      </c>
      <c r="F76" s="60">
        <f>'TX-EGM-GL'!D76</f>
        <v>0</v>
      </c>
      <c r="G76" s="38">
        <f>'TX-EGM-GL'!E76</f>
        <v>0</v>
      </c>
      <c r="H76" s="60">
        <f t="shared" si="14"/>
        <v>0</v>
      </c>
      <c r="I76" s="38">
        <f t="shared" si="14"/>
        <v>1000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2228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630</v>
      </c>
      <c r="E82" s="110">
        <f>SUM(E72:E81)+E16+E24+E29+E36+E43+E45+E47+E49+E51+E56+E61+E66</f>
        <v>-5146614.224167414</v>
      </c>
      <c r="F82" s="109">
        <f>F16+F24+F29+F36+F43+F45+F47+F49</f>
        <v>273600</v>
      </c>
      <c r="G82" s="110">
        <f>SUM(G72:G81)+G16+G24+G29+G36+G43+G45+G47+G49+G51+G56+G61+G66</f>
        <v>-2860738.2689999817</v>
      </c>
      <c r="H82" s="109">
        <f>H16+H24+H29+H36+H43+H45+H47+H49</f>
        <v>272970</v>
      </c>
      <c r="I82" s="110">
        <f>SUM(I72:I81)+I16+I24+I29+I36+I43+I45+I47+I49+I51+I56+I61+I66</f>
        <v>2285875.9551674398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57677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-57677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-686167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686167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-628490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628490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630</v>
      </c>
      <c r="E91" s="160">
        <f t="shared" si="17"/>
        <v>-5775104.224167414</v>
      </c>
      <c r="F91" s="160">
        <f t="shared" si="17"/>
        <v>273600</v>
      </c>
      <c r="G91" s="160">
        <f t="shared" si="17"/>
        <v>-2860738.2689999817</v>
      </c>
      <c r="H91" s="160">
        <f t="shared" si="17"/>
        <v>272970</v>
      </c>
      <c r="I91" s="160">
        <f t="shared" si="17"/>
        <v>2914365.9551674398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3157520</v>
      </c>
      <c r="E11" s="66">
        <f>'TX-HPLR-FLSH'!M11</f>
        <v>28080810.49000001</v>
      </c>
      <c r="F11" s="60">
        <f>'TX-HPLR-GL '!D11</f>
        <v>114127</v>
      </c>
      <c r="G11" s="38">
        <f>'TX-HPLR-GL '!E11</f>
        <v>502272.93</v>
      </c>
      <c r="H11" s="60">
        <f>F11-D11</f>
        <v>-3043393</v>
      </c>
      <c r="I11" s="38">
        <f>G11-E11</f>
        <v>-27578537.56000001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-1728</v>
      </c>
      <c r="H12" s="60">
        <f>F12-D12</f>
        <v>0</v>
      </c>
      <c r="I12" s="38">
        <f>G12-E12</f>
        <v>-1728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14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-14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3157534</v>
      </c>
      <c r="E16" s="39">
        <f t="shared" si="1"/>
        <v>28080810.49000001</v>
      </c>
      <c r="F16" s="61">
        <f t="shared" si="1"/>
        <v>114127</v>
      </c>
      <c r="G16" s="39">
        <f t="shared" si="1"/>
        <v>500544.93</v>
      </c>
      <c r="H16" s="61">
        <f t="shared" si="1"/>
        <v>-3043407</v>
      </c>
      <c r="I16" s="39">
        <f t="shared" si="1"/>
        <v>-27580265.56000001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-366385</v>
      </c>
      <c r="E19" s="66">
        <f>'TX-HPLR-FLSH'!M19</f>
        <v>-9636253.2400000095</v>
      </c>
      <c r="F19" s="60">
        <f>'TX-HPLR-GL '!D19</f>
        <v>0</v>
      </c>
      <c r="G19" s="38">
        <f>'TX-HPLR-GL '!E19</f>
        <v>9717.56</v>
      </c>
      <c r="H19" s="60">
        <f>F19-D19</f>
        <v>366385</v>
      </c>
      <c r="I19" s="38">
        <f>G19-E19</f>
        <v>9645970.8000000101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-7996</v>
      </c>
      <c r="E23" s="66">
        <f>'TX-HPLR-FLSH'!M23</f>
        <v>-20999</v>
      </c>
      <c r="F23" s="60">
        <f>'TX-HPLR-GL '!D23</f>
        <v>0</v>
      </c>
      <c r="G23" s="38">
        <f>'TX-HPLR-GL '!E23</f>
        <v>0</v>
      </c>
      <c r="H23" s="60">
        <f t="shared" si="2"/>
        <v>7996</v>
      </c>
      <c r="I23" s="38">
        <f t="shared" si="2"/>
        <v>20999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-374381</v>
      </c>
      <c r="E24" s="39">
        <f t="shared" si="3"/>
        <v>-9657252.2400000095</v>
      </c>
      <c r="F24" s="61">
        <f t="shared" si="3"/>
        <v>0</v>
      </c>
      <c r="G24" s="39">
        <f t="shared" si="3"/>
        <v>9717.56</v>
      </c>
      <c r="H24" s="61">
        <f t="shared" si="3"/>
        <v>374381</v>
      </c>
      <c r="I24" s="39">
        <f t="shared" si="3"/>
        <v>9666969.8000000101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-356532</v>
      </c>
      <c r="E27" s="66">
        <f>'TX-HPLR-FLSH'!M27</f>
        <v>15210999.480000019</v>
      </c>
      <c r="F27" s="60">
        <f>'TX-HPLR-GL '!D27</f>
        <v>0</v>
      </c>
      <c r="G27" s="38">
        <f>'TX-HPLR-GL '!E27</f>
        <v>0</v>
      </c>
      <c r="H27" s="60">
        <f>F27-D27</f>
        <v>356532</v>
      </c>
      <c r="I27" s="38">
        <f>G27-E27</f>
        <v>-15210999.480000019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103705</v>
      </c>
      <c r="E28" s="66">
        <f>'TX-HPLR-FLSH'!M28</f>
        <v>-16792921.189999998</v>
      </c>
      <c r="F28" s="60">
        <f>'TX-HPLR-GL '!D28</f>
        <v>-114127</v>
      </c>
      <c r="G28" s="38">
        <f>'TX-HPLR-GL '!E28</f>
        <v>-499876.26</v>
      </c>
      <c r="H28" s="60">
        <f>F28-D28</f>
        <v>-217832</v>
      </c>
      <c r="I28" s="38">
        <f>G28-E28</f>
        <v>16293044.929999998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-252827</v>
      </c>
      <c r="E29" s="70">
        <f t="shared" si="4"/>
        <v>-1581921.7099999785</v>
      </c>
      <c r="F29" s="69">
        <f t="shared" si="4"/>
        <v>-114127</v>
      </c>
      <c r="G29" s="70">
        <f t="shared" si="4"/>
        <v>-499876.26</v>
      </c>
      <c r="H29" s="69">
        <f t="shared" si="4"/>
        <v>138700</v>
      </c>
      <c r="I29" s="70">
        <f t="shared" si="4"/>
        <v>1082045.4499999788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-2530942</v>
      </c>
      <c r="E49" s="66">
        <f>'TX-HPLR-FLSH'!M49</f>
        <v>-10839361.748370286</v>
      </c>
      <c r="F49" s="60">
        <f>'TX-HPLR-GL '!D49</f>
        <v>0</v>
      </c>
      <c r="G49" s="38">
        <f>'TX-HPLR-GL '!E49</f>
        <v>0</v>
      </c>
      <c r="H49" s="60">
        <f>F49-D49</f>
        <v>2530942</v>
      </c>
      <c r="I49" s="38">
        <f>G49-E49</f>
        <v>10839361.748370286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-271480</v>
      </c>
      <c r="G54" s="38">
        <f>'TX-HPLR-GL '!E54</f>
        <v>-1172793.6000000001</v>
      </c>
      <c r="H54" s="60">
        <f>F54-D54</f>
        <v>-271480</v>
      </c>
      <c r="I54" s="38">
        <f>G54-E54</f>
        <v>-1172793.6000000001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-271480</v>
      </c>
      <c r="G56" s="39">
        <f t="shared" si="10"/>
        <v>-1172793.6000000001</v>
      </c>
      <c r="H56" s="61">
        <f t="shared" si="10"/>
        <v>-271480</v>
      </c>
      <c r="I56" s="39">
        <f t="shared" si="10"/>
        <v>-1172793.6000000001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-616</v>
      </c>
      <c r="E82" s="110">
        <f>SUM(E72:E81)+E16+E24+E29+E36+E43+E45+E47+E49+E51+E56+E61+E66</f>
        <v>6002274.7916297354</v>
      </c>
      <c r="F82" s="109">
        <f>F16+F24+F29+F36+F43+F45+F47+F49</f>
        <v>0</v>
      </c>
      <c r="G82" s="110">
        <f>SUM(G72:G81)+G16+G24+G29+G36+G43+G45+G47+G49+G51+G56+G61+G66</f>
        <v>-1162407.3700000001</v>
      </c>
      <c r="H82" s="109">
        <f>H16+H24+H29+H36+H43+H45+H47+H49</f>
        <v>616</v>
      </c>
      <c r="I82" s="110">
        <f>SUM(I72:I81)+I16+I24+I29+I36+I43+I45+I47+I49+I51+I56+I61+I66</f>
        <v>-7164682.1616297308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38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53851393</v>
      </c>
      <c r="E11" s="66">
        <f>'TX-HPLC-FLSH'!M11</f>
        <v>231073644</v>
      </c>
      <c r="F11" s="60">
        <f>'TX-HPLC-GL'!D11</f>
        <v>54006730</v>
      </c>
      <c r="G11" s="38">
        <f>'TX-HPLC-GL'!E11</f>
        <v>230193991.70999998</v>
      </c>
      <c r="H11" s="60">
        <f>F11-D11</f>
        <v>155337</v>
      </c>
      <c r="I11" s="38">
        <f>G11-E11</f>
        <v>-879652.29000002146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4145252.62</v>
      </c>
      <c r="H12" s="60">
        <f>F12-D12</f>
        <v>0</v>
      </c>
      <c r="I12" s="38">
        <f>G12-E12</f>
        <v>4145252.62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531200</v>
      </c>
      <c r="E13" s="66">
        <f>'TX-HPLC-FLSH'!M13</f>
        <v>2195040</v>
      </c>
      <c r="F13" s="60">
        <f>'TX-HPLC-GL'!D13</f>
        <v>0</v>
      </c>
      <c r="G13" s="38">
        <f>'TX-HPLC-GL'!E13</f>
        <v>0</v>
      </c>
      <c r="H13" s="60">
        <f t="shared" ref="H13:I15" si="0">F13-D13</f>
        <v>-531200</v>
      </c>
      <c r="I13" s="38">
        <f t="shared" si="0"/>
        <v>-2195040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-1695135.94</v>
      </c>
      <c r="H15" s="60">
        <f t="shared" si="0"/>
        <v>0</v>
      </c>
      <c r="I15" s="38">
        <f t="shared" si="0"/>
        <v>-1695135.94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54382593</v>
      </c>
      <c r="E16" s="39">
        <f t="shared" si="1"/>
        <v>233268684</v>
      </c>
      <c r="F16" s="61">
        <f t="shared" si="1"/>
        <v>54006730</v>
      </c>
      <c r="G16" s="39">
        <f t="shared" si="1"/>
        <v>232644108.38999999</v>
      </c>
      <c r="H16" s="61">
        <f t="shared" si="1"/>
        <v>-375863</v>
      </c>
      <c r="I16" s="39">
        <f t="shared" si="1"/>
        <v>-624575.61000002129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-61030753</v>
      </c>
      <c r="E19" s="66">
        <f>'TX-HPLC-FLSH'!M19</f>
        <v>-260483091</v>
      </c>
      <c r="F19" s="60">
        <f>'TX-HPLC-GL'!D19</f>
        <v>-60194608</v>
      </c>
      <c r="G19" s="38">
        <f>'TX-HPLC-GL'!E19</f>
        <v>-254139411.01000002</v>
      </c>
      <c r="H19" s="60">
        <f>F19-D19</f>
        <v>836145</v>
      </c>
      <c r="I19" s="38">
        <f>G19-E19</f>
        <v>6343679.9899999797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2639119.3500000006</v>
      </c>
      <c r="H20" s="60">
        <f>F20-D20</f>
        <v>0</v>
      </c>
      <c r="I20" s="38">
        <f>G20-E20</f>
        <v>2639119.3500000006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-1345522</v>
      </c>
      <c r="E21" s="66">
        <f>'TX-HPLC-FLSH'!M21</f>
        <v>-5615570</v>
      </c>
      <c r="F21" s="60">
        <f>'TX-HPLC-GL'!D21</f>
        <v>0</v>
      </c>
      <c r="G21" s="38">
        <f>'TX-HPLC-GL'!E21</f>
        <v>0</v>
      </c>
      <c r="H21" s="60">
        <f t="shared" ref="H21:I23" si="2">F21-D21</f>
        <v>1345522</v>
      </c>
      <c r="I21" s="38">
        <f t="shared" si="2"/>
        <v>5615570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8963</v>
      </c>
      <c r="E23" s="66">
        <f>'TX-HPLC-FLSH'!M23</f>
        <v>37729</v>
      </c>
      <c r="F23" s="60">
        <f>'TX-HPLC-GL'!D23</f>
        <v>0</v>
      </c>
      <c r="G23" s="38">
        <f>'TX-HPLC-GL'!E23</f>
        <v>0</v>
      </c>
      <c r="H23" s="60">
        <f t="shared" si="2"/>
        <v>-8963</v>
      </c>
      <c r="I23" s="38">
        <f t="shared" si="2"/>
        <v>-37729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-62367312</v>
      </c>
      <c r="E24" s="39">
        <f t="shared" si="3"/>
        <v>-266060932</v>
      </c>
      <c r="F24" s="61">
        <f t="shared" si="3"/>
        <v>-60194608</v>
      </c>
      <c r="G24" s="39">
        <f t="shared" si="3"/>
        <v>-251500291.66000003</v>
      </c>
      <c r="H24" s="61">
        <f t="shared" si="3"/>
        <v>2172704</v>
      </c>
      <c r="I24" s="39">
        <f t="shared" si="3"/>
        <v>14560640.339999981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84958346</v>
      </c>
      <c r="E27" s="66">
        <f>'TX-HPLC-FLSH'!M27</f>
        <v>364399214</v>
      </c>
      <c r="F27" s="60">
        <f>'TX-HPLC-GL'!D27</f>
        <v>20623297</v>
      </c>
      <c r="G27" s="38">
        <f>'TX-HPLC-GL'!E27</f>
        <v>87297113.010000005</v>
      </c>
      <c r="H27" s="60">
        <f>F27-D27</f>
        <v>-64335049</v>
      </c>
      <c r="I27" s="38">
        <f>G27-E27</f>
        <v>-277102100.99000001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-83346867</v>
      </c>
      <c r="E28" s="66">
        <f>'TX-HPLC-FLSH'!M28</f>
        <v>-357411158</v>
      </c>
      <c r="F28" s="60">
        <f>'TX-HPLC-GL'!D28</f>
        <v>-14935817</v>
      </c>
      <c r="G28" s="38">
        <f>'TX-HPLC-GL'!E28</f>
        <v>-63918296.479999997</v>
      </c>
      <c r="H28" s="60">
        <f>F28-D28</f>
        <v>68411050</v>
      </c>
      <c r="I28" s="38">
        <f>G28-E28</f>
        <v>293492861.51999998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1611479</v>
      </c>
      <c r="E29" s="70">
        <f t="shared" si="4"/>
        <v>6988056</v>
      </c>
      <c r="F29" s="69">
        <f t="shared" si="4"/>
        <v>5687480</v>
      </c>
      <c r="G29" s="70">
        <f t="shared" si="4"/>
        <v>23378816.530000009</v>
      </c>
      <c r="H29" s="69">
        <f t="shared" si="4"/>
        <v>4076001</v>
      </c>
      <c r="I29" s="70">
        <f t="shared" si="4"/>
        <v>16390760.529999971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254194</v>
      </c>
      <c r="G32" s="38">
        <f>'TX-HPLC-GL'!E32</f>
        <v>1088712.9100000001</v>
      </c>
      <c r="H32" s="60">
        <f>F32-D32</f>
        <v>254194</v>
      </c>
      <c r="I32" s="38">
        <f>G32-E32</f>
        <v>1088712.9100000001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254194</v>
      </c>
      <c r="G36" s="39">
        <f t="shared" si="6"/>
        <v>1088712.9100000001</v>
      </c>
      <c r="H36" s="61">
        <f t="shared" si="6"/>
        <v>254194</v>
      </c>
      <c r="I36" s="39">
        <f t="shared" si="6"/>
        <v>1088712.9100000001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3036024</v>
      </c>
      <c r="E39" s="66">
        <f>'TX-HPLC-FLSH'!M39</f>
        <v>13255287</v>
      </c>
      <c r="F39" s="60">
        <f>'TX-HPLC-GL'!D39</f>
        <v>319106</v>
      </c>
      <c r="G39" s="38">
        <f>'TX-HPLC-GL'!E39</f>
        <v>1347643.23</v>
      </c>
      <c r="H39" s="60">
        <f t="shared" ref="H39:I41" si="7">F39-D39</f>
        <v>-2716918</v>
      </c>
      <c r="I39" s="38">
        <f t="shared" si="7"/>
        <v>-11907643.77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-2569968</v>
      </c>
      <c r="E40" s="66">
        <f>'TX-HPLC-FLSH'!M40</f>
        <v>-11256460</v>
      </c>
      <c r="F40" s="60">
        <f>'TX-HPLC-GL'!D40</f>
        <v>0</v>
      </c>
      <c r="G40" s="38">
        <f>'TX-HPLC-GL'!E40</f>
        <v>0</v>
      </c>
      <c r="H40" s="60">
        <f t="shared" si="7"/>
        <v>2569968</v>
      </c>
      <c r="I40" s="38">
        <f t="shared" si="7"/>
        <v>11256460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-2569968</v>
      </c>
      <c r="E42" s="70">
        <f t="shared" si="8"/>
        <v>-11256460</v>
      </c>
      <c r="F42" s="69">
        <f t="shared" si="8"/>
        <v>0</v>
      </c>
      <c r="G42" s="70">
        <f t="shared" si="8"/>
        <v>0</v>
      </c>
      <c r="H42" s="69">
        <f t="shared" si="8"/>
        <v>2569968</v>
      </c>
      <c r="I42" s="70">
        <f t="shared" si="8"/>
        <v>11256460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466056</v>
      </c>
      <c r="E43" s="39">
        <f t="shared" si="9"/>
        <v>1998827</v>
      </c>
      <c r="F43" s="61">
        <f t="shared" si="9"/>
        <v>319106</v>
      </c>
      <c r="G43" s="39">
        <f t="shared" si="9"/>
        <v>1347643.23</v>
      </c>
      <c r="H43" s="61">
        <f t="shared" si="9"/>
        <v>-146950</v>
      </c>
      <c r="I43" s="39">
        <f t="shared" si="9"/>
        <v>-651183.76999999955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5907184</v>
      </c>
      <c r="E49" s="66">
        <f>'TX-HPLC-FLSH'!M49</f>
        <v>25298922.018041104</v>
      </c>
      <c r="F49" s="60">
        <f>'TX-HPLC-GL'!D49</f>
        <v>-72902</v>
      </c>
      <c r="G49" s="38">
        <f>'TX-HPLC-GL'!E49</f>
        <v>-312239.70999999839</v>
      </c>
      <c r="H49" s="60">
        <f>F49-D49</f>
        <v>-5980086</v>
      </c>
      <c r="I49" s="38">
        <f>G49-E49</f>
        <v>-25611161.728041101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-1907166</v>
      </c>
      <c r="F54" s="60">
        <f>'TX-HPLC-GL'!D54</f>
        <v>-20992972</v>
      </c>
      <c r="G54" s="38">
        <f>'TX-HPLC-GL'!E54</f>
        <v>-1248478.1599999999</v>
      </c>
      <c r="H54" s="60">
        <f>F54-D54</f>
        <v>-20992972</v>
      </c>
      <c r="I54" s="38">
        <f>G54-E54</f>
        <v>658687.84000000008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109406.29000000001</v>
      </c>
      <c r="H55" s="60">
        <f>F55-D55</f>
        <v>0</v>
      </c>
      <c r="I55" s="38">
        <f>G55-E55</f>
        <v>109406.29000000001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-1907166</v>
      </c>
      <c r="F56" s="61">
        <f t="shared" si="10"/>
        <v>-20992972</v>
      </c>
      <c r="G56" s="39">
        <f t="shared" si="10"/>
        <v>-1139071.8699999999</v>
      </c>
      <c r="H56" s="61">
        <f t="shared" si="10"/>
        <v>-20992972</v>
      </c>
      <c r="I56" s="39">
        <f t="shared" si="10"/>
        <v>768094.13000000012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-1031464.8500000006</v>
      </c>
      <c r="H74" s="60">
        <f t="shared" ref="H74:I79" si="14">F74-D74</f>
        <v>0</v>
      </c>
      <c r="I74" s="38">
        <f t="shared" si="14"/>
        <v>-1031464.8500000006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-39</v>
      </c>
      <c r="H76" s="60">
        <f t="shared" si="14"/>
        <v>0</v>
      </c>
      <c r="I76" s="38">
        <f t="shared" si="14"/>
        <v>-39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-98300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-740250</v>
      </c>
      <c r="H80" s="60">
        <f>F80-D80</f>
        <v>0</v>
      </c>
      <c r="I80" s="38">
        <f>G80-E80</f>
        <v>-740250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-0.3999999999996362</v>
      </c>
      <c r="H81" s="60">
        <f>F81-D81</f>
        <v>0</v>
      </c>
      <c r="I81" s="38">
        <f>G81-E81</f>
        <v>-0.3999999999996362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-413608.98195889592</v>
      </c>
      <c r="F82" s="109">
        <f>F16+F24+F29+F36+F43+F45+F47+F49</f>
        <v>0</v>
      </c>
      <c r="G82" s="110">
        <f>SUM(G72:G81)+G16+G24+G29+G36+G43+G45+G47+G49+G51+G56+G61+G66</f>
        <v>3637623.5699999705</v>
      </c>
      <c r="H82" s="109">
        <f>H16+H24+H29+H36+H43+H45+H47+H49</f>
        <v>0</v>
      </c>
      <c r="I82" s="110">
        <f>SUM(I72:I81)+I16+I24+I29+I36+I43+I45+I47+I49+I51+I56+I61+I66</f>
        <v>4051232.5519588301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758419</v>
      </c>
      <c r="H86" s="145">
        <f t="shared" ref="H86:I88" si="15">F86-D86</f>
        <v>0</v>
      </c>
      <c r="I86" s="145">
        <f t="shared" si="15"/>
        <v>758419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-1386419</v>
      </c>
      <c r="H88" s="147">
        <f t="shared" si="15"/>
        <v>0</v>
      </c>
      <c r="I88" s="147">
        <f t="shared" si="15"/>
        <v>-1386419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-628000</v>
      </c>
      <c r="H89" s="160">
        <f t="shared" si="16"/>
        <v>0</v>
      </c>
      <c r="I89" s="160">
        <f t="shared" si="16"/>
        <v>-628000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-413608.98195889592</v>
      </c>
      <c r="F91" s="160">
        <f t="shared" si="17"/>
        <v>0</v>
      </c>
      <c r="G91" s="160">
        <f t="shared" si="17"/>
        <v>3009623.5699999705</v>
      </c>
      <c r="H91" s="160">
        <f t="shared" si="17"/>
        <v>0</v>
      </c>
      <c r="I91" s="160">
        <f t="shared" si="17"/>
        <v>3423232.5519588301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3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69066982</v>
      </c>
      <c r="E11" s="66">
        <f>'TX-CON-FLSH'!M11</f>
        <v>297584455</v>
      </c>
      <c r="F11" s="60">
        <f>'TX-CON-GL '!D11</f>
        <v>68832553</v>
      </c>
      <c r="G11" s="38">
        <f>'TX-CON-GL '!E11</f>
        <v>291280862.48000002</v>
      </c>
      <c r="H11" s="60">
        <f>F11-D11</f>
        <v>-234429</v>
      </c>
      <c r="I11" s="38">
        <f>G11-E11</f>
        <v>-6303592.5199999809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7880588.25</v>
      </c>
      <c r="H12" s="60">
        <f>F12-D12</f>
        <v>0</v>
      </c>
      <c r="I12" s="38">
        <f>G12-E12</f>
        <v>7880588.25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531214</v>
      </c>
      <c r="E13" s="66">
        <f>'TX-CON-FLSH'!M13</f>
        <v>2195040</v>
      </c>
      <c r="F13" s="60">
        <f>'TX-CON-GL '!D13</f>
        <v>12450000</v>
      </c>
      <c r="G13" s="38">
        <f>'TX-CON-GL '!E13</f>
        <v>43694930</v>
      </c>
      <c r="H13" s="60">
        <f t="shared" ref="H13:I15" si="0">F13-D13</f>
        <v>11918786</v>
      </c>
      <c r="I13" s="38">
        <f t="shared" si="0"/>
        <v>41499890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13186.059999999939</v>
      </c>
      <c r="H15" s="60">
        <f t="shared" si="0"/>
        <v>0</v>
      </c>
      <c r="I15" s="38">
        <f t="shared" si="0"/>
        <v>13186.059999999939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69598196</v>
      </c>
      <c r="E16" s="39">
        <f t="shared" si="1"/>
        <v>299779495</v>
      </c>
      <c r="F16" s="61">
        <f t="shared" si="1"/>
        <v>81282553</v>
      </c>
      <c r="G16" s="39">
        <f t="shared" si="1"/>
        <v>342869566.79000002</v>
      </c>
      <c r="H16" s="61">
        <f t="shared" si="1"/>
        <v>11684357</v>
      </c>
      <c r="I16" s="39">
        <f t="shared" si="1"/>
        <v>43090071.790000021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-69114043</v>
      </c>
      <c r="E19" s="66">
        <f>'TX-CON-FLSH'!M19</f>
        <v>-294886911</v>
      </c>
      <c r="F19" s="60">
        <f>'TX-CON-GL '!D19</f>
        <v>-68208628</v>
      </c>
      <c r="G19" s="38">
        <f>'TX-CON-GL '!E19</f>
        <v>-288965600.87</v>
      </c>
      <c r="H19" s="60">
        <f>F19-D19</f>
        <v>905415</v>
      </c>
      <c r="I19" s="38">
        <f>G19-E19</f>
        <v>5921310.1299999952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2759456.9800000014</v>
      </c>
      <c r="H20" s="60">
        <f>F20-D20</f>
        <v>0</v>
      </c>
      <c r="I20" s="38">
        <f>G20-E20</f>
        <v>2759456.9800000014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-1345522</v>
      </c>
      <c r="E21" s="66">
        <f>'TX-CON-FLSH'!M21</f>
        <v>-5615570</v>
      </c>
      <c r="F21" s="60">
        <f>'TX-CON-GL '!D21</f>
        <v>-12450000</v>
      </c>
      <c r="G21" s="38">
        <f>'TX-CON-GL '!E21</f>
        <v>-43694930</v>
      </c>
      <c r="H21" s="60">
        <f t="shared" ref="H21:I23" si="2">F21-D21</f>
        <v>-11104478</v>
      </c>
      <c r="I21" s="38">
        <f t="shared" si="2"/>
        <v>-38079360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17754</v>
      </c>
      <c r="E23" s="66">
        <f>'TX-CON-FLSH'!M23</f>
        <v>74802</v>
      </c>
      <c r="F23" s="60">
        <f>'TX-CON-GL '!D23</f>
        <v>144584</v>
      </c>
      <c r="G23" s="38">
        <f>'TX-CON-GL '!E23</f>
        <v>632481.84299999999</v>
      </c>
      <c r="H23" s="60">
        <f t="shared" si="2"/>
        <v>126830</v>
      </c>
      <c r="I23" s="38">
        <f t="shared" si="2"/>
        <v>557679.84299999999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-70441811</v>
      </c>
      <c r="E24" s="39">
        <f t="shared" si="3"/>
        <v>-300427679</v>
      </c>
      <c r="F24" s="61">
        <f t="shared" si="3"/>
        <v>-80514044</v>
      </c>
      <c r="G24" s="39">
        <f t="shared" si="3"/>
        <v>-329268592.04699999</v>
      </c>
      <c r="H24" s="61">
        <f t="shared" si="3"/>
        <v>-10072233</v>
      </c>
      <c r="I24" s="39">
        <f t="shared" si="3"/>
        <v>-28840913.047000006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106930710</v>
      </c>
      <c r="E27" s="66">
        <f>'TX-CON-FLSH'!M27</f>
        <v>458167932</v>
      </c>
      <c r="F27" s="60">
        <f>'TX-CON-GL '!D27</f>
        <v>34130965</v>
      </c>
      <c r="G27" s="38">
        <f>'TX-CON-GL '!E27</f>
        <v>145169310.16</v>
      </c>
      <c r="H27" s="60">
        <f>F27-D27</f>
        <v>-72799745</v>
      </c>
      <c r="I27" s="38">
        <f>G27-E27</f>
        <v>-312998621.84000003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-106267038</v>
      </c>
      <c r="E28" s="66">
        <f>'TX-CON-FLSH'!M28</f>
        <v>-455261050</v>
      </c>
      <c r="F28" s="60">
        <f>'TX-CON-GL '!D28</f>
        <v>-35024031</v>
      </c>
      <c r="G28" s="38">
        <f>'TX-CON-GL '!E28</f>
        <v>-150094331.40400001</v>
      </c>
      <c r="H28" s="60">
        <f>F28-D28</f>
        <v>71243007</v>
      </c>
      <c r="I28" s="38">
        <f>G28-E28</f>
        <v>305166718.59599996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663672</v>
      </c>
      <c r="E29" s="70">
        <f t="shared" si="4"/>
        <v>2906882</v>
      </c>
      <c r="F29" s="69">
        <f t="shared" si="4"/>
        <v>-893066</v>
      </c>
      <c r="G29" s="70">
        <f t="shared" si="4"/>
        <v>-4925021.2440000176</v>
      </c>
      <c r="H29" s="69">
        <f t="shared" si="4"/>
        <v>-1556738</v>
      </c>
      <c r="I29" s="70">
        <f t="shared" si="4"/>
        <v>-7831903.2440000772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537385</v>
      </c>
      <c r="E32" s="66">
        <f>'TX-CON-FLSH'!M32</f>
        <v>3</v>
      </c>
      <c r="F32" s="60">
        <f>'TX-CON-GL '!D32</f>
        <v>210413</v>
      </c>
      <c r="G32" s="38">
        <f>'TX-CON-GL '!E32</f>
        <v>892404.71100000339</v>
      </c>
      <c r="H32" s="60">
        <f>F32-D32</f>
        <v>-326972</v>
      </c>
      <c r="I32" s="38">
        <f>G32-E32</f>
        <v>892401.71100000339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-536755</v>
      </c>
      <c r="E33" s="66">
        <f>'TX-CON-FLSH'!M33</f>
        <v>-16109</v>
      </c>
      <c r="F33" s="60">
        <f>'TX-CON-GL '!D33</f>
        <v>0</v>
      </c>
      <c r="G33" s="38">
        <f>'TX-CON-GL '!E33</f>
        <v>0</v>
      </c>
      <c r="H33" s="60">
        <f t="shared" ref="H33:I35" si="5">F33-D33</f>
        <v>536755</v>
      </c>
      <c r="I33" s="38">
        <f t="shared" si="5"/>
        <v>16109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-6870</v>
      </c>
      <c r="G35" s="38">
        <f>'TX-CON-GL '!E35</f>
        <v>0</v>
      </c>
      <c r="H35" s="60">
        <f t="shared" si="5"/>
        <v>-6870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630</v>
      </c>
      <c r="E36" s="39">
        <f t="shared" si="6"/>
        <v>-16106</v>
      </c>
      <c r="F36" s="61">
        <f t="shared" si="6"/>
        <v>203543</v>
      </c>
      <c r="G36" s="39">
        <f t="shared" si="6"/>
        <v>892404.71100000339</v>
      </c>
      <c r="H36" s="61">
        <f t="shared" si="6"/>
        <v>202913</v>
      </c>
      <c r="I36" s="39">
        <f t="shared" si="6"/>
        <v>908510.71100000339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3036024</v>
      </c>
      <c r="E39" s="66">
        <f>'TX-CON-FLSH'!M39</f>
        <v>13255287</v>
      </c>
      <c r="F39" s="60">
        <f>'TX-CON-GL '!D39</f>
        <v>287704</v>
      </c>
      <c r="G39" s="38">
        <f>'TX-CON-GL '!E39</f>
        <v>1347643.22</v>
      </c>
      <c r="H39" s="60">
        <f t="shared" ref="H39:I41" si="7">F39-D39</f>
        <v>-2748320</v>
      </c>
      <c r="I39" s="38">
        <f t="shared" si="7"/>
        <v>-11907643.779999999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-2569968</v>
      </c>
      <c r="E40" s="66">
        <f>'TX-CON-FLSH'!M40</f>
        <v>-11256460</v>
      </c>
      <c r="F40" s="60">
        <f>'TX-CON-GL '!D40</f>
        <v>-20000</v>
      </c>
      <c r="G40" s="38">
        <f>'TX-CON-GL '!E40</f>
        <v>-45190.889999999992</v>
      </c>
      <c r="H40" s="60">
        <f t="shared" si="7"/>
        <v>2549968</v>
      </c>
      <c r="I40" s="38">
        <f t="shared" si="7"/>
        <v>11211269.109999999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-2569968</v>
      </c>
      <c r="E42" s="70">
        <f t="shared" si="8"/>
        <v>-11256460</v>
      </c>
      <c r="F42" s="69">
        <f t="shared" si="8"/>
        <v>-20000</v>
      </c>
      <c r="G42" s="70">
        <f t="shared" si="8"/>
        <v>-45190.889999999992</v>
      </c>
      <c r="H42" s="69">
        <f t="shared" si="8"/>
        <v>2549968</v>
      </c>
      <c r="I42" s="70">
        <f t="shared" si="8"/>
        <v>11211269.109999999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466056</v>
      </c>
      <c r="E43" s="39">
        <f t="shared" si="9"/>
        <v>1998827</v>
      </c>
      <c r="F43" s="61">
        <f t="shared" si="9"/>
        <v>267704</v>
      </c>
      <c r="G43" s="39">
        <f t="shared" si="9"/>
        <v>1302452.33</v>
      </c>
      <c r="H43" s="61">
        <f t="shared" si="9"/>
        <v>-198352</v>
      </c>
      <c r="I43" s="39">
        <f t="shared" si="9"/>
        <v>-696374.66999999993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-286729</v>
      </c>
      <c r="E49" s="66">
        <f>'TX-CON-FLSH'!M49</f>
        <v>-1227985.2144966014</v>
      </c>
      <c r="F49" s="60">
        <f>'TX-CON-GL '!D49</f>
        <v>-73090</v>
      </c>
      <c r="G49" s="38">
        <f>'TX-CON-GL '!E49</f>
        <v>-313044.9159999988</v>
      </c>
      <c r="H49" s="60">
        <f>F49-D49</f>
        <v>213639</v>
      </c>
      <c r="I49" s="38">
        <f>G49-E49</f>
        <v>914940.29849660257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-8207</v>
      </c>
      <c r="G51" s="38">
        <f>'TX-CON-GL '!E51</f>
        <v>-35150.582999999999</v>
      </c>
      <c r="H51" s="60">
        <f>F51-D51</f>
        <v>-8207</v>
      </c>
      <c r="I51" s="38">
        <f>G51-E51</f>
        <v>-35150.582999999999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-1907166</v>
      </c>
      <c r="F54" s="60">
        <f>'TX-CON-GL '!D54</f>
        <v>-49308286</v>
      </c>
      <c r="G54" s="38">
        <f>'TX-CON-GL '!E54</f>
        <v>-2766923.87</v>
      </c>
      <c r="H54" s="60">
        <f>F54-D54</f>
        <v>-49308286</v>
      </c>
      <c r="I54" s="38">
        <f>G54-E54</f>
        <v>-859757.87000000011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23344</v>
      </c>
      <c r="G55" s="38">
        <f>'TX-CON-GL '!E55</f>
        <v>-169228.82</v>
      </c>
      <c r="H55" s="60">
        <f>F55-D55</f>
        <v>23344</v>
      </c>
      <c r="I55" s="38">
        <f>G55-E55</f>
        <v>-169228.82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-1907166</v>
      </c>
      <c r="F56" s="61">
        <f t="shared" si="10"/>
        <v>-49284942</v>
      </c>
      <c r="G56" s="39">
        <f t="shared" si="10"/>
        <v>-2936152.69</v>
      </c>
      <c r="H56" s="61">
        <f t="shared" si="10"/>
        <v>-49284942</v>
      </c>
      <c r="I56" s="39">
        <f t="shared" si="10"/>
        <v>-1028986.6900000002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519130.8</v>
      </c>
      <c r="F70" s="60">
        <f>'TX-CON-GL '!D70</f>
        <v>0</v>
      </c>
      <c r="G70" s="38">
        <f>'TX-CON-GL '!E70</f>
        <v>519130.8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-6879227</v>
      </c>
      <c r="F71" s="60">
        <f>'TX-CON-GL '!D71</f>
        <v>0</v>
      </c>
      <c r="G71" s="38">
        <f>'TX-CON-GL '!E71</f>
        <v>-6550905</v>
      </c>
      <c r="H71" s="60">
        <f>F71-D71</f>
        <v>0</v>
      </c>
      <c r="I71" s="38">
        <f>G71-E71</f>
        <v>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-6360096.2000000002</v>
      </c>
      <c r="F72" s="69">
        <f t="shared" si="13"/>
        <v>0</v>
      </c>
      <c r="G72" s="70">
        <f t="shared" si="13"/>
        <v>-6031774.2000000002</v>
      </c>
      <c r="H72" s="69">
        <f t="shared" si="13"/>
        <v>0</v>
      </c>
      <c r="I72" s="70">
        <f t="shared" si="13"/>
        <v>328322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5792644</v>
      </c>
      <c r="F74" s="60">
        <f>'TX-CON-GL '!D74</f>
        <v>0</v>
      </c>
      <c r="G74" s="38">
        <f>'TX-CON-GL '!E74</f>
        <v>-1101928.8200000012</v>
      </c>
      <c r="H74" s="60">
        <f t="shared" ref="H74:I79" si="14">F74-D74</f>
        <v>0</v>
      </c>
      <c r="I74" s="38">
        <f t="shared" si="14"/>
        <v>-6894572.8200000012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308</v>
      </c>
      <c r="F75" s="60">
        <f>'TX-CON-GL '!D75</f>
        <v>0</v>
      </c>
      <c r="G75" s="38">
        <f>'TX-CON-GL '!E75</f>
        <v>308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-1000</v>
      </c>
      <c r="F76" s="60">
        <f>'TX-CON-GL '!D76</f>
        <v>0</v>
      </c>
      <c r="G76" s="38">
        <f>'TX-CON-GL '!E76</f>
        <v>-39</v>
      </c>
      <c r="H76" s="60">
        <f t="shared" si="14"/>
        <v>0</v>
      </c>
      <c r="I76" s="38">
        <f t="shared" si="14"/>
        <v>961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-740250</v>
      </c>
      <c r="H80" s="60">
        <f>F80-D80</f>
        <v>0</v>
      </c>
      <c r="I80" s="38">
        <f>G80-E80</f>
        <v>-740250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2228</v>
      </c>
      <c r="F81" s="60">
        <f>'TX-CON-GL '!D81</f>
        <v>0</v>
      </c>
      <c r="G81" s="38">
        <f>'TX-CON-GL '!E81</f>
        <v>-0.40000000000145519</v>
      </c>
      <c r="H81" s="60">
        <f>F81-D81</f>
        <v>0</v>
      </c>
      <c r="I81" s="38">
        <f>G81-E81</f>
        <v>-2228.4000000000015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14</v>
      </c>
      <c r="E82" s="110">
        <f>SUM(E72:E81)+E16+E24+E29+E36+E43+E45+E47+E49+E51+E56+E61+E66</f>
        <v>442051.58550341055</v>
      </c>
      <c r="F82" s="109">
        <f>F16+F24+F29+F36+F43+F45+F47+F49</f>
        <v>273600</v>
      </c>
      <c r="G82" s="110">
        <f>SUM(G72:G81)+G16+G24+G29+G36+G43+G45+G47+G49+G51+G56+G61+G66</f>
        <v>-385522.0689999992</v>
      </c>
      <c r="H82" s="109">
        <f>H16+H24+H29+H36+H43+H45+H47+H49</f>
        <v>273586</v>
      </c>
      <c r="I82" s="110">
        <f>SUM(I72:I81)+I16+I24+I29+I36+I43+I45+I47+I49+I51+I56+I61+I66</f>
        <v>-827573.65450345457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57677</v>
      </c>
      <c r="F86" s="145">
        <f>'TX-CON-GL '!D86</f>
        <v>0</v>
      </c>
      <c r="G86" s="145">
        <f>'TX-CON-GL '!E86</f>
        <v>18169</v>
      </c>
      <c r="H86" s="145">
        <f t="shared" ref="H86:I88" si="15">F86-D86</f>
        <v>0</v>
      </c>
      <c r="I86" s="145">
        <f t="shared" si="15"/>
        <v>-39508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-686167</v>
      </c>
      <c r="F88" s="147">
        <f>'TX-CON-GL '!D88</f>
        <v>0</v>
      </c>
      <c r="G88" s="147">
        <f>'TX-CON-GL '!E88</f>
        <v>-646169</v>
      </c>
      <c r="H88" s="147">
        <f t="shared" si="15"/>
        <v>0</v>
      </c>
      <c r="I88" s="147">
        <f t="shared" si="15"/>
        <v>39998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-628490</v>
      </c>
      <c r="F89" s="155">
        <f t="shared" si="16"/>
        <v>0</v>
      </c>
      <c r="G89" s="155">
        <f t="shared" si="16"/>
        <v>-628000</v>
      </c>
      <c r="H89" s="155">
        <f t="shared" si="16"/>
        <v>0</v>
      </c>
      <c r="I89" s="155">
        <f t="shared" si="16"/>
        <v>490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14</v>
      </c>
      <c r="E91" s="155">
        <f t="shared" si="17"/>
        <v>-186438.41449658945</v>
      </c>
      <c r="F91" s="155">
        <f t="shared" si="17"/>
        <v>273600</v>
      </c>
      <c r="G91" s="155">
        <f t="shared" si="17"/>
        <v>-1013522.0689999992</v>
      </c>
      <c r="H91" s="155">
        <f t="shared" si="17"/>
        <v>273586</v>
      </c>
      <c r="I91" s="155">
        <f t="shared" si="17"/>
        <v>-827083.65450345457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6" activePane="bottomRight" state="frozen"/>
      <selection pane="topRight"/>
      <selection pane="bottomLeft"/>
      <selection pane="bottomRight" activeCell="F84" sqref="F84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58210378</v>
      </c>
      <c r="E11" s="66">
        <f>'WE-FLSH'!M11</f>
        <v>245061994</v>
      </c>
      <c r="F11" s="60">
        <f>'WE-GL '!D11</f>
        <v>55884601</v>
      </c>
      <c r="G11" s="38">
        <f>'WE-GL '!E11</f>
        <v>227301319.52000001</v>
      </c>
      <c r="H11" s="60">
        <f>F11-D11</f>
        <v>-2325777</v>
      </c>
      <c r="I11" s="38">
        <f>G11-E11</f>
        <v>-17760674.479999989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6447434.370000001</v>
      </c>
      <c r="H12" s="60">
        <f>F12-D12</f>
        <v>0</v>
      </c>
      <c r="I12" s="38">
        <f>G12-E12</f>
        <v>6447434.370000001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12953024</v>
      </c>
      <c r="E13" s="66">
        <f>'WE-FLSH'!M13</f>
        <v>54506391</v>
      </c>
      <c r="F13" s="60">
        <f>'WE-GL '!D13</f>
        <v>12953024</v>
      </c>
      <c r="G13" s="38">
        <f>'WE-GL '!E13</f>
        <v>54506391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1794448.5</v>
      </c>
      <c r="H15" s="60">
        <f t="shared" si="0"/>
        <v>0</v>
      </c>
      <c r="I15" s="38">
        <f t="shared" si="0"/>
        <v>1794448.5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71163402</v>
      </c>
      <c r="E16" s="39">
        <f t="shared" si="1"/>
        <v>299568385</v>
      </c>
      <c r="F16" s="61">
        <f t="shared" si="1"/>
        <v>68837625</v>
      </c>
      <c r="G16" s="39">
        <f t="shared" si="1"/>
        <v>290049593.38999999</v>
      </c>
      <c r="H16" s="61">
        <f t="shared" si="1"/>
        <v>-2325777</v>
      </c>
      <c r="I16" s="39">
        <f t="shared" si="1"/>
        <v>-9518791.6099999882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-59069841</v>
      </c>
      <c r="E19" s="66">
        <f>'WE-FLSH'!M19</f>
        <v>-245268436</v>
      </c>
      <c r="F19" s="60">
        <f>'WE-GL '!D19</f>
        <v>-56865070</v>
      </c>
      <c r="G19" s="38">
        <f>'WE-GL '!E19</f>
        <v>-224435835.52000001</v>
      </c>
      <c r="H19" s="60">
        <f>F19-D19</f>
        <v>2204771</v>
      </c>
      <c r="I19" s="38">
        <f>G19-E19</f>
        <v>20832600.479999989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-9827146.6600000001</v>
      </c>
      <c r="H20" s="60">
        <f>F20-D20</f>
        <v>0</v>
      </c>
      <c r="I20" s="38">
        <f>G20-E20</f>
        <v>-9827146.6600000001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-13576708</v>
      </c>
      <c r="E21" s="66">
        <f>'WE-FLSH'!M21</f>
        <v>-56797029</v>
      </c>
      <c r="F21" s="60">
        <f>'WE-GL '!D21</f>
        <v>-13572313</v>
      </c>
      <c r="G21" s="38">
        <f>'WE-GL '!E21</f>
        <v>-56780943</v>
      </c>
      <c r="H21" s="60">
        <f t="shared" ref="H21:I23" si="2">F21-D21</f>
        <v>4395</v>
      </c>
      <c r="I21" s="38">
        <f t="shared" si="2"/>
        <v>16086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231555</v>
      </c>
      <c r="E23" s="66">
        <f>'WE-FLSH'!M23</f>
        <v>933645</v>
      </c>
      <c r="F23" s="60">
        <f>'WE-GL '!D23</f>
        <v>296459</v>
      </c>
      <c r="G23" s="38">
        <f>'WE-GL '!E23</f>
        <v>1185243.0819999999</v>
      </c>
      <c r="H23" s="60">
        <f t="shared" si="2"/>
        <v>64904</v>
      </c>
      <c r="I23" s="38">
        <f t="shared" si="2"/>
        <v>251598.08199999994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-72414994</v>
      </c>
      <c r="E24" s="39">
        <f t="shared" si="3"/>
        <v>-301131820</v>
      </c>
      <c r="F24" s="61">
        <f t="shared" si="3"/>
        <v>-70140924</v>
      </c>
      <c r="G24" s="39">
        <f t="shared" si="3"/>
        <v>-289858682.09799999</v>
      </c>
      <c r="H24" s="61">
        <f t="shared" si="3"/>
        <v>2274070</v>
      </c>
      <c r="I24" s="39">
        <f t="shared" si="3"/>
        <v>11273137.90199999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1146923</v>
      </c>
      <c r="E27" s="66">
        <f>'WE-FLSH'!M27</f>
        <v>4793070</v>
      </c>
      <c r="F27" s="60">
        <f>'WE-GL '!D27</f>
        <v>1146590</v>
      </c>
      <c r="G27" s="38">
        <f>'WE-GL '!E27</f>
        <v>4791616.129999999</v>
      </c>
      <c r="H27" s="60">
        <f>F27-D27</f>
        <v>-333</v>
      </c>
      <c r="I27" s="38">
        <f>G27-E27</f>
        <v>-1453.8700000010431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1146923</v>
      </c>
      <c r="E29" s="70">
        <f t="shared" si="4"/>
        <v>4793070</v>
      </c>
      <c r="F29" s="69">
        <f t="shared" si="4"/>
        <v>1146590</v>
      </c>
      <c r="G29" s="70">
        <f t="shared" si="4"/>
        <v>4791616.129999999</v>
      </c>
      <c r="H29" s="69">
        <f t="shared" si="4"/>
        <v>-333</v>
      </c>
      <c r="I29" s="70">
        <f t="shared" si="4"/>
        <v>-1453.8700000010431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40211</v>
      </c>
      <c r="E32" s="66">
        <f>'WE-FLSH'!M32</f>
        <v>156268</v>
      </c>
      <c r="F32" s="60">
        <f>'WE-GL '!D32</f>
        <v>102973</v>
      </c>
      <c r="G32" s="38">
        <f>'WE-GL '!E32</f>
        <v>411686.05799999996</v>
      </c>
      <c r="H32" s="60">
        <f>F32-D32</f>
        <v>62762</v>
      </c>
      <c r="I32" s="38">
        <f>G32-E32</f>
        <v>255418.05799999996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-200706</v>
      </c>
      <c r="G33" s="38">
        <f>'WE-GL '!E33</f>
        <v>-785761.29</v>
      </c>
      <c r="H33" s="60">
        <f t="shared" ref="H33:I35" si="5">F33-D33</f>
        <v>-200706</v>
      </c>
      <c r="I33" s="38">
        <f t="shared" si="5"/>
        <v>-785761.29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110619</v>
      </c>
      <c r="G34" s="38">
        <f>'WE-GL '!E34</f>
        <v>367099.37000000005</v>
      </c>
      <c r="H34" s="60">
        <f t="shared" si="5"/>
        <v>110619</v>
      </c>
      <c r="I34" s="38">
        <f t="shared" si="5"/>
        <v>367099.37000000005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29687</v>
      </c>
      <c r="E35" s="66">
        <f>'WE-FLSH'!M35</f>
        <v>365184</v>
      </c>
      <c r="F35" s="60">
        <f>'WE-GL '!D35</f>
        <v>-19819</v>
      </c>
      <c r="G35" s="38">
        <f>'WE-GL '!E35</f>
        <v>-1295018.6200000001</v>
      </c>
      <c r="H35" s="60">
        <f t="shared" si="5"/>
        <v>-49506</v>
      </c>
      <c r="I35" s="38">
        <f t="shared" si="5"/>
        <v>-1660202.62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69898</v>
      </c>
      <c r="E36" s="39">
        <f t="shared" si="6"/>
        <v>521452</v>
      </c>
      <c r="F36" s="61">
        <f t="shared" si="6"/>
        <v>-6933</v>
      </c>
      <c r="G36" s="39">
        <f t="shared" si="6"/>
        <v>-1301994.4820000001</v>
      </c>
      <c r="H36" s="61">
        <f t="shared" si="6"/>
        <v>-76831</v>
      </c>
      <c r="I36" s="39">
        <f t="shared" si="6"/>
        <v>-1823446.4820000001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235600</v>
      </c>
      <c r="E39" s="66">
        <f>'WE-FLSH'!M39</f>
        <v>861532</v>
      </c>
      <c r="F39" s="60">
        <f>'WE-GL '!D39</f>
        <v>61829</v>
      </c>
      <c r="G39" s="38">
        <f>'WE-GL '!E39</f>
        <v>254460.25</v>
      </c>
      <c r="H39" s="60">
        <f t="shared" ref="H39:I41" si="7">F39-D39</f>
        <v>-173771</v>
      </c>
      <c r="I39" s="38">
        <f t="shared" si="7"/>
        <v>-607071.75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-201038</v>
      </c>
      <c r="E40" s="66">
        <f>'WE-FLSH'!M40</f>
        <v>-739643</v>
      </c>
      <c r="F40" s="60">
        <f>'WE-GL '!D40</f>
        <v>-142107</v>
      </c>
      <c r="G40" s="38">
        <f>'WE-GL '!E40</f>
        <v>-321446.01</v>
      </c>
      <c r="H40" s="60">
        <f t="shared" si="7"/>
        <v>58931</v>
      </c>
      <c r="I40" s="38">
        <f t="shared" si="7"/>
        <v>418196.99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-201038</v>
      </c>
      <c r="E42" s="39">
        <f t="shared" si="8"/>
        <v>-739643</v>
      </c>
      <c r="F42" s="61">
        <f t="shared" si="8"/>
        <v>-142107</v>
      </c>
      <c r="G42" s="39">
        <f t="shared" si="8"/>
        <v>-321446.01</v>
      </c>
      <c r="H42" s="61">
        <f t="shared" si="8"/>
        <v>58931</v>
      </c>
      <c r="I42" s="39">
        <f t="shared" si="8"/>
        <v>418196.99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34562</v>
      </c>
      <c r="E43" s="39">
        <f t="shared" si="9"/>
        <v>121889</v>
      </c>
      <c r="F43" s="61">
        <f t="shared" si="9"/>
        <v>-80278</v>
      </c>
      <c r="G43" s="39">
        <f t="shared" si="9"/>
        <v>-66985.760000000009</v>
      </c>
      <c r="H43" s="61">
        <f t="shared" si="9"/>
        <v>-114840</v>
      </c>
      <c r="I43" s="39">
        <f t="shared" si="9"/>
        <v>-188874.76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209</v>
      </c>
      <c r="E49" s="66">
        <f>'WE-FLSH'!M49</f>
        <v>835.53003451631116</v>
      </c>
      <c r="F49" s="60">
        <f>'WE-GL '!D49</f>
        <v>243920</v>
      </c>
      <c r="G49" s="38">
        <f>'WE-GL '!E49</f>
        <v>975192.16000000015</v>
      </c>
      <c r="H49" s="60">
        <f>F49-D49</f>
        <v>243711</v>
      </c>
      <c r="I49" s="38">
        <f>G49-E49</f>
        <v>974356.62996548379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-231555</v>
      </c>
      <c r="E51" s="66">
        <f>'WE-FLSH'!M51</f>
        <v>-933645</v>
      </c>
      <c r="F51" s="60">
        <f>'WE-GL '!D51</f>
        <v>-296459</v>
      </c>
      <c r="G51" s="38">
        <f>'WE-GL '!E51</f>
        <v>-1185243.0819999999</v>
      </c>
      <c r="H51" s="60">
        <f>F51-D51</f>
        <v>-64904</v>
      </c>
      <c r="I51" s="38">
        <f>G51-E51</f>
        <v>-251598.08199999994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-251684.38</v>
      </c>
      <c r="F54" s="60">
        <f>'WE-GL '!D54</f>
        <v>-22479702</v>
      </c>
      <c r="G54" s="38">
        <f>'WE-GL '!E54</f>
        <v>1629302.46</v>
      </c>
      <c r="H54" s="60">
        <f>F54-D54</f>
        <v>-22479702</v>
      </c>
      <c r="I54" s="38">
        <f>G54-E54</f>
        <v>1880986.8399999999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-1093891.19</v>
      </c>
      <c r="F55" s="60">
        <f>'WE-GL '!D55</f>
        <v>0</v>
      </c>
      <c r="G55" s="38">
        <f>'WE-GL '!E55</f>
        <v>-4653460.08</v>
      </c>
      <c r="H55" s="60">
        <f>F55-D55</f>
        <v>0</v>
      </c>
      <c r="I55" s="38">
        <f>G55-E55</f>
        <v>-3559568.89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-1345575.5699999998</v>
      </c>
      <c r="F56" s="61">
        <f t="shared" si="10"/>
        <v>-22479702</v>
      </c>
      <c r="G56" s="39">
        <f t="shared" si="10"/>
        <v>-3024157.62</v>
      </c>
      <c r="H56" s="61">
        <f t="shared" si="10"/>
        <v>-22479702</v>
      </c>
      <c r="I56" s="39">
        <f t="shared" si="10"/>
        <v>-1678582.0500000003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22698435.849599995</v>
      </c>
      <c r="F70" s="60">
        <f>'WE-GL '!D70</f>
        <v>0</v>
      </c>
      <c r="G70" s="38">
        <f>'WE-GL '!E70</f>
        <v>22698435.850000001</v>
      </c>
      <c r="H70" s="60">
        <f>F70-D70</f>
        <v>0</v>
      </c>
      <c r="I70" s="38">
        <f>G70-E70</f>
        <v>4.0000677108764648E-4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-35291625</v>
      </c>
      <c r="F71" s="60">
        <f>'WE-GL '!D71</f>
        <v>0</v>
      </c>
      <c r="G71" s="38">
        <f>'WE-GL '!E71</f>
        <v>-35422068</v>
      </c>
      <c r="H71" s="60">
        <f>F71-D71</f>
        <v>0</v>
      </c>
      <c r="I71" s="38">
        <f>G71-E71</f>
        <v>-130443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-12593189.150400005</v>
      </c>
      <c r="F72" s="61">
        <f t="shared" si="13"/>
        <v>0</v>
      </c>
      <c r="G72" s="39">
        <f t="shared" si="13"/>
        <v>-12723632.149999999</v>
      </c>
      <c r="H72" s="61">
        <f t="shared" si="13"/>
        <v>0</v>
      </c>
      <c r="I72" s="39">
        <f t="shared" si="13"/>
        <v>-130442.99959999323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18553354</v>
      </c>
      <c r="F74" s="60">
        <f>'WE-GL '!D74</f>
        <v>0</v>
      </c>
      <c r="G74" s="38">
        <f>'WE-GL '!E74</f>
        <v>19510989.699999999</v>
      </c>
      <c r="H74" s="60">
        <f t="shared" ref="H74:I79" si="14">F74-D74</f>
        <v>0</v>
      </c>
      <c r="I74" s="38">
        <f t="shared" si="14"/>
        <v>957635.69999999925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-30352</v>
      </c>
      <c r="F76" s="60">
        <f>'WE-GL '!D76</f>
        <v>0</v>
      </c>
      <c r="G76" s="38">
        <f>'WE-GL '!E76</f>
        <v>-31067.98</v>
      </c>
      <c r="H76" s="60">
        <f t="shared" si="14"/>
        <v>0</v>
      </c>
      <c r="I76" s="38">
        <f t="shared" si="14"/>
        <v>-715.97999999999956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-22208</v>
      </c>
      <c r="F81" s="60">
        <f>'WE-GL '!D81</f>
        <v>0</v>
      </c>
      <c r="G81" s="38">
        <f>'WE-GL '!E81</f>
        <v>609.85999999999967</v>
      </c>
      <c r="H81" s="60">
        <f>F81-D81</f>
        <v>0</v>
      </c>
      <c r="I81" s="38">
        <f>G81-E81</f>
        <v>22817.86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7502195.8096345328</v>
      </c>
      <c r="F82" s="109">
        <f>F16+F24+F29+F36+F43+F45+F47+F49</f>
        <v>0</v>
      </c>
      <c r="G82" s="110">
        <f>SUM(G72:G81)+G16+G24+G29+G36+G43+G45+G47+G49+G51+G56+G61+G66</f>
        <v>7136238.0680000009</v>
      </c>
      <c r="H82" s="109">
        <f>H16+H24+H29+H36+H43+H45+H47+H49</f>
        <v>0</v>
      </c>
      <c r="I82" s="110">
        <f>SUM(I72:I81)+I16+I24+I29+I36+I43+I45+I47+I49+I51+I56+I61+I66</f>
        <v>-365957.74163450953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3454894</v>
      </c>
      <c r="E11" s="66">
        <f>'DEN-FLSH'!M11</f>
        <v>12336669</v>
      </c>
      <c r="F11" s="60">
        <f>'DEN-GL'!D11</f>
        <v>3476874</v>
      </c>
      <c r="G11" s="38">
        <f>'DEN-GL'!E11</f>
        <v>12013841.77</v>
      </c>
      <c r="H11" s="60">
        <f>F11-D11</f>
        <v>21980</v>
      </c>
      <c r="I11" s="38">
        <f>G11-E11</f>
        <v>-322827.23000000045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71276.829999999987</v>
      </c>
      <c r="H12" s="60">
        <f>F12-D12</f>
        <v>0</v>
      </c>
      <c r="I12" s="38">
        <f>G12-E12</f>
        <v>71276.829999999987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5098819</v>
      </c>
      <c r="E13" s="66">
        <f>'DEN-FLSH'!M13</f>
        <v>19858480</v>
      </c>
      <c r="F13" s="60">
        <f>'DEN-GL'!D13</f>
        <v>5098819</v>
      </c>
      <c r="G13" s="38">
        <f>'DEN-GL'!E13</f>
        <v>19858480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148976.09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-148976.09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8553713</v>
      </c>
      <c r="E16" s="39">
        <f t="shared" si="1"/>
        <v>32344125.09</v>
      </c>
      <c r="F16" s="61">
        <f t="shared" si="1"/>
        <v>8575693</v>
      </c>
      <c r="G16" s="39">
        <f t="shared" si="1"/>
        <v>31943598.600000001</v>
      </c>
      <c r="H16" s="61">
        <f t="shared" si="1"/>
        <v>21980</v>
      </c>
      <c r="I16" s="39">
        <f t="shared" si="1"/>
        <v>-400526.49000000046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-5280552</v>
      </c>
      <c r="E19" s="66">
        <f>'DEN-FLSH'!M19</f>
        <v>-18326942</v>
      </c>
      <c r="F19" s="60">
        <f>'DEN-GL'!D19</f>
        <v>-5206159</v>
      </c>
      <c r="G19" s="38">
        <f>'DEN-GL'!E19</f>
        <v>-17444020.100000001</v>
      </c>
      <c r="H19" s="60">
        <f>F19-D19</f>
        <v>74393</v>
      </c>
      <c r="I19" s="38">
        <f>G19-E19</f>
        <v>882921.89999999851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282068.21999999997</v>
      </c>
      <c r="H20" s="60">
        <f>F20-D20</f>
        <v>0</v>
      </c>
      <c r="I20" s="38">
        <f>G20-E20</f>
        <v>282068.21999999997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-3517539</v>
      </c>
      <c r="E21" s="66">
        <f>'DEN-FLSH'!M21</f>
        <v>-13563594</v>
      </c>
      <c r="F21" s="60">
        <f>'DEN-GL'!D21</f>
        <v>-3517539</v>
      </c>
      <c r="G21" s="38">
        <f>'DEN-GL'!E21</f>
        <v>-13563594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11741</v>
      </c>
      <c r="E23" s="66">
        <f>'DEN-FLSH'!M23</f>
        <v>44321</v>
      </c>
      <c r="F23" s="60">
        <f>'DEN-GL'!D23</f>
        <v>0</v>
      </c>
      <c r="G23" s="38">
        <f>'DEN-GL'!E23</f>
        <v>0</v>
      </c>
      <c r="H23" s="60">
        <f t="shared" si="2"/>
        <v>-11741</v>
      </c>
      <c r="I23" s="38">
        <f t="shared" si="2"/>
        <v>-44321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-8786350</v>
      </c>
      <c r="E24" s="39">
        <f t="shared" si="3"/>
        <v>-31846215</v>
      </c>
      <c r="F24" s="61">
        <f t="shared" si="3"/>
        <v>-8723698</v>
      </c>
      <c r="G24" s="39">
        <f t="shared" si="3"/>
        <v>-30725545.880000003</v>
      </c>
      <c r="H24" s="61">
        <f t="shared" si="3"/>
        <v>62652</v>
      </c>
      <c r="I24" s="39">
        <f t="shared" si="3"/>
        <v>1120669.1199999985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5326</v>
      </c>
      <c r="E32" s="66">
        <f>'DEN-FLSH'!M32</f>
        <v>45234</v>
      </c>
      <c r="F32" s="60">
        <f>'DEN-GL'!D32</f>
        <v>0</v>
      </c>
      <c r="G32" s="38">
        <f>'DEN-GL'!E32</f>
        <v>0</v>
      </c>
      <c r="H32" s="60">
        <f>F32-D32</f>
        <v>-5326</v>
      </c>
      <c r="I32" s="38">
        <f>G32-E32</f>
        <v>-45234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5326</v>
      </c>
      <c r="E36" s="39">
        <f t="shared" si="6"/>
        <v>45234</v>
      </c>
      <c r="F36" s="61">
        <f t="shared" si="6"/>
        <v>0</v>
      </c>
      <c r="G36" s="39">
        <f t="shared" si="6"/>
        <v>0</v>
      </c>
      <c r="H36" s="61">
        <f t="shared" si="6"/>
        <v>-5326</v>
      </c>
      <c r="I36" s="39">
        <f t="shared" si="6"/>
        <v>-45234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227311</v>
      </c>
      <c r="E49" s="66">
        <f>'DEN-FLSH'!M49</f>
        <v>774269.41283129342</v>
      </c>
      <c r="F49" s="60">
        <f>'DEN-GL'!D49</f>
        <v>148005</v>
      </c>
      <c r="G49" s="38">
        <f>'DEN-GL'!E49</f>
        <v>504105.01800000109</v>
      </c>
      <c r="H49" s="60">
        <f>F49-D49</f>
        <v>-79306</v>
      </c>
      <c r="I49" s="38">
        <f>G49-E49</f>
        <v>-270164.39483129233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-11741</v>
      </c>
      <c r="E51" s="66">
        <f>'DEN-FLSH'!M51</f>
        <v>-44321</v>
      </c>
      <c r="F51" s="60">
        <f>'DEN-GL'!D51</f>
        <v>0</v>
      </c>
      <c r="G51" s="38">
        <f>'DEN-GL'!E51</f>
        <v>0</v>
      </c>
      <c r="H51" s="60">
        <f>F51-D51</f>
        <v>11741</v>
      </c>
      <c r="I51" s="38">
        <f>G51-E51</f>
        <v>44321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-342852.31</v>
      </c>
      <c r="F54" s="60">
        <f>'DEN-GL'!D54</f>
        <v>-10600305</v>
      </c>
      <c r="G54" s="38">
        <f>'DEN-GL'!E54</f>
        <v>125667.37999999999</v>
      </c>
      <c r="H54" s="60">
        <f>F54-D54</f>
        <v>-10600305</v>
      </c>
      <c r="I54" s="38">
        <f>G54-E54</f>
        <v>468519.69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-585889.81999999995</v>
      </c>
      <c r="F55" s="60">
        <f>'DEN-GL'!D55</f>
        <v>0</v>
      </c>
      <c r="G55" s="38">
        <f>'DEN-GL'!E55</f>
        <v>-1380930.3399999999</v>
      </c>
      <c r="H55" s="60">
        <f>F55-D55</f>
        <v>0</v>
      </c>
      <c r="I55" s="38">
        <f>G55-E55</f>
        <v>-795040.5199999999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-928742.12999999989</v>
      </c>
      <c r="F56" s="61">
        <f t="shared" si="10"/>
        <v>-10600305</v>
      </c>
      <c r="G56" s="39">
        <f t="shared" si="10"/>
        <v>-1255262.96</v>
      </c>
      <c r="H56" s="61">
        <f t="shared" si="10"/>
        <v>-10600305</v>
      </c>
      <c r="I56" s="39">
        <f t="shared" si="10"/>
        <v>-326520.8299999999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1000000</v>
      </c>
      <c r="F70" s="60">
        <f>'DEN-GL'!D70</f>
        <v>0</v>
      </c>
      <c r="G70" s="38">
        <f>'DEN-GL'!E70</f>
        <v>999999.96</v>
      </c>
      <c r="H70" s="60">
        <f>F70-D70</f>
        <v>0</v>
      </c>
      <c r="I70" s="38">
        <f>G70-E70</f>
        <v>-4.0000000037252903E-2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-1096737</v>
      </c>
      <c r="F71" s="60">
        <f>'DEN-GL'!D71</f>
        <v>0</v>
      </c>
      <c r="G71" s="38">
        <f>'DEN-GL'!E71</f>
        <v>-1096737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-96737</v>
      </c>
      <c r="F72" s="61">
        <f t="shared" si="13"/>
        <v>0</v>
      </c>
      <c r="G72" s="39">
        <f t="shared" si="13"/>
        <v>-96737.040000000037</v>
      </c>
      <c r="H72" s="61">
        <f t="shared" si="13"/>
        <v>0</v>
      </c>
      <c r="I72" s="39">
        <f t="shared" si="13"/>
        <v>-4.0000000037252903E-2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1775</v>
      </c>
      <c r="F74" s="60">
        <f>'DEN-GL'!D74</f>
        <v>0</v>
      </c>
      <c r="G74" s="38">
        <f>'DEN-GL'!E74</f>
        <v>-232872.15</v>
      </c>
      <c r="H74" s="60">
        <f t="shared" ref="H74:I79" si="14">F74-D74</f>
        <v>0</v>
      </c>
      <c r="I74" s="38">
        <f t="shared" si="14"/>
        <v>-234647.15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-732</v>
      </c>
      <c r="F76" s="60">
        <f>'DEN-GL'!D76</f>
        <v>0</v>
      </c>
      <c r="G76" s="38">
        <f>'DEN-GL'!E76</f>
        <v>-534</v>
      </c>
      <c r="H76" s="60">
        <f t="shared" si="14"/>
        <v>0</v>
      </c>
      <c r="I76" s="38">
        <f t="shared" si="14"/>
        <v>198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-28234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28234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220422.37283129338</v>
      </c>
      <c r="F82" s="109">
        <f>F16+F24+F29+F36+F43+F45+F47+F49</f>
        <v>0</v>
      </c>
      <c r="G82" s="110">
        <f>SUM(G72:G81)+G16+G24+G29+G36+G43+G45+G47+G49+G51+G56+G61+G66</f>
        <v>136751.58799999859</v>
      </c>
      <c r="H82" s="109">
        <f>H16+H24+H29+H36+H43+H45+H47+H49</f>
        <v>0</v>
      </c>
      <c r="I82" s="110">
        <f>SUM(I72:I81)+I16+I24+I29+I36+I43+I45+I47+I49+I51+I56+I61+I66</f>
        <v>-83670.784831294266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22">
        <f>+'DEN-FLSH'!M86</f>
        <v>54892</v>
      </c>
      <c r="F86" s="67">
        <f>'DEN-GL'!D86</f>
        <v>0</v>
      </c>
      <c r="G86" s="219">
        <f>'DEN-GL'!E86</f>
        <v>55000</v>
      </c>
      <c r="H86" s="219">
        <f t="shared" ref="H86:I88" si="15">F86-D86</f>
        <v>0</v>
      </c>
      <c r="I86" s="145">
        <f t="shared" si="15"/>
        <v>108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220">
        <f>+'DEN-FLSH'!L88</f>
        <v>0</v>
      </c>
      <c r="E88" s="136">
        <f>+'DEN-FLSH'!M88</f>
        <v>0</v>
      </c>
      <c r="F88" s="220">
        <f>'DEN-GL'!D88</f>
        <v>0</v>
      </c>
      <c r="G88" s="221">
        <f>'DEN-GL'!E88</f>
        <v>0</v>
      </c>
      <c r="H88" s="221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224">
        <f t="shared" ref="D89:I89" si="16">SUM(D86:D88)</f>
        <v>0</v>
      </c>
      <c r="E89" s="224">
        <f t="shared" si="16"/>
        <v>54892</v>
      </c>
      <c r="F89" s="224">
        <f t="shared" si="16"/>
        <v>0</v>
      </c>
      <c r="G89" s="224">
        <f t="shared" si="16"/>
        <v>55000</v>
      </c>
      <c r="H89" s="160">
        <f t="shared" si="16"/>
        <v>0</v>
      </c>
      <c r="I89" s="160">
        <f t="shared" si="16"/>
        <v>108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-1405797</v>
      </c>
      <c r="F12" s="60">
        <f>STG_GL!D12</f>
        <v>0</v>
      </c>
      <c r="G12" s="38">
        <f>STG_GL!E12</f>
        <v>-74633.570000000007</v>
      </c>
      <c r="H12" s="60">
        <f>F12-D12</f>
        <v>0</v>
      </c>
      <c r="I12" s="38">
        <f>G12-E12</f>
        <v>1331163.43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-1366458</v>
      </c>
      <c r="H13" s="60">
        <f t="shared" ref="H13:I15" si="0">F13-D13</f>
        <v>0</v>
      </c>
      <c r="I13" s="38">
        <f t="shared" si="0"/>
        <v>-1366458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-1405797</v>
      </c>
      <c r="F16" s="61">
        <f t="shared" si="1"/>
        <v>0</v>
      </c>
      <c r="G16" s="39">
        <f t="shared" si="1"/>
        <v>-1441091.57</v>
      </c>
      <c r="H16" s="61">
        <f t="shared" si="1"/>
        <v>0</v>
      </c>
      <c r="I16" s="39">
        <f t="shared" si="1"/>
        <v>-35294.570000000065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-102602.52</v>
      </c>
      <c r="H51" s="60">
        <f>F51-D51</f>
        <v>0</v>
      </c>
      <c r="I51" s="38">
        <f>G51-E51</f>
        <v>-102602.52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2162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2162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143257916</v>
      </c>
      <c r="F70" s="60">
        <f>STG_GL!D70</f>
        <v>0</v>
      </c>
      <c r="G70" s="38">
        <f>STG_GL!E70</f>
        <v>146095483</v>
      </c>
      <c r="H70" s="60">
        <f>F70-D70</f>
        <v>0</v>
      </c>
      <c r="I70" s="38">
        <f>G70-E70</f>
        <v>2837567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-143891613</v>
      </c>
      <c r="F71" s="60">
        <f>STG_GL!D71</f>
        <v>0</v>
      </c>
      <c r="G71" s="38">
        <f>STG_GL!E71</f>
        <v>-146729180</v>
      </c>
      <c r="H71" s="60">
        <f>F71-D71</f>
        <v>0</v>
      </c>
      <c r="I71" s="38">
        <f>G71-E71</f>
        <v>-2837567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-633697</v>
      </c>
      <c r="F72" s="69">
        <f t="shared" si="13"/>
        <v>0</v>
      </c>
      <c r="G72" s="70">
        <f t="shared" si="13"/>
        <v>-633697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-39048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39048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3467694</v>
      </c>
      <c r="F74" s="60">
        <f>STG_GL!D74</f>
        <v>0</v>
      </c>
      <c r="G74" s="38">
        <f>STG_GL!E74</f>
        <v>1726015.4400000004</v>
      </c>
      <c r="H74" s="60">
        <f t="shared" ref="H74:I79" si="14">F74-D74</f>
        <v>0</v>
      </c>
      <c r="I74" s="38">
        <f t="shared" si="14"/>
        <v>-1741678.5599999996</v>
      </c>
    </row>
    <row r="75" spans="1:9" x14ac:dyDescent="0.2">
      <c r="A75" s="9">
        <v>34</v>
      </c>
      <c r="B75" s="3"/>
      <c r="C75" s="10" t="s">
        <v>232</v>
      </c>
      <c r="D75" s="65">
        <f>STG_FLSH!L75</f>
        <v>0</v>
      </c>
      <c r="E75" s="66">
        <f>STG_FLSH!M75</f>
        <v>-1778864</v>
      </c>
      <c r="F75" s="60">
        <f>STG_GL!D75</f>
        <v>0</v>
      </c>
      <c r="G75" s="38">
        <f>STG_GL!E75</f>
        <v>-1778864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-5196</v>
      </c>
      <c r="F76" s="60">
        <f>STG_GL!D76</f>
        <v>0</v>
      </c>
      <c r="G76" s="38">
        <f>STG_GL!E76</f>
        <v>-5196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-466578</v>
      </c>
      <c r="H77" s="60">
        <f t="shared" si="14"/>
        <v>0</v>
      </c>
      <c r="I77" s="38">
        <f t="shared" si="14"/>
        <v>-84151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0</v>
      </c>
      <c r="H79" s="60">
        <f t="shared" si="14"/>
        <v>0</v>
      </c>
      <c r="I79" s="38">
        <f t="shared" si="14"/>
        <v>103709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-128.33000000000001</v>
      </c>
      <c r="H80" s="60">
        <f>F80-D80</f>
        <v>0</v>
      </c>
      <c r="I80" s="38">
        <f>G80-E80</f>
        <v>-128.33000000000001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1119846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-1119846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240964</v>
      </c>
      <c r="F82" s="109">
        <f>F16+F24+F29+F36+F43+F45+F47+F49</f>
        <v>0</v>
      </c>
      <c r="G82" s="110">
        <f>SUM(G72:G81)+G16+G24+G29+G36+G43+G45+G47+G49+G51+G56+G61+G66</f>
        <v>-2702141.98</v>
      </c>
      <c r="H82" s="109">
        <f>H16+H24+H29+H36+H43+H45+H47+H49</f>
        <v>0</v>
      </c>
      <c r="I82" s="110">
        <f>SUM(I72:I81)+I16+I24+I29+I36+I43+I45+I47+I49+I51+I56+I61+I66</f>
        <v>-2943105.98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32244210</v>
      </c>
      <c r="E11" s="66">
        <f>ONT_FLSH!M11</f>
        <v>144548936</v>
      </c>
      <c r="F11" s="60">
        <f>'ONT_GL '!D11</f>
        <v>29094640</v>
      </c>
      <c r="G11" s="38">
        <f>'ONT_GL '!E11</f>
        <v>126763236.66999999</v>
      </c>
      <c r="H11" s="60">
        <f>F11-D11</f>
        <v>-3149570</v>
      </c>
      <c r="I11" s="38">
        <f>G11-E11</f>
        <v>-17785699.330000013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28127838.59</v>
      </c>
      <c r="H12" s="60">
        <f>F12-D12</f>
        <v>0</v>
      </c>
      <c r="I12" s="38">
        <f>G12-E12</f>
        <v>28127838.59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4177126</v>
      </c>
      <c r="E13" s="66">
        <f>ONT_FLSH!M13</f>
        <v>18321298</v>
      </c>
      <c r="F13" s="60">
        <f>'ONT_GL '!D13</f>
        <v>4177126</v>
      </c>
      <c r="G13" s="38">
        <f>'ONT_GL '!E13</f>
        <v>18321298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341000</v>
      </c>
      <c r="H15" s="60">
        <f t="shared" si="0"/>
        <v>0</v>
      </c>
      <c r="I15" s="38">
        <f t="shared" si="0"/>
        <v>341000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36421336</v>
      </c>
      <c r="E16" s="39">
        <f t="shared" si="1"/>
        <v>162870234</v>
      </c>
      <c r="F16" s="61">
        <f t="shared" si="1"/>
        <v>33271766</v>
      </c>
      <c r="G16" s="39">
        <f t="shared" si="1"/>
        <v>173553373.25999999</v>
      </c>
      <c r="H16" s="61">
        <f t="shared" si="1"/>
        <v>-3149570</v>
      </c>
      <c r="I16" s="39">
        <f t="shared" si="1"/>
        <v>10683139.259999987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-35358574</v>
      </c>
      <c r="E19" s="66">
        <f>ONT_FLSH!M19</f>
        <v>-158498450</v>
      </c>
      <c r="F19" s="60">
        <f>'ONT_GL '!D19</f>
        <v>-32201268</v>
      </c>
      <c r="G19" s="38">
        <f>'ONT_GL '!E19</f>
        <v>-143596469.96000001</v>
      </c>
      <c r="H19" s="60">
        <f>F19-D19</f>
        <v>3157306</v>
      </c>
      <c r="I19" s="38">
        <f>G19-E19</f>
        <v>14901980.039999992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-25724163.960000001</v>
      </c>
      <c r="H20" s="60">
        <f>F20-D20</f>
        <v>0</v>
      </c>
      <c r="I20" s="38">
        <f>G20-E20</f>
        <v>-25724163.960000001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-1064304</v>
      </c>
      <c r="E21" s="66">
        <f>ONT_FLSH!M21</f>
        <v>-4329544</v>
      </c>
      <c r="F21" s="60">
        <f>'ONT_GL '!D21</f>
        <v>-1064304</v>
      </c>
      <c r="G21" s="38">
        <f>'ONT_GL '!E21</f>
        <v>-4329544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20730</v>
      </c>
      <c r="E23" s="66">
        <f>ONT_FLSH!M23</f>
        <v>74931</v>
      </c>
      <c r="F23" s="60">
        <f>'ONT_GL '!D23</f>
        <v>0</v>
      </c>
      <c r="G23" s="38">
        <f>'ONT_GL '!E23</f>
        <v>0</v>
      </c>
      <c r="H23" s="60">
        <f t="shared" si="2"/>
        <v>-20730</v>
      </c>
      <c r="I23" s="38">
        <f t="shared" si="2"/>
        <v>-74931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-36402148</v>
      </c>
      <c r="E24" s="39">
        <f t="shared" si="3"/>
        <v>-162753063</v>
      </c>
      <c r="F24" s="61">
        <f t="shared" si="3"/>
        <v>-33265572</v>
      </c>
      <c r="G24" s="39">
        <f t="shared" si="3"/>
        <v>-173650177.92000002</v>
      </c>
      <c r="H24" s="61">
        <f t="shared" si="3"/>
        <v>3136576</v>
      </c>
      <c r="I24" s="39">
        <f t="shared" si="3"/>
        <v>-10897114.920000009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462985</v>
      </c>
      <c r="G32" s="38">
        <f>'ONT_GL '!E32</f>
        <v>2027874.3</v>
      </c>
      <c r="H32" s="60">
        <f>F32-D32</f>
        <v>462985</v>
      </c>
      <c r="I32" s="38">
        <f>G32-E32</f>
        <v>2027874.3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462985</v>
      </c>
      <c r="G36" s="39">
        <f t="shared" si="6"/>
        <v>2027874.3</v>
      </c>
      <c r="H36" s="61">
        <f t="shared" si="6"/>
        <v>462985</v>
      </c>
      <c r="I36" s="39">
        <f t="shared" si="6"/>
        <v>2027874.3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-19188</v>
      </c>
      <c r="E49" s="66">
        <f>ONT_FLSH!M49</f>
        <v>-84043.44</v>
      </c>
      <c r="F49" s="60">
        <f>'ONT_GL '!D49</f>
        <v>-469179</v>
      </c>
      <c r="G49" s="38">
        <f>'ONT_GL '!E49</f>
        <v>-2055004.0199999986</v>
      </c>
      <c r="H49" s="60">
        <f>F49-D49</f>
        <v>-449991</v>
      </c>
      <c r="I49" s="38">
        <f>G49-E49</f>
        <v>-1970960.5799999987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-20730</v>
      </c>
      <c r="E51" s="66">
        <f>ONT_FLSH!M51</f>
        <v>-74931</v>
      </c>
      <c r="F51" s="60">
        <f>'ONT_GL '!D51</f>
        <v>0</v>
      </c>
      <c r="G51" s="38">
        <f>'ONT_GL '!E51</f>
        <v>0</v>
      </c>
      <c r="H51" s="60">
        <f>F51-D51</f>
        <v>20730</v>
      </c>
      <c r="I51" s="38">
        <f>G51-E51</f>
        <v>74931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-2</v>
      </c>
      <c r="F54" s="60">
        <f>'ONT_GL '!D54</f>
        <v>-4074105.04</v>
      </c>
      <c r="G54" s="38">
        <f>'ONT_GL '!E54</f>
        <v>1362617.19</v>
      </c>
      <c r="H54" s="60">
        <f>F54-D54</f>
        <v>-4074105.04</v>
      </c>
      <c r="I54" s="38">
        <f>G54-E54</f>
        <v>1362619.19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-1403140.92</v>
      </c>
      <c r="H55" s="60">
        <f>F55-D55</f>
        <v>0</v>
      </c>
      <c r="I55" s="38">
        <f>G55-E55</f>
        <v>-1403140.92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</v>
      </c>
      <c r="F56" s="61">
        <f t="shared" si="10"/>
        <v>-4074105.04</v>
      </c>
      <c r="G56" s="39">
        <f t="shared" si="10"/>
        <v>-40523.729999999981</v>
      </c>
      <c r="H56" s="61">
        <f t="shared" si="10"/>
        <v>-4074105.04</v>
      </c>
      <c r="I56" s="39">
        <f t="shared" si="10"/>
        <v>-40521.729999999981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8346121.5228982903</v>
      </c>
      <c r="F70" s="60">
        <f>'ONT_GL '!D70</f>
        <v>0</v>
      </c>
      <c r="G70" s="38">
        <f>'ONT_GL '!E70</f>
        <v>8346121.5199999996</v>
      </c>
      <c r="H70" s="60">
        <f>F70-D70</f>
        <v>0</v>
      </c>
      <c r="I70" s="38">
        <f>G70-E70</f>
        <v>-2.898290753364563E-3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-9378953</v>
      </c>
      <c r="F71" s="60">
        <f>'ONT_GL '!D71</f>
        <v>0</v>
      </c>
      <c r="G71" s="38">
        <f>'ONT_GL '!E71</f>
        <v>-9378953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-1032831.4771017097</v>
      </c>
      <c r="F72" s="69">
        <f t="shared" si="13"/>
        <v>0</v>
      </c>
      <c r="G72" s="70">
        <f t="shared" si="13"/>
        <v>-1032831.4800000004</v>
      </c>
      <c r="H72" s="69">
        <f t="shared" si="13"/>
        <v>0</v>
      </c>
      <c r="I72" s="70">
        <f t="shared" si="13"/>
        <v>-2.898290753364563E-3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-1627381</v>
      </c>
      <c r="F74" s="60">
        <f>'ONT_GL '!D74</f>
        <v>0</v>
      </c>
      <c r="G74" s="38">
        <f>'ONT_GL '!E74</f>
        <v>-1125482.3399999999</v>
      </c>
      <c r="H74" s="60">
        <f t="shared" ref="H74:I79" si="14">F74-D74</f>
        <v>0</v>
      </c>
      <c r="I74" s="38">
        <f t="shared" si="14"/>
        <v>501898.66000000015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-4547</v>
      </c>
      <c r="F76" s="60">
        <f>'ONT_GL '!D76</f>
        <v>0</v>
      </c>
      <c r="G76" s="38">
        <f>'ONT_GL '!E76</f>
        <v>-17554</v>
      </c>
      <c r="H76" s="60">
        <f t="shared" si="14"/>
        <v>0</v>
      </c>
      <c r="I76" s="38">
        <f t="shared" si="14"/>
        <v>-13007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-54935</v>
      </c>
      <c r="F81" s="60">
        <f>'ONT_GL '!D81</f>
        <v>0</v>
      </c>
      <c r="G81" s="38">
        <f>'ONT_GL '!E81</f>
        <v>-666007</v>
      </c>
      <c r="H81" s="60">
        <f>F81-D81</f>
        <v>0</v>
      </c>
      <c r="I81" s="38">
        <f>G81-E81</f>
        <v>-611072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-2761499.9171017134</v>
      </c>
      <c r="F82" s="109">
        <f>F16+F24+F29+F36+F43+F45+F47+F49</f>
        <v>0</v>
      </c>
      <c r="G82" s="110">
        <f>SUM(G72:G81)+G16+G24+G29+G36+G43+G45+G47+G49+G51+G56+G61+G66</f>
        <v>-3006332.9300000179</v>
      </c>
      <c r="H82" s="109">
        <f>H16+H24+H29+H36+H43+H45+H47+H49</f>
        <v>0</v>
      </c>
      <c r="I82" s="110">
        <f>SUM(I72:I81)+I16+I24+I29+I36+I43+I45+I47+I49+I51+I56+I61+I66</f>
        <v>-244833.01289831172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-53137</v>
      </c>
      <c r="F86" s="145">
        <f>'ONT_GL '!D86</f>
        <v>0</v>
      </c>
      <c r="G86" s="145">
        <f>'ONT_GL '!E86</f>
        <v>-1793993.58</v>
      </c>
      <c r="H86" s="145">
        <f t="shared" ref="H86:I88" si="15">F86-D86</f>
        <v>0</v>
      </c>
      <c r="I86" s="145">
        <f t="shared" si="15"/>
        <v>-1740856.58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1740994</v>
      </c>
      <c r="H88" s="147">
        <f t="shared" si="15"/>
        <v>0</v>
      </c>
      <c r="I88" s="147">
        <f t="shared" si="15"/>
        <v>1740994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-53137</v>
      </c>
      <c r="F89" s="160">
        <f t="shared" si="16"/>
        <v>0</v>
      </c>
      <c r="G89" s="160">
        <f t="shared" si="16"/>
        <v>-52999.580000000075</v>
      </c>
      <c r="H89" s="160">
        <f t="shared" si="16"/>
        <v>0</v>
      </c>
      <c r="I89" s="160">
        <f t="shared" si="16"/>
        <v>137.41999999992549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-2814636.9171017134</v>
      </c>
      <c r="F91" s="160">
        <f t="shared" si="17"/>
        <v>0</v>
      </c>
      <c r="G91" s="160">
        <f t="shared" si="17"/>
        <v>-3059332.5100000179</v>
      </c>
      <c r="H91" s="160">
        <f t="shared" si="17"/>
        <v>0</v>
      </c>
      <c r="I91" s="160">
        <f t="shared" si="17"/>
        <v>-244695.59289831179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F70" sqref="F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0006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441261.49690000003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-441261.49690000003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-499916.66939999978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499916.66939999978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-58655.172499999753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58655.172499999753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61237.107600000003</v>
      </c>
      <c r="F74" s="60">
        <f>BUG_GL!D74</f>
        <v>0</v>
      </c>
      <c r="G74" s="38">
        <f>BUG_GL!E74</f>
        <v>61236.76</v>
      </c>
      <c r="H74" s="60">
        <f t="shared" ref="H74:I79" si="14">F74-D74</f>
        <v>0</v>
      </c>
      <c r="I74" s="38">
        <f t="shared" si="14"/>
        <v>-0.34760000000096625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-595141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595141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-592559.06489999976</v>
      </c>
      <c r="F82" s="109">
        <f>F16+F24+F29+F36+F43+F45+F47+F49</f>
        <v>0</v>
      </c>
      <c r="G82" s="110">
        <f>SUM(G72:G81)+G16+G24+G29+G36+G43+G45+G47+G49+G51+G56+G61+G66</f>
        <v>61236.76</v>
      </c>
      <c r="H82" s="109">
        <f>H16+H24+H29+H36+H43+H45+H47+H49</f>
        <v>0</v>
      </c>
      <c r="I82" s="110">
        <f>SUM(I72:I81)+I16+I24+I29+I36+I43+I45+I47+I49+I51+I56+I61+I66</f>
        <v>653795.82489999977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K330" workbookViewId="0">
      <selection activeCell="U351" sqref="U351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229</v>
      </c>
      <c r="F3" s="197" t="s">
        <v>230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/>
      <c r="J351" s="206"/>
      <c r="K351" s="206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5">
        <f>+G640+D634</f>
        <v>1351187.0809996603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28">
        <f>CE_GL!I82</f>
        <v>145788.89000019571</v>
      </c>
      <c r="H639" s="210">
        <f>CE_GL!J82</f>
        <v>0</v>
      </c>
      <c r="I639" s="211">
        <f>CE_GL!K82</f>
        <v>1962344.8699999999</v>
      </c>
      <c r="J639" s="210">
        <f>CE_GL!L82</f>
        <v>0</v>
      </c>
      <c r="K639" s="210">
        <f>CE_GL!M82</f>
        <v>8697165.2100000009</v>
      </c>
      <c r="L639" s="210">
        <f>CE_GL!N82</f>
        <v>0</v>
      </c>
      <c r="M639" s="210">
        <f>CE_GL!O82</f>
        <v>1509473.1999999995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-2164550.9190003397</v>
      </c>
      <c r="H640" s="210">
        <f>+'EAST-EGM-GL'!J82</f>
        <v>165</v>
      </c>
      <c r="I640" s="211">
        <f>+'EAST-EGM-GL'!K82</f>
        <v>-7373874.6999999974</v>
      </c>
      <c r="J640" s="210">
        <f>+'EAST-EGM-GL'!L82</f>
        <v>0</v>
      </c>
      <c r="K640" s="210">
        <f>+'EAST-EGM-GL'!M82</f>
        <v>4533721.5600000005</v>
      </c>
      <c r="L640" s="210">
        <f>+'EAST-EGM-GL'!N82</f>
        <v>0</v>
      </c>
      <c r="M640" s="210">
        <f>+'EAST-EGM-GL'!O82</f>
        <v>-3417903.0000000005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1">
        <f>+'EAST-LRC-GL'!I82</f>
        <v>3331023</v>
      </c>
      <c r="H641" s="210">
        <f>+'EAST-LRC-GL'!J82</f>
        <v>0</v>
      </c>
      <c r="I641" s="211">
        <f>+'EAST-LRC-GL'!K82</f>
        <v>-3331023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1166472.0809996631</v>
      </c>
      <c r="H643" s="210">
        <f>+'EAST-CON-GL '!J82</f>
        <v>165</v>
      </c>
      <c r="I643" s="211">
        <f>+'EAST-CON-GL '!K82</f>
        <v>-10704897.699999996</v>
      </c>
      <c r="J643" s="210">
        <f>+'EAST-CON-GL '!L82</f>
        <v>0</v>
      </c>
      <c r="K643" s="210">
        <f>+'EAST-CON-GL '!M82</f>
        <v>4533721.5600000005</v>
      </c>
      <c r="L643" s="210">
        <f>+'EAST-CON-GL '!N82</f>
        <v>0</v>
      </c>
      <c r="M643" s="210">
        <f>+'EAST-CON-GL '!O82</f>
        <v>-3417903.0000000005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78443.225000014645</v>
      </c>
      <c r="H644" s="210">
        <f>+'TX-EGM-GL'!J82</f>
        <v>273600</v>
      </c>
      <c r="I644" s="211">
        <f>+'TX-EGM-GL'!K91</f>
        <v>-261972.81999999902</v>
      </c>
      <c r="J644" s="210">
        <f>+'TX-EGM-GL'!L82</f>
        <v>0</v>
      </c>
      <c r="K644" s="210">
        <f>+'TX-EGM-GL'!M82</f>
        <v>351228.00600000005</v>
      </c>
      <c r="L644" s="210">
        <f>+'TX-EGM-GL'!N82</f>
        <v>0</v>
      </c>
      <c r="M644" s="210">
        <f>+'TX-EGM-GL'!O82</f>
        <v>-783907.77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-22487.040000000037</v>
      </c>
      <c r="H645" s="210">
        <f>+'TX-HPLR-GL '!J82</f>
        <v>0</v>
      </c>
      <c r="I645" s="211">
        <f>+'TX-HPLR-GL '!K82</f>
        <v>-1147909.8900000001</v>
      </c>
      <c r="J645" s="210">
        <f>+'TX-HPLR-GL '!L82</f>
        <v>0</v>
      </c>
      <c r="K645" s="210">
        <f>+'TX-HPLR-GL '!M82</f>
        <v>9717.56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1994129</v>
      </c>
      <c r="H646" s="210">
        <f>+'TX-HPLC-GL'!J82</f>
        <v>0</v>
      </c>
      <c r="I646" s="211">
        <f>+'TX-HPLC-GL'!K82</f>
        <v>-1147021.5300000012</v>
      </c>
      <c r="J646" s="210">
        <f>+'TX-HPLC-GL'!L82</f>
        <v>0</v>
      </c>
      <c r="K646" s="210">
        <f>+'TX-HPLC-GL'!M82</f>
        <v>8840418.5800000001</v>
      </c>
      <c r="L646" s="210">
        <f>+'TX-HPLC-GL'!N82</f>
        <v>0</v>
      </c>
      <c r="M646" s="210">
        <f>+'TX-HPLC-GL'!O82</f>
        <v>-667643.17000000039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2050085.1849999917</v>
      </c>
      <c r="H647" s="210">
        <f>+'TX-CON-GL '!J82</f>
        <v>273600</v>
      </c>
      <c r="I647" s="211">
        <f>+'TX-CON-GL '!K82</f>
        <v>-2556904.2400000002</v>
      </c>
      <c r="J647" s="210">
        <f>+'TX-CON-GL '!L82</f>
        <v>0</v>
      </c>
      <c r="K647" s="210">
        <f>+'TX-CON-GL '!M82</f>
        <v>9201364.1460000016</v>
      </c>
      <c r="L647" s="210">
        <f>+'TX-CON-GL '!N82</f>
        <v>0</v>
      </c>
      <c r="M647" s="210">
        <f>+'TX-CON-GL '!O82</f>
        <v>-1451550.9400000006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6004450.0879999436</v>
      </c>
      <c r="H648" s="210">
        <f>+'WE-GL '!J82</f>
        <v>0</v>
      </c>
      <c r="I648" s="211">
        <f>+'WE-GL '!K82</f>
        <v>208221.8499999998</v>
      </c>
      <c r="J648" s="210">
        <f>+'WE-GL '!L82</f>
        <v>0</v>
      </c>
      <c r="K648" s="210">
        <f>+'WE-GL '!M82</f>
        <v>-1082723.8600000003</v>
      </c>
      <c r="L648" s="210">
        <f>+'WE-GL '!N82</f>
        <v>0</v>
      </c>
      <c r="M648" s="210">
        <f>+'WE-GL '!O82</f>
        <v>-370503.06000000052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1714028.298000003</v>
      </c>
      <c r="H649" s="210">
        <f>+'DEN-GL'!J82</f>
        <v>0</v>
      </c>
      <c r="I649" s="211">
        <f>+'DEN-GL'!K82</f>
        <v>-3919015.1900000004</v>
      </c>
      <c r="J649" s="210">
        <f>+'DEN-GL'!L82</f>
        <v>0</v>
      </c>
      <c r="K649" s="210">
        <f>+'DEN-GL'!M82</f>
        <v>4322502.6400000006</v>
      </c>
      <c r="L649" s="210">
        <f>+'DEN-GL'!N82</f>
        <v>0</v>
      </c>
      <c r="M649" s="210">
        <f>+'DEN-GL'!O82</f>
        <v>-1582158.2599999998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-1423900</v>
      </c>
      <c r="H650" s="210">
        <f>+STG_GL!J82</f>
        <v>0</v>
      </c>
      <c r="I650" s="210">
        <f>+STG_GL!K82</f>
        <v>7182506.5300000003</v>
      </c>
      <c r="J650" s="210">
        <f>+STG_GL!L82</f>
        <v>0</v>
      </c>
      <c r="K650" s="210">
        <f>+STG_GL!M82</f>
        <v>-8299000.2400000002</v>
      </c>
      <c r="L650" s="210">
        <f>+STG_GL!N82</f>
        <v>0</v>
      </c>
      <c r="M650" s="210">
        <f>+STG_GL!O82</f>
        <v>6835410.8600000003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-3935095.570000038</v>
      </c>
      <c r="H651" s="210">
        <f>+'ONT_GL '!J82</f>
        <v>0</v>
      </c>
      <c r="I651" s="211">
        <f>+'ONT_GL '!K82</f>
        <v>-7773435.8399999999</v>
      </c>
      <c r="J651" s="210">
        <f>+'ONT_GL '!L82</f>
        <v>0</v>
      </c>
      <c r="K651" s="210">
        <f>+'ONT_GL '!M82</f>
        <v>-2293509.79</v>
      </c>
      <c r="L651" s="210">
        <f>+'ONT_GL '!N82</f>
        <v>0</v>
      </c>
      <c r="M651" s="210">
        <f>+'ONT_GL '!O82</f>
        <v>6223694.040000001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1827127.8099999856</v>
      </c>
      <c r="H652" s="210">
        <f>+ARUBA_GL!J82</f>
        <v>0</v>
      </c>
      <c r="I652" s="211">
        <f>+ARUBA_GL!K82</f>
        <v>-10847.169999999925</v>
      </c>
      <c r="J652" s="210">
        <f>+ARUBA_GL!L82</f>
        <v>0</v>
      </c>
      <c r="K652" s="210">
        <f>+ARUBA_GL!M82</f>
        <v>281278</v>
      </c>
      <c r="L652" s="210">
        <f>+ARUBA_GL!N82</f>
        <v>0</v>
      </c>
      <c r="M652" s="210">
        <f>+ARUBA_GL!O82</f>
        <v>188451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3039995.6699999976</v>
      </c>
      <c r="H653" s="210">
        <f>+SITHE_GL!J82</f>
        <v>0</v>
      </c>
      <c r="I653" s="211">
        <f>+SITHE_GL!K82</f>
        <v>-2513598.92</v>
      </c>
      <c r="J653" s="210">
        <f>+SITHE_GL!L82</f>
        <v>0</v>
      </c>
      <c r="K653" s="210">
        <f>+SITHE_GL!M82</f>
        <v>-506479.17999999993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0">
        <f>+'EAST-MKT-GL'!I82</f>
        <v>2872718</v>
      </c>
      <c r="H654" s="210">
        <f>+'EAST-MKT-GL'!J82</f>
        <v>0</v>
      </c>
      <c r="I654" s="211">
        <f>+'EAST-MKT-GL'!K82</f>
        <v>-4503978.33</v>
      </c>
      <c r="J654" s="210">
        <f>+'EAST-MKT-GL'!L82</f>
        <v>0</v>
      </c>
      <c r="K654" s="210">
        <f>+'EAST-MKT-GL'!M82</f>
        <v>-9456468.2300000004</v>
      </c>
      <c r="L654" s="210">
        <f>+'EAST-MKT-GL'!N82</f>
        <v>0</v>
      </c>
      <c r="M654" s="210">
        <f>+'EAST-MKT-GL'!O82</f>
        <v>5731296.7599999988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Jan Havlíček</cp:lastModifiedBy>
  <cp:lastPrinted>2000-10-12T03:18:01Z</cp:lastPrinted>
  <dcterms:created xsi:type="dcterms:W3CDTF">1997-07-11T21:57:33Z</dcterms:created>
  <dcterms:modified xsi:type="dcterms:W3CDTF">2023-09-15T14:56:29Z</dcterms:modified>
</cp:coreProperties>
</file>