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A7ACD3E-03ED-4753-A160-F5B5AC1D17B2}" xr6:coauthVersionLast="47" xr6:coauthVersionMax="47" xr10:uidLastSave="{00000000-0000-0000-0000-000000000000}"/>
  <bookViews>
    <workbookView xWindow="-120" yWindow="-120" windowWidth="38640" windowHeight="15720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3">Actuals!$D$636:$I$651</definedName>
    <definedName name="_xlnm.Print_Area" localSheetId="11">'BGC-EGM-FLSH'!$A$1:$M$82</definedName>
    <definedName name="_xlnm.Print_Area" localSheetId="43">'BGC-EGM-VAR'!$A$1:$I$82</definedName>
    <definedName name="_xlnm.Print_Area" localSheetId="52">BUG_VAR!$A$1:$I$82</definedName>
    <definedName name="_xlnm.Print_Area" localSheetId="37">'CE-VAR'!$A$1:$I$82</definedName>
    <definedName name="_xlnm.Print_Area" localSheetId="2">Check!$A$1:$H$30</definedName>
    <definedName name="_xlnm.Print_Area" localSheetId="10">'EAST-CON-FLSH'!$A$1:$M$82</definedName>
    <definedName name="_xlnm.Print_Area" localSheetId="42">'EAST-CON-VAR'!$A$1:$I$82</definedName>
    <definedName name="_xlnm.Print_Area" localSheetId="8">'EAST-EGM-FLSH'!$A$1:$M$82</definedName>
    <definedName name="_xlnm.Print_Area" localSheetId="40">'EAST-EGM-VAR'!$A$1:$I$82</definedName>
    <definedName name="_xlnm.Print_Area" localSheetId="9">'EAST-LRC-FLSH'!$A$1:$M$82</definedName>
    <definedName name="_xlnm.Print_Area" localSheetId="41">'EAST-LRC-VAR'!$A$1:$I$82</definedName>
    <definedName name="_xlnm.Print_Area" localSheetId="51">ONT_VAR!$A$1:$I$82</definedName>
    <definedName name="_xlnm.Print_Area" localSheetId="3">RECLASS!$A$1:$AG$82</definedName>
    <definedName name="_xlnm.Print_Area" localSheetId="50">STG_VAR!$A$1:$I$82</definedName>
    <definedName name="_xlnm.Print_Area" localSheetId="4">'TIE-OUT'!$A$1:$AG$95</definedName>
    <definedName name="_xlnm.Print_Area" localSheetId="1">TOTAL!$A$1:$I$82</definedName>
    <definedName name="_xlnm.Print_Area" localSheetId="15">'TX-CON-FLSH'!$A$1:$M$82</definedName>
    <definedName name="_xlnm.Print_Area" localSheetId="47">'TX-CON-VAR'!$A$1:$I$82</definedName>
    <definedName name="_xlnm.Print_Area" localSheetId="12">'TX-EGM-FLSH'!$A$1:$M$82</definedName>
    <definedName name="_xlnm.Print_Area" localSheetId="44">'TX-EGM-VAR'!$A$1:$I$82</definedName>
    <definedName name="_xlnm.Print_Area" localSheetId="13">'TX-HPLR-FLSH'!$A$1:$M$82</definedName>
    <definedName name="_xlnm.Print_Area" localSheetId="45">'TX-HPLR-VAR '!$A$1:$I$82</definedName>
    <definedName name="_xlnm.Print_Area" localSheetId="16">'WE-FLSH'!$A$1:$M$82</definedName>
    <definedName name="_xlnm.Print_Area" localSheetId="48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M1" i="44" l="1"/>
  <c r="O1" i="44"/>
  <c r="Q1" i="44"/>
  <c r="S1" i="44"/>
  <c r="U1" i="44"/>
  <c r="W1" i="44"/>
  <c r="Y1" i="44"/>
  <c r="AA1" i="44"/>
  <c r="AC1" i="44"/>
  <c r="AE1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A5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H39" i="48"/>
  <c r="I39" i="48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H40" i="48"/>
  <c r="I40" i="48"/>
  <c r="J40" i="48"/>
  <c r="K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H41" i="48"/>
  <c r="I41" i="48"/>
  <c r="J41" i="48"/>
  <c r="K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H54" i="48"/>
  <c r="I54" i="48"/>
  <c r="J54" i="48"/>
  <c r="K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H55" i="48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H59" i="48"/>
  <c r="I59" i="48"/>
  <c r="J59" i="48"/>
  <c r="K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H65" i="48"/>
  <c r="I65" i="48"/>
  <c r="J65" i="48"/>
  <c r="K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H70" i="48"/>
  <c r="I70" i="48"/>
  <c r="J70" i="48"/>
  <c r="K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H71" i="48"/>
  <c r="I71" i="48"/>
  <c r="J71" i="48"/>
  <c r="K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H73" i="48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H76" i="48"/>
  <c r="I76" i="48"/>
  <c r="J76" i="48"/>
  <c r="K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H79" i="48"/>
  <c r="I79" i="48"/>
  <c r="J79" i="48"/>
  <c r="K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F11" i="22"/>
  <c r="G11" i="22"/>
  <c r="D12" i="22"/>
  <c r="E12" i="22"/>
  <c r="F12" i="22"/>
  <c r="G12" i="22"/>
  <c r="D13" i="22"/>
  <c r="E13" i="22"/>
  <c r="F13" i="22"/>
  <c r="G13" i="22"/>
  <c r="D14" i="22"/>
  <c r="E14" i="22"/>
  <c r="F14" i="22"/>
  <c r="G14" i="22"/>
  <c r="D15" i="22"/>
  <c r="E15" i="22"/>
  <c r="F15" i="22"/>
  <c r="G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F20" i="22"/>
  <c r="G20" i="22"/>
  <c r="D21" i="22"/>
  <c r="E21" i="22"/>
  <c r="F21" i="22"/>
  <c r="G21" i="22"/>
  <c r="D22" i="22"/>
  <c r="E22" i="22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F27" i="22"/>
  <c r="G27" i="22"/>
  <c r="D28" i="22"/>
  <c r="E28" i="22"/>
  <c r="F28" i="22"/>
  <c r="G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F32" i="22"/>
  <c r="G32" i="22"/>
  <c r="D33" i="22"/>
  <c r="E33" i="22"/>
  <c r="F33" i="22"/>
  <c r="G33" i="22"/>
  <c r="D34" i="22"/>
  <c r="E34" i="22"/>
  <c r="F34" i="22"/>
  <c r="G34" i="22"/>
  <c r="D35" i="22"/>
  <c r="E35" i="22"/>
  <c r="F35" i="22"/>
  <c r="G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F39" i="22"/>
  <c r="G39" i="22"/>
  <c r="D40" i="22"/>
  <c r="E40" i="22"/>
  <c r="F40" i="22"/>
  <c r="G40" i="22"/>
  <c r="D41" i="22"/>
  <c r="E41" i="22"/>
  <c r="F41" i="22"/>
  <c r="G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F45" i="22"/>
  <c r="G45" i="22"/>
  <c r="D47" i="22"/>
  <c r="E47" i="22"/>
  <c r="F47" i="22"/>
  <c r="G47" i="22"/>
  <c r="D49" i="22"/>
  <c r="E49" i="22"/>
  <c r="F49" i="22"/>
  <c r="G49" i="22"/>
  <c r="D51" i="22"/>
  <c r="E51" i="22"/>
  <c r="F51" i="22"/>
  <c r="G51" i="22"/>
  <c r="D54" i="22"/>
  <c r="E54" i="22"/>
  <c r="F54" i="22"/>
  <c r="G54" i="22"/>
  <c r="D55" i="22"/>
  <c r="E55" i="22"/>
  <c r="F55" i="22"/>
  <c r="G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F59" i="22"/>
  <c r="G59" i="22"/>
  <c r="D60" i="22"/>
  <c r="E60" i="22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F64" i="22"/>
  <c r="G64" i="22"/>
  <c r="D65" i="22"/>
  <c r="E65" i="22"/>
  <c r="F65" i="22"/>
  <c r="G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F70" i="22"/>
  <c r="G70" i="22"/>
  <c r="D71" i="22"/>
  <c r="E71" i="22"/>
  <c r="F71" i="22"/>
  <c r="G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F73" i="22"/>
  <c r="G73" i="22"/>
  <c r="D74" i="22"/>
  <c r="E74" i="22"/>
  <c r="F74" i="22"/>
  <c r="G74" i="22"/>
  <c r="D75" i="22"/>
  <c r="E75" i="22"/>
  <c r="F75" i="22"/>
  <c r="G75" i="22"/>
  <c r="D76" i="22"/>
  <c r="E76" i="22"/>
  <c r="F76" i="22"/>
  <c r="G76" i="22"/>
  <c r="D77" i="22"/>
  <c r="E77" i="22"/>
  <c r="F77" i="22"/>
  <c r="G77" i="22"/>
  <c r="D78" i="22"/>
  <c r="E78" i="22"/>
  <c r="F78" i="22"/>
  <c r="G78" i="22"/>
  <c r="D79" i="22"/>
  <c r="E79" i="22"/>
  <c r="F79" i="22"/>
  <c r="G79" i="22"/>
  <c r="D80" i="22"/>
  <c r="E80" i="22"/>
  <c r="F80" i="22"/>
  <c r="G80" i="22"/>
  <c r="D81" i="22"/>
  <c r="E81" i="22"/>
  <c r="F81" i="22"/>
  <c r="G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H20" i="29"/>
  <c r="I20" i="29"/>
  <c r="J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H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H79" i="29"/>
  <c r="I79" i="29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H81" i="29"/>
  <c r="I81" i="29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H12" i="20"/>
  <c r="I12" i="20"/>
  <c r="J12" i="20"/>
  <c r="K12" i="20"/>
  <c r="L12" i="20"/>
  <c r="M12" i="20"/>
  <c r="N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A4" i="8"/>
  <c r="A5" i="8"/>
  <c r="F11" i="8"/>
  <c r="G11" i="8"/>
  <c r="H11" i="8"/>
  <c r="I11" i="8"/>
  <c r="L11" i="8"/>
  <c r="M11" i="8"/>
  <c r="F12" i="8"/>
  <c r="G12" i="8"/>
  <c r="H12" i="8"/>
  <c r="I12" i="8"/>
  <c r="L12" i="8"/>
  <c r="M12" i="8"/>
  <c r="F13" i="8"/>
  <c r="G13" i="8"/>
  <c r="H13" i="8"/>
  <c r="I13" i="8"/>
  <c r="L13" i="8"/>
  <c r="M13" i="8"/>
  <c r="F14" i="8"/>
  <c r="G14" i="8"/>
  <c r="H14" i="8"/>
  <c r="I14" i="8"/>
  <c r="L14" i="8"/>
  <c r="M14" i="8"/>
  <c r="F15" i="8"/>
  <c r="G15" i="8"/>
  <c r="H15" i="8"/>
  <c r="I15" i="8"/>
  <c r="L15" i="8"/>
  <c r="M15" i="8"/>
  <c r="F16" i="8"/>
  <c r="G16" i="8"/>
  <c r="H16" i="8"/>
  <c r="I16" i="8"/>
  <c r="J16" i="8"/>
  <c r="K16" i="8"/>
  <c r="L16" i="8"/>
  <c r="M16" i="8"/>
  <c r="H18" i="8"/>
  <c r="I18" i="8"/>
  <c r="F19" i="8"/>
  <c r="G19" i="8"/>
  <c r="H19" i="8"/>
  <c r="I19" i="8"/>
  <c r="L19" i="8"/>
  <c r="M19" i="8"/>
  <c r="F20" i="8"/>
  <c r="G20" i="8"/>
  <c r="H20" i="8"/>
  <c r="I20" i="8"/>
  <c r="L20" i="8"/>
  <c r="M20" i="8"/>
  <c r="F21" i="8"/>
  <c r="G21" i="8"/>
  <c r="H21" i="8"/>
  <c r="I21" i="8"/>
  <c r="L21" i="8"/>
  <c r="M21" i="8"/>
  <c r="F22" i="8"/>
  <c r="G22" i="8"/>
  <c r="H22" i="8"/>
  <c r="I22" i="8"/>
  <c r="L22" i="8"/>
  <c r="M22" i="8"/>
  <c r="F23" i="8"/>
  <c r="G23" i="8"/>
  <c r="H23" i="8"/>
  <c r="I23" i="8"/>
  <c r="L23" i="8"/>
  <c r="M23" i="8"/>
  <c r="F24" i="8"/>
  <c r="G24" i="8"/>
  <c r="H24" i="8"/>
  <c r="I24" i="8"/>
  <c r="J24" i="8"/>
  <c r="K24" i="8"/>
  <c r="L24" i="8"/>
  <c r="M24" i="8"/>
  <c r="F27" i="8"/>
  <c r="G27" i="8"/>
  <c r="H27" i="8"/>
  <c r="I27" i="8"/>
  <c r="L27" i="8"/>
  <c r="M27" i="8"/>
  <c r="F28" i="8"/>
  <c r="G28" i="8"/>
  <c r="H28" i="8"/>
  <c r="I28" i="8"/>
  <c r="L28" i="8"/>
  <c r="M28" i="8"/>
  <c r="F29" i="8"/>
  <c r="G29" i="8"/>
  <c r="H29" i="8"/>
  <c r="I29" i="8"/>
  <c r="J29" i="8"/>
  <c r="K29" i="8"/>
  <c r="L29" i="8"/>
  <c r="M29" i="8"/>
  <c r="F32" i="8"/>
  <c r="G32" i="8"/>
  <c r="H32" i="8"/>
  <c r="I32" i="8"/>
  <c r="L32" i="8"/>
  <c r="M32" i="8"/>
  <c r="F33" i="8"/>
  <c r="G33" i="8"/>
  <c r="H33" i="8"/>
  <c r="I33" i="8"/>
  <c r="L33" i="8"/>
  <c r="M33" i="8"/>
  <c r="F34" i="8"/>
  <c r="G34" i="8"/>
  <c r="H34" i="8"/>
  <c r="I34" i="8"/>
  <c r="L34" i="8"/>
  <c r="M34" i="8"/>
  <c r="F35" i="8"/>
  <c r="G35" i="8"/>
  <c r="H35" i="8"/>
  <c r="I35" i="8"/>
  <c r="L35" i="8"/>
  <c r="M35" i="8"/>
  <c r="F36" i="8"/>
  <c r="G36" i="8"/>
  <c r="H36" i="8"/>
  <c r="I36" i="8"/>
  <c r="J36" i="8"/>
  <c r="K36" i="8"/>
  <c r="L36" i="8"/>
  <c r="M36" i="8"/>
  <c r="L37" i="8"/>
  <c r="M37" i="8"/>
  <c r="H38" i="8"/>
  <c r="I38" i="8"/>
  <c r="F39" i="8"/>
  <c r="G39" i="8"/>
  <c r="H39" i="8"/>
  <c r="I39" i="8"/>
  <c r="L39" i="8"/>
  <c r="M39" i="8"/>
  <c r="F40" i="8"/>
  <c r="G40" i="8"/>
  <c r="H40" i="8"/>
  <c r="I40" i="8"/>
  <c r="L40" i="8"/>
  <c r="M40" i="8"/>
  <c r="F41" i="8"/>
  <c r="G41" i="8"/>
  <c r="H41" i="8"/>
  <c r="I41" i="8"/>
  <c r="L41" i="8"/>
  <c r="M41" i="8"/>
  <c r="F42" i="8"/>
  <c r="G42" i="8"/>
  <c r="H42" i="8"/>
  <c r="I42" i="8"/>
  <c r="J42" i="8"/>
  <c r="K42" i="8"/>
  <c r="L42" i="8"/>
  <c r="M42" i="8"/>
  <c r="F43" i="8"/>
  <c r="G43" i="8"/>
  <c r="H43" i="8"/>
  <c r="I43" i="8"/>
  <c r="J43" i="8"/>
  <c r="K43" i="8"/>
  <c r="L43" i="8"/>
  <c r="M43" i="8"/>
  <c r="F45" i="8"/>
  <c r="G45" i="8"/>
  <c r="H45" i="8"/>
  <c r="I45" i="8"/>
  <c r="L45" i="8"/>
  <c r="M45" i="8"/>
  <c r="F47" i="8"/>
  <c r="G47" i="8"/>
  <c r="H47" i="8"/>
  <c r="I47" i="8"/>
  <c r="L47" i="8"/>
  <c r="M47" i="8"/>
  <c r="F49" i="8"/>
  <c r="G49" i="8"/>
  <c r="H49" i="8"/>
  <c r="I49" i="8"/>
  <c r="L49" i="8"/>
  <c r="M49" i="8"/>
  <c r="F51" i="8"/>
  <c r="G51" i="8"/>
  <c r="H51" i="8"/>
  <c r="I51" i="8"/>
  <c r="L51" i="8"/>
  <c r="M51" i="8"/>
  <c r="F54" i="8"/>
  <c r="G54" i="8"/>
  <c r="H54" i="8"/>
  <c r="I54" i="8"/>
  <c r="L54" i="8"/>
  <c r="M54" i="8"/>
  <c r="F55" i="8"/>
  <c r="G55" i="8"/>
  <c r="H55" i="8"/>
  <c r="I55" i="8"/>
  <c r="L55" i="8"/>
  <c r="M55" i="8"/>
  <c r="F56" i="8"/>
  <c r="G56" i="8"/>
  <c r="H56" i="8"/>
  <c r="I56" i="8"/>
  <c r="J56" i="8"/>
  <c r="K56" i="8"/>
  <c r="L56" i="8"/>
  <c r="M56" i="8"/>
  <c r="F59" i="8"/>
  <c r="G59" i="8"/>
  <c r="H59" i="8"/>
  <c r="I59" i="8"/>
  <c r="L59" i="8"/>
  <c r="M59" i="8"/>
  <c r="F60" i="8"/>
  <c r="G60" i="8"/>
  <c r="H60" i="8"/>
  <c r="I60" i="8"/>
  <c r="L60" i="8"/>
  <c r="M60" i="8"/>
  <c r="F61" i="8"/>
  <c r="G61" i="8"/>
  <c r="H61" i="8"/>
  <c r="I61" i="8"/>
  <c r="J61" i="8"/>
  <c r="K61" i="8"/>
  <c r="L61" i="8"/>
  <c r="M61" i="8"/>
  <c r="F64" i="8"/>
  <c r="G64" i="8"/>
  <c r="H64" i="8"/>
  <c r="I64" i="8"/>
  <c r="L64" i="8"/>
  <c r="M64" i="8"/>
  <c r="F65" i="8"/>
  <c r="G65" i="8"/>
  <c r="H65" i="8"/>
  <c r="I65" i="8"/>
  <c r="L65" i="8"/>
  <c r="M65" i="8"/>
  <c r="F66" i="8"/>
  <c r="G66" i="8"/>
  <c r="H66" i="8"/>
  <c r="I66" i="8"/>
  <c r="J66" i="8"/>
  <c r="K66" i="8"/>
  <c r="L66" i="8"/>
  <c r="M66" i="8"/>
  <c r="L69" i="8"/>
  <c r="M69" i="8"/>
  <c r="F70" i="8"/>
  <c r="G70" i="8"/>
  <c r="H70" i="8"/>
  <c r="I70" i="8"/>
  <c r="L70" i="8"/>
  <c r="M70" i="8"/>
  <c r="F71" i="8"/>
  <c r="G71" i="8"/>
  <c r="H71" i="8"/>
  <c r="I71" i="8"/>
  <c r="L71" i="8"/>
  <c r="M71" i="8"/>
  <c r="F72" i="8"/>
  <c r="G72" i="8"/>
  <c r="H72" i="8"/>
  <c r="I72" i="8"/>
  <c r="J72" i="8"/>
  <c r="K72" i="8"/>
  <c r="L72" i="8"/>
  <c r="M72" i="8"/>
  <c r="F73" i="8"/>
  <c r="G73" i="8"/>
  <c r="H73" i="8"/>
  <c r="I73" i="8"/>
  <c r="L73" i="8"/>
  <c r="M73" i="8"/>
  <c r="F74" i="8"/>
  <c r="G74" i="8"/>
  <c r="H74" i="8"/>
  <c r="I74" i="8"/>
  <c r="L74" i="8"/>
  <c r="M74" i="8"/>
  <c r="F75" i="8"/>
  <c r="G75" i="8"/>
  <c r="H75" i="8"/>
  <c r="I75" i="8"/>
  <c r="L75" i="8"/>
  <c r="M75" i="8"/>
  <c r="F76" i="8"/>
  <c r="G76" i="8"/>
  <c r="H76" i="8"/>
  <c r="I76" i="8"/>
  <c r="L76" i="8"/>
  <c r="M76" i="8"/>
  <c r="F77" i="8"/>
  <c r="G77" i="8"/>
  <c r="H77" i="8"/>
  <c r="I77" i="8"/>
  <c r="L77" i="8"/>
  <c r="M77" i="8"/>
  <c r="F78" i="8"/>
  <c r="G78" i="8"/>
  <c r="H78" i="8"/>
  <c r="I78" i="8"/>
  <c r="L78" i="8"/>
  <c r="M78" i="8"/>
  <c r="F79" i="8"/>
  <c r="G79" i="8"/>
  <c r="H79" i="8"/>
  <c r="I79" i="8"/>
  <c r="L79" i="8"/>
  <c r="M79" i="8"/>
  <c r="F80" i="8"/>
  <c r="G80" i="8"/>
  <c r="H80" i="8"/>
  <c r="I80" i="8"/>
  <c r="L80" i="8"/>
  <c r="M80" i="8"/>
  <c r="F81" i="8"/>
  <c r="G81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C14" i="4"/>
  <c r="E14" i="4"/>
  <c r="H14" i="4"/>
  <c r="B15" i="4"/>
  <c r="C15" i="4"/>
  <c r="D15" i="4"/>
  <c r="E15" i="4"/>
  <c r="F15" i="4"/>
  <c r="G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H31" i="4"/>
  <c r="B32" i="4"/>
  <c r="C32" i="4"/>
  <c r="D32" i="4"/>
  <c r="E32" i="4"/>
  <c r="F32" i="4"/>
  <c r="G32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H11" i="55"/>
  <c r="I11" i="55"/>
  <c r="J11" i="55"/>
  <c r="K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H12" i="55"/>
  <c r="I12" i="55"/>
  <c r="J12" i="55"/>
  <c r="K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H15" i="55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H19" i="55"/>
  <c r="I19" i="55"/>
  <c r="J19" i="55"/>
  <c r="K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H20" i="55"/>
  <c r="I20" i="55"/>
  <c r="J20" i="55"/>
  <c r="K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H22" i="55"/>
  <c r="I22" i="55"/>
  <c r="J22" i="55"/>
  <c r="K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H34" i="55"/>
  <c r="I34" i="55"/>
  <c r="J34" i="55"/>
  <c r="K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H35" i="55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H39" i="55"/>
  <c r="I39" i="55"/>
  <c r="J39" i="55"/>
  <c r="K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H40" i="55"/>
  <c r="I40" i="55"/>
  <c r="J40" i="55"/>
  <c r="K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H41" i="55"/>
  <c r="I41" i="55"/>
  <c r="J41" i="55"/>
  <c r="K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H45" i="55"/>
  <c r="I45" i="55"/>
  <c r="J45" i="55"/>
  <c r="K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H54" i="55"/>
  <c r="I54" i="55"/>
  <c r="J54" i="55"/>
  <c r="K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H55" i="55"/>
  <c r="I55" i="55"/>
  <c r="J55" i="55"/>
  <c r="K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H59" i="55"/>
  <c r="I59" i="55"/>
  <c r="J59" i="55"/>
  <c r="K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H60" i="55"/>
  <c r="I60" i="55"/>
  <c r="J60" i="55"/>
  <c r="K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H64" i="55"/>
  <c r="I64" i="55"/>
  <c r="J64" i="55"/>
  <c r="K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H65" i="55"/>
  <c r="I65" i="55"/>
  <c r="J65" i="55"/>
  <c r="K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H70" i="55"/>
  <c r="I70" i="55"/>
  <c r="J70" i="55"/>
  <c r="K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H71" i="55"/>
  <c r="I71" i="55"/>
  <c r="J71" i="55"/>
  <c r="K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H73" i="55"/>
  <c r="I73" i="55"/>
  <c r="J73" i="55"/>
  <c r="K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H74" i="55"/>
  <c r="I74" i="55"/>
  <c r="J74" i="55"/>
  <c r="K74" i="55"/>
  <c r="L74" i="55"/>
  <c r="M74" i="55"/>
  <c r="N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H76" i="55"/>
  <c r="I76" i="55"/>
  <c r="J76" i="55"/>
  <c r="K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H78" i="55"/>
  <c r="I78" i="55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H80" i="55"/>
  <c r="I80" i="55"/>
  <c r="J80" i="55"/>
  <c r="K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A5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H20" i="21"/>
  <c r="I20" i="21"/>
  <c r="J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A5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H45" i="23"/>
  <c r="I45" i="23"/>
  <c r="J45" i="23"/>
  <c r="K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H55" i="23"/>
  <c r="I55" i="23"/>
  <c r="J55" i="23"/>
  <c r="K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H59" i="23"/>
  <c r="I59" i="23"/>
  <c r="J59" i="23"/>
  <c r="K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H60" i="23"/>
  <c r="I60" i="23"/>
  <c r="J60" i="23"/>
  <c r="K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H70" i="23"/>
  <c r="I70" i="23"/>
  <c r="J70" i="23"/>
  <c r="K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H74" i="23"/>
  <c r="I74" i="23"/>
  <c r="J74" i="23"/>
  <c r="K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H75" i="23"/>
  <c r="I75" i="23"/>
  <c r="J75" i="23"/>
  <c r="K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H78" i="23"/>
  <c r="I78" i="23"/>
  <c r="J78" i="23"/>
  <c r="K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H79" i="23"/>
  <c r="I79" i="23"/>
  <c r="J79" i="23"/>
  <c r="K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H80" i="23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H81" i="23"/>
  <c r="I81" i="23"/>
  <c r="J81" i="23"/>
  <c r="K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I11" i="6"/>
  <c r="AG11" i="6"/>
  <c r="D12" i="6"/>
  <c r="E12" i="6"/>
  <c r="W12" i="6"/>
  <c r="D13" i="6"/>
  <c r="E13" i="6"/>
  <c r="D14" i="6"/>
  <c r="E14" i="6"/>
  <c r="D15" i="6"/>
  <c r="E15" i="6"/>
  <c r="I15" i="6"/>
  <c r="W15" i="6"/>
  <c r="AG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D19" i="6"/>
  <c r="E19" i="6"/>
  <c r="I19" i="6"/>
  <c r="D20" i="6"/>
  <c r="E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E27" i="6"/>
  <c r="D28" i="6"/>
  <c r="E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D32" i="6"/>
  <c r="E32" i="6"/>
  <c r="D33" i="6"/>
  <c r="E33" i="6"/>
  <c r="D34" i="6"/>
  <c r="E34" i="6"/>
  <c r="D35" i="6"/>
  <c r="E35" i="6"/>
  <c r="I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W39" i="6"/>
  <c r="D40" i="6"/>
  <c r="E40" i="6"/>
  <c r="AG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D45" i="6"/>
  <c r="E45" i="6"/>
  <c r="D47" i="6"/>
  <c r="E47" i="6"/>
  <c r="D49" i="6"/>
  <c r="E49" i="6"/>
  <c r="D51" i="6"/>
  <c r="E51" i="6"/>
  <c r="D54" i="6"/>
  <c r="E54" i="6"/>
  <c r="I54" i="6"/>
  <c r="AG54" i="6"/>
  <c r="D55" i="6"/>
  <c r="E55" i="6"/>
  <c r="I55" i="6"/>
  <c r="AG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E74" i="6"/>
  <c r="G74" i="6"/>
  <c r="I74" i="6"/>
  <c r="W74" i="6"/>
  <c r="Y74" i="6"/>
  <c r="AA74" i="6"/>
  <c r="AC74" i="6"/>
  <c r="D75" i="6"/>
  <c r="E75" i="6"/>
  <c r="D76" i="6"/>
  <c r="E76" i="6"/>
  <c r="D77" i="6"/>
  <c r="E77" i="6"/>
  <c r="W77" i="6"/>
  <c r="D78" i="6"/>
  <c r="E78" i="6"/>
  <c r="D79" i="6"/>
  <c r="E79" i="6"/>
  <c r="D80" i="6"/>
  <c r="E80" i="6"/>
  <c r="D81" i="6"/>
  <c r="E81" i="6"/>
  <c r="I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5" i="54"/>
  <c r="D11" i="54"/>
  <c r="E11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H12" i="54"/>
  <c r="I12" i="54"/>
  <c r="J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H14" i="54"/>
  <c r="I14" i="54"/>
  <c r="J14" i="54"/>
  <c r="K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H15" i="54"/>
  <c r="I15" i="54"/>
  <c r="J15" i="54"/>
  <c r="K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H27" i="54"/>
  <c r="I27" i="54"/>
  <c r="J27" i="54"/>
  <c r="K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H28" i="54"/>
  <c r="I28" i="54"/>
  <c r="J28" i="54"/>
  <c r="K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H35" i="54"/>
  <c r="I35" i="54"/>
  <c r="J35" i="54"/>
  <c r="K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H40" i="54"/>
  <c r="I40" i="54"/>
  <c r="J40" i="54"/>
  <c r="K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H41" i="54"/>
  <c r="I41" i="54"/>
  <c r="J41" i="54"/>
  <c r="K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H64" i="54"/>
  <c r="I64" i="54"/>
  <c r="J64" i="54"/>
  <c r="K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H65" i="54"/>
  <c r="I65" i="54"/>
  <c r="J65" i="54"/>
  <c r="K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H74" i="54"/>
  <c r="I74" i="54"/>
  <c r="J74" i="54"/>
  <c r="K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H75" i="54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H77" i="54"/>
  <c r="I77" i="54"/>
  <c r="J77" i="54"/>
  <c r="K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H79" i="54"/>
  <c r="I79" i="54"/>
  <c r="J79" i="54"/>
  <c r="K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E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D86" i="7"/>
  <c r="E86" i="7"/>
  <c r="D87" i="7"/>
  <c r="E87" i="7"/>
  <c r="Z87" i="7"/>
  <c r="D88" i="7"/>
  <c r="E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E96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H20" i="25"/>
  <c r="I20" i="25"/>
  <c r="J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H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H27" i="46"/>
  <c r="I27" i="46"/>
  <c r="J27" i="46"/>
  <c r="K27" i="46"/>
  <c r="L27" i="46"/>
  <c r="M27" i="46"/>
  <c r="D28" i="46"/>
  <c r="E28" i="46"/>
  <c r="F28" i="46"/>
  <c r="G28" i="46"/>
  <c r="O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I60" i="46"/>
  <c r="O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O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M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N89" i="46"/>
  <c r="O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H20" i="28"/>
  <c r="I20" i="28"/>
  <c r="J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H40" i="28"/>
  <c r="I40" i="28"/>
  <c r="J40" i="28"/>
  <c r="K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H54" i="28"/>
  <c r="I54" i="28"/>
  <c r="J54" i="28"/>
  <c r="K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H55" i="28"/>
  <c r="I55" i="28"/>
  <c r="J55" i="28"/>
  <c r="K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H60" i="28"/>
  <c r="I60" i="28"/>
  <c r="J60" i="28"/>
  <c r="K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H64" i="28"/>
  <c r="I64" i="28"/>
  <c r="J64" i="28"/>
  <c r="K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H65" i="28"/>
  <c r="I65" i="28"/>
  <c r="J65" i="28"/>
  <c r="K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H70" i="28"/>
  <c r="I70" i="28"/>
  <c r="J70" i="28"/>
  <c r="K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H71" i="28"/>
  <c r="I71" i="28"/>
  <c r="J71" i="28"/>
  <c r="K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H76" i="28"/>
  <c r="I76" i="28"/>
  <c r="J76" i="28"/>
  <c r="K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H78" i="28"/>
  <c r="I78" i="28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1069500 is Devon Energy N75151.1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3058 is deal N70012.F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3/00 per roar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Savanah Foods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4177 is columbia gas
3305 is Dayton
1370 is TVSG
3043 is Entergy
6056 offsets reclass from STG BOOK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 Energy; Public Utilities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IM deals E07001.A and EK1331.3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13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Intra - Tx Deal N66370.1</t>
        </r>
      </text>
    </commen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Transport Desk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remove Liq PMA incorrectly included in Feb column
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<sst xmlns="http://schemas.openxmlformats.org/spreadsheetml/2006/main" count="6587" uniqueCount="222">
  <si>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</si>
  <si>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</si>
  <si>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</si>
  <si>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</si>
  <si>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</si>
  <si>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</si>
  <si>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</si>
  <si>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</si>
  <si>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</si>
  <si>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</si>
  <si>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</si>
  <si>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</si>
  <si>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</si>
  <si>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</si>
  <si>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</si>
  <si>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</si>
  <si>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</si>
  <si>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</si>
  <si>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</si>
  <si>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</si>
  <si>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</si>
  <si>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</si>
  <si>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</si>
  <si>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</si>
  <si>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</si>
  <si>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</si>
  <si>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</si>
  <si>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</si>
  <si>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</si>
  <si>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</si>
  <si>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</si>
  <si>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</si>
  <si>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</si>
  <si>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</si>
  <si>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</si>
  <si>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</si>
  <si>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</si>
  <si>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</si>
  <si>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</si>
  <si>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</si>
  <si>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</si>
  <si>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</si>
  <si>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</si>
  <si>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</si>
  <si>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</si>
  <si>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</si>
  <si>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</si>
  <si>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</si>
  <si>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</si>
  <si>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</si>
  <si>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</si>
  <si>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</si>
  <si>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</si>
  <si>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</si>
  <si>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</si>
  <si>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</si>
  <si>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</si>
  <si>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</si>
  <si>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</si>
  <si>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</si>
  <si>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</si>
  <si>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</si>
  <si>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</si>
  <si>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</si>
  <si>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</si>
  <si>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</si>
  <si>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</si>
  <si>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</si>
  <si>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</si>
  <si>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</si>
  <si>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</si>
  <si>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</si>
  <si>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</si>
  <si>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</si>
  <si>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</si>
  <si>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</si>
  <si>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</si>
  <si>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</si>
  <si>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</si>
  <si>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</si>
  <si>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</si>
  <si>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</si>
  <si>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</si>
  <si>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</si>
  <si>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</si>
  <si>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</si>
  <si>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</si>
  <si>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</si>
  <si>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</si>
  <si>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</si>
  <si>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</si>
  <si>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</si>
  <si>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</si>
  <si>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</si>
  <si>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</si>
  <si>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</si>
  <si>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</si>
  <si>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</si>
  <si>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</si>
  <si>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</si>
  <si>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</si>
  <si>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</si>
  <si>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</si>
  <si>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</si>
  <si>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</si>
  <si>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</si>
  <si>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</si>
  <si>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</si>
  <si>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</si>
  <si>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</si>
  <si>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</si>
  <si>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</si>
  <si>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</si>
  <si>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</si>
  <si>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</si>
  <si>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</si>
  <si>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</si>
  <si>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</si>
  <si>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</si>
  <si>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</si>
  <si>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</si>
  <si>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</si>
  <si>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</si>
  <si>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</si>
  <si>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</si>
  <si>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</si>
  <si>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</si>
  <si>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</si>
  <si>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</si>
  <si>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</si>
  <si>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</si>
  <si>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</si>
  <si>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</si>
  <si>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</si>
  <si>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</si>
  <si>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</si>
  <si>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</si>
  <si>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</si>
  <si>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</si>
  <si>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</si>
  <si>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</si>
  <si>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</si>
  <si>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</si>
  <si>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</si>
  <si>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</si>
  <si>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</si>
  <si>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</si>
  <si>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</si>
  <si>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</si>
  <si>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</si>
  <si>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</si>
  <si>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</si>
  <si>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</si>
  <si>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</si>
  <si>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</si>
  <si>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</si>
  <si>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</si>
  <si>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</si>
  <si>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</si>
  <si>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</si>
  <si>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</si>
  <si>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</si>
  <si>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</si>
  <si>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</si>
  <si>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</si>
  <si>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</si>
  <si>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</si>
  <si>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</si>
  <si>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</si>
  <si>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</si>
  <si>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</si>
  <si>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</si>
  <si>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</si>
  <si>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</si>
  <si>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</si>
  <si>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</si>
  <si>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</si>
  <si>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</si>
  <si>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</si>
  <si>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</si>
  <si>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</si>
  <si>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</si>
  <si>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</si>
  <si>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</si>
  <si>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</si>
  <si>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</si>
  <si>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</si>
  <si>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</si>
  <si>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</si>
  <si>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</si>
  <si>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</si>
  <si>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</si>
  <si>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</si>
  <si>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</si>
  <si>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</si>
  <si>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</si>
  <si>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</si>
  <si>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</si>
  <si>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</si>
  <si>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</si>
  <si>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</si>
  <si>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</si>
  <si>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</si>
  <si>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</si>
  <si>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</si>
  <si>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</si>
  <si>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</si>
  <si>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</si>
  <si>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</si>
  <si>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</si>
  <si>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</si>
  <si>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</si>
  <si>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</si>
  <si>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</si>
  <si>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</si>
  <si>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</si>
  <si>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PRODUCTION MONTH: 0001</t>
  </si>
  <si>
    <t>0001V</t>
  </si>
  <si>
    <t>0001A</t>
  </si>
  <si>
    <t>February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</si>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</sst>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7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32FC7700-D1FF-17A1-6089-765989FECC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CA9E19D-F011-637F-F66C-030CB06D2B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D62CAF22-1AE0-E2CB-6FA6-B12057B07C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2D0179DA-598D-4F89-519C-41D20A14E8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5346C41C-945B-9929-739E-05CD82307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F03DE7DB-D1E9-8396-56D5-E71393FB41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E9E867C7-34AF-463D-9F57-AE10A7CF8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21AE6BFA-C240-6738-8526-02B687663D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1F05D00F-372A-A62B-67C3-048FB8F22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55315425-AEE5-700B-E235-4D5E4A6C2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F81565E4-9B1B-1F9E-50AC-1A3EC78EE9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7">
          <cell r="G57">
            <v>5584978.2899999991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5">
          <cell r="B5">
            <v>3222000</v>
          </cell>
          <cell r="C5">
            <v>7551000</v>
          </cell>
          <cell r="D5">
            <v>-3743000</v>
          </cell>
          <cell r="E5">
            <v>478000</v>
          </cell>
          <cell r="G5">
            <v>3474000</v>
          </cell>
          <cell r="H5">
            <v>2827000</v>
          </cell>
          <cell r="I5">
            <v>-4000</v>
          </cell>
          <cell r="J5">
            <v>-56000</v>
          </cell>
          <cell r="K5">
            <v>532000</v>
          </cell>
          <cell r="L5">
            <v>6042000</v>
          </cell>
          <cell r="M5">
            <v>2719000</v>
          </cell>
          <cell r="N5">
            <v>119000</v>
          </cell>
          <cell r="O5">
            <v>666000</v>
          </cell>
          <cell r="P5">
            <v>-245000</v>
          </cell>
          <cell r="Q5">
            <v>-442000</v>
          </cell>
          <cell r="R5">
            <v>-63000</v>
          </cell>
          <cell r="S5">
            <v>-223000</v>
          </cell>
          <cell r="U5">
            <v>22854000</v>
          </cell>
        </row>
        <row r="22">
          <cell r="U22">
            <v>-3636627</v>
          </cell>
        </row>
        <row r="39">
          <cell r="B39">
            <v>3604127</v>
          </cell>
          <cell r="C39">
            <v>6985533</v>
          </cell>
          <cell r="D39">
            <v>-3743000</v>
          </cell>
          <cell r="E39">
            <v>478000</v>
          </cell>
          <cell r="G39">
            <v>3401333</v>
          </cell>
          <cell r="H39">
            <v>3136758</v>
          </cell>
          <cell r="I39">
            <v>-4000</v>
          </cell>
          <cell r="J39">
            <v>-56000</v>
          </cell>
          <cell r="K39">
            <v>532000</v>
          </cell>
          <cell r="L39">
            <v>2949291</v>
          </cell>
          <cell r="M39">
            <v>1918643</v>
          </cell>
          <cell r="N39">
            <v>271898</v>
          </cell>
          <cell r="O39">
            <v>596521</v>
          </cell>
          <cell r="P39">
            <v>-245000</v>
          </cell>
          <cell r="Q39">
            <v>-401363</v>
          </cell>
          <cell r="R39">
            <v>-63000</v>
          </cell>
          <cell r="S39">
            <v>-144368</v>
          </cell>
          <cell r="U39">
            <v>19217373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486237746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1159937374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474928725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1135833469.6200001</v>
      </c>
      <c r="H11" s="60">
        <f>F11-D11</f>
        <v>-11309021</v>
      </c>
      <c r="I11" s="38">
        <f>G11-E11</f>
        <v>-24103904.379999876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4964602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1392256.64</v>
      </c>
      <c r="H12" s="60">
        <f>F12-D12</f>
        <v>0</v>
      </c>
      <c r="I12" s="38">
        <f>G12-E12</f>
        <v>-3572345.3600000003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232351716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646377598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68058869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176049473</v>
      </c>
      <c r="H13" s="60">
        <f t="shared" ref="H13:I15" si="0">F13-D13</f>
        <v>-164292847</v>
      </c>
      <c r="I13" s="38">
        <f t="shared" si="0"/>
        <v>-470328125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10610859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25980515.950000003</v>
      </c>
      <c r="H15" s="60">
        <f t="shared" si="0"/>
        <v>0</v>
      </c>
      <c r="I15" s="38">
        <f t="shared" si="0"/>
        <v>15369656.950000003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718589462</v>
      </c>
      <c r="E16" s="39">
        <f t="shared" si="1"/>
        <v>1821889937</v>
      </c>
      <c r="F16" s="61">
        <f t="shared" si="1"/>
        <v>542987594</v>
      </c>
      <c r="G16" s="39">
        <f t="shared" si="1"/>
        <v>1339255715.2100003</v>
      </c>
      <c r="H16" s="61">
        <f t="shared" si="1"/>
        <v>-175601868</v>
      </c>
      <c r="I16" s="39">
        <f t="shared" si="1"/>
        <v>-482634221.7899999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-460693163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-1090477961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-450470529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-1050970027.1500001</v>
      </c>
      <c r="H19" s="60">
        <f>F19-D19</f>
        <v>10222634</v>
      </c>
      <c r="I19" s="38">
        <f>G19-E19</f>
        <v>39507933.849999905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-12780415.889999999</v>
      </c>
      <c r="H20" s="60">
        <f>F20-D20</f>
        <v>0</v>
      </c>
      <c r="I20" s="38">
        <f>G20-E20</f>
        <v>-12780415.889999999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-233178536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-647885082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-68058869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-172508002</v>
      </c>
      <c r="H21" s="60">
        <f t="shared" ref="H21:I23" si="2">F21-D21</f>
        <v>165119667</v>
      </c>
      <c r="I21" s="38">
        <f t="shared" si="2"/>
        <v>475377080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2677044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6717034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3024744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6912400.7079999996</v>
      </c>
      <c r="H23" s="60">
        <f t="shared" si="2"/>
        <v>347700</v>
      </c>
      <c r="I23" s="38">
        <f t="shared" si="2"/>
        <v>195366.70799999963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-691194655</v>
      </c>
      <c r="E24" s="39">
        <f t="shared" si="3"/>
        <v>-1731646009</v>
      </c>
      <c r="F24" s="61">
        <f t="shared" si="3"/>
        <v>-515504654</v>
      </c>
      <c r="G24" s="39">
        <f t="shared" si="3"/>
        <v>-1229346044.332</v>
      </c>
      <c r="H24" s="61">
        <f t="shared" si="3"/>
        <v>175690001</v>
      </c>
      <c r="I24" s="39">
        <f t="shared" si="3"/>
        <v>502299964.66799992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91862022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215996358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47244260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111387087.31999999</v>
      </c>
      <c r="H27" s="60">
        <f>F27-D27</f>
        <v>-44617762</v>
      </c>
      <c r="I27" s="38">
        <f>G27-E27</f>
        <v>-104609270.68000001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-91086157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-214181338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-47190641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-111230569.86000001</v>
      </c>
      <c r="H28" s="60">
        <f>F28-D28</f>
        <v>43895516</v>
      </c>
      <c r="I28" s="38">
        <f>G28-E28</f>
        <v>102950768.13999999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53619</v>
      </c>
      <c r="G29" s="70">
        <f t="shared" si="4"/>
        <v>156517.45999997854</v>
      </c>
      <c r="H29" s="69">
        <f t="shared" si="4"/>
        <v>-722246</v>
      </c>
      <c r="I29" s="70">
        <f t="shared" si="4"/>
        <v>-1658502.5400000215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-2137343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-5208429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-1160371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-2394839.0429999987</v>
      </c>
      <c r="H32" s="60">
        <f>F32-D32</f>
        <v>976972</v>
      </c>
      <c r="I32" s="38">
        <f>G32-E32</f>
        <v>2813589.9570000013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407133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929952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-3190136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-2410591.61</v>
      </c>
      <c r="H33" s="60">
        <f t="shared" ref="H33:I35" si="5">F33-D33</f>
        <v>-3597269</v>
      </c>
      <c r="I33" s="38">
        <f t="shared" si="5"/>
        <v>-3340543.61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-816595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-1863552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2593850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1174897.73</v>
      </c>
      <c r="H34" s="60">
        <f t="shared" si="5"/>
        <v>3410445</v>
      </c>
      <c r="I34" s="38">
        <f t="shared" si="5"/>
        <v>3038449.73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-523483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-1291028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-1520039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-4708067.01</v>
      </c>
      <c r="H35" s="60">
        <f t="shared" si="5"/>
        <v>-996556</v>
      </c>
      <c r="I35" s="38">
        <f t="shared" si="5"/>
        <v>-3417039.01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-3070288</v>
      </c>
      <c r="E36" s="39">
        <f t="shared" si="6"/>
        <v>-7433057</v>
      </c>
      <c r="F36" s="61">
        <f t="shared" si="6"/>
        <v>-3276696</v>
      </c>
      <c r="G36" s="39">
        <f t="shared" si="6"/>
        <v>-8338599.9329999983</v>
      </c>
      <c r="H36" s="61">
        <f t="shared" si="6"/>
        <v>-206408</v>
      </c>
      <c r="I36" s="39">
        <f t="shared" si="6"/>
        <v>-905542.93299999833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12448344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30327462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1493677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3099186.3800000004</v>
      </c>
      <c r="H39" s="60">
        <f t="shared" ref="H39:I41" si="7">F39-D39</f>
        <v>-10954667</v>
      </c>
      <c r="I39" s="38">
        <f t="shared" si="7"/>
        <v>-27228275.620000001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-38681888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-73128924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-26439012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-41916069.829999998</v>
      </c>
      <c r="H40" s="60">
        <f t="shared" si="7"/>
        <v>12242876</v>
      </c>
      <c r="I40" s="38">
        <f t="shared" si="7"/>
        <v>31212854.170000002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-38681888</v>
      </c>
      <c r="E42" s="70">
        <f t="shared" si="8"/>
        <v>-73128924</v>
      </c>
      <c r="F42" s="69">
        <f t="shared" si="8"/>
        <v>-26439012</v>
      </c>
      <c r="G42" s="70">
        <f t="shared" si="8"/>
        <v>-41916069.829999998</v>
      </c>
      <c r="H42" s="69">
        <f t="shared" si="8"/>
        <v>12242876</v>
      </c>
      <c r="I42" s="70">
        <f t="shared" si="8"/>
        <v>31212854.170000002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-26233544</v>
      </c>
      <c r="E43" s="39">
        <f t="shared" si="9"/>
        <v>-42801462</v>
      </c>
      <c r="F43" s="61">
        <f t="shared" si="9"/>
        <v>-24945335</v>
      </c>
      <c r="G43" s="39">
        <f t="shared" si="9"/>
        <v>-38816883.449999996</v>
      </c>
      <c r="H43" s="61">
        <f t="shared" si="9"/>
        <v>1288209</v>
      </c>
      <c r="I43" s="39">
        <f t="shared" si="9"/>
        <v>3984578.5500000007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4326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1133160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2954769.3072397043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681146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2279517.4720000024</v>
      </c>
      <c r="H49" s="60">
        <f>F49-D49</f>
        <v>-452014</v>
      </c>
      <c r="I49" s="38">
        <f>G49-E49</f>
        <v>-675251.8352397019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-2663681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-6685586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-3106658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-7087298.1880000001</v>
      </c>
      <c r="H51" s="60">
        <f>F51-D51</f>
        <v>-442977</v>
      </c>
      <c r="I51" s="38">
        <f>G51-E51</f>
        <v>-401712.18800000008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-4906493.05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-283990546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-7368244.4799999995</v>
      </c>
      <c r="H54" s="60">
        <f>F54-D54</f>
        <v>-283990546</v>
      </c>
      <c r="I54" s="38">
        <f>G54-E54</f>
        <v>-2461751.4299999997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16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-15953698.539999999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-28947949.920000002</v>
      </c>
      <c r="H55" s="60">
        <f>F55-D55</f>
        <v>-16</v>
      </c>
      <c r="I55" s="38">
        <f>G55-E55</f>
        <v>-12994251.380000003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-20860191.59</v>
      </c>
      <c r="F56" s="61">
        <f t="shared" si="10"/>
        <v>-283990546</v>
      </c>
      <c r="G56" s="39">
        <f t="shared" si="10"/>
        <v>-36316194.399999999</v>
      </c>
      <c r="H56" s="61">
        <f t="shared" si="10"/>
        <v>-283990562</v>
      </c>
      <c r="I56" s="39">
        <f t="shared" si="10"/>
        <v>-15456002.810000002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2838395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-65989.340000000011</v>
      </c>
      <c r="H59" s="60">
        <f>F59-D59</f>
        <v>2838395</v>
      </c>
      <c r="I59" s="38">
        <f>G59-E59</f>
        <v>-65989.340000000011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954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211274</v>
      </c>
      <c r="H60" s="60">
        <f>F60-D60</f>
        <v>954</v>
      </c>
      <c r="I60" s="38">
        <f>G60-E60</f>
        <v>161274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2839349</v>
      </c>
      <c r="G61" s="70">
        <f t="shared" si="11"/>
        <v>145284.65999999997</v>
      </c>
      <c r="H61" s="69">
        <f t="shared" si="11"/>
        <v>2839349</v>
      </c>
      <c r="I61" s="70">
        <f t="shared" si="11"/>
        <v>95284.659999999989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55220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-24119525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-2912497</v>
      </c>
      <c r="H64" s="60">
        <f>F64-D64</f>
        <v>-24119525</v>
      </c>
      <c r="I64" s="38">
        <f>G64-E64</f>
        <v>-2967717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24119525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2911525.15</v>
      </c>
      <c r="H65" s="60">
        <f>F65-D65</f>
        <v>24119525</v>
      </c>
      <c r="I65" s="38">
        <f>G65-E65</f>
        <v>2911525.15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-971.85000000009313</v>
      </c>
      <c r="H66" s="61">
        <f t="shared" si="12"/>
        <v>0</v>
      </c>
      <c r="I66" s="39">
        <f t="shared" si="12"/>
        <v>-56191.850000000093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40326779.789599083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34984252.850000001</v>
      </c>
      <c r="H70" s="60">
        <f>F70-D70</f>
        <v>0</v>
      </c>
      <c r="I70" s="38">
        <f>G70-E70</f>
        <v>-5342526.9395990819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-29499400.814000003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-24156871.739999998</v>
      </c>
      <c r="H71" s="60">
        <f>F71-D71</f>
        <v>0</v>
      </c>
      <c r="I71" s="38">
        <f>G71-E71</f>
        <v>5342529.0740000047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10827378.97559908</v>
      </c>
      <c r="F72" s="69">
        <f t="shared" si="13"/>
        <v>0</v>
      </c>
      <c r="G72" s="70">
        <f t="shared" si="13"/>
        <v>10827381.110000003</v>
      </c>
      <c r="H72" s="69">
        <f t="shared" si="13"/>
        <v>0</v>
      </c>
      <c r="I72" s="70">
        <f t="shared" si="13"/>
        <v>2.1344009228050709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-281</v>
      </c>
      <c r="H73" s="60">
        <f>F73-D73</f>
        <v>0</v>
      </c>
      <c r="I73" s="38">
        <f>G73-E73</f>
        <v>-281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-3542321.2492999989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-7061193.2300000014</v>
      </c>
      <c r="H74" s="60">
        <f t="shared" ref="H74:I79" si="14">F74-D74</f>
        <v>0</v>
      </c>
      <c r="I74" s="38">
        <f t="shared" si="14"/>
        <v>-3518871.9807000025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733260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747400</v>
      </c>
      <c r="H75" s="60">
        <f t="shared" si="14"/>
        <v>0</v>
      </c>
      <c r="I75" s="38">
        <f t="shared" si="14"/>
        <v>14140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-39855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-40522.85</v>
      </c>
      <c r="H76" s="60">
        <f t="shared" si="14"/>
        <v>0</v>
      </c>
      <c r="I76" s="38">
        <f t="shared" si="14"/>
        <v>-667.84999999999854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-4414536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-3133217</v>
      </c>
      <c r="H77" s="60">
        <f t="shared" si="14"/>
        <v>0</v>
      </c>
      <c r="I77" s="38">
        <f t="shared" si="14"/>
        <v>1281319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844523.94499999995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845279</v>
      </c>
      <c r="H78" s="60">
        <f t="shared" si="14"/>
        <v>0</v>
      </c>
      <c r="I78" s="38">
        <f t="shared" si="14"/>
        <v>755.05500000005122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708059.94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-798054.94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-455702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-98257</v>
      </c>
      <c r="H80" s="60">
        <f>F80-D80</f>
        <v>0</v>
      </c>
      <c r="I80" s="38">
        <f>G80-E80</f>
        <v>357445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282470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99288.45</v>
      </c>
      <c r="H81" s="60">
        <f>F81-D81</f>
        <v>0</v>
      </c>
      <c r="I81" s="38">
        <f>G81-E81</f>
        <v>-183181.55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22281919.328538742</v>
      </c>
      <c r="F82" s="91">
        <f>F16+F24+F29+F36+F43+F45+F47+F49</f>
        <v>0</v>
      </c>
      <c r="G82" s="92">
        <f>SUM(G72:G81)+G16+G24+G29+G36+G43+G45+G47+G49+G51+G56+G61+G66</f>
        <v>24140352.299000259</v>
      </c>
      <c r="H82" s="91">
        <f>H16+H24+H29+H36+H43+H45+H47+H49</f>
        <v>0</v>
      </c>
      <c r="I82" s="92">
        <f>SUM(I72:I81)+I16+I24+I29+I36+I43+I45+I47+I49+I51+I56+I61+I66</f>
        <v>1858432.9704612207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2816092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2819095.3200000003</v>
      </c>
      <c r="H86" s="145">
        <f t="shared" ref="H86:I88" si="15">F86-D86</f>
        <v>0</v>
      </c>
      <c r="I86" s="145">
        <f t="shared" si="15"/>
        <v>3003.320000000298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-9697</v>
      </c>
      <c r="H87" s="146">
        <f t="shared" si="15"/>
        <v>0</v>
      </c>
      <c r="I87" s="146">
        <f t="shared" si="15"/>
        <v>-9697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-2114953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-2147419</v>
      </c>
      <c r="H88" s="147">
        <f t="shared" si="15"/>
        <v>0</v>
      </c>
      <c r="I88" s="147">
        <f t="shared" si="15"/>
        <v>-32466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701139</v>
      </c>
      <c r="F89" s="160">
        <f t="shared" si="16"/>
        <v>0</v>
      </c>
      <c r="G89" s="160">
        <f t="shared" si="16"/>
        <v>661979.3200000003</v>
      </c>
      <c r="H89" s="160">
        <f t="shared" si="16"/>
        <v>0</v>
      </c>
      <c r="I89" s="160">
        <f t="shared" si="16"/>
        <v>-39159.679999999702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22983058.328538742</v>
      </c>
      <c r="F91" s="160">
        <f t="shared" si="17"/>
        <v>0</v>
      </c>
      <c r="G91" s="160">
        <f t="shared" si="17"/>
        <v>24802331.61900026</v>
      </c>
      <c r="H91" s="160">
        <f t="shared" si="17"/>
        <v>0</v>
      </c>
      <c r="I91" s="160">
        <f t="shared" si="17"/>
        <v>1819273.290461221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E16" activePane="bottomRight" state="frozen"/>
      <selection activeCell="D10" sqref="D10"/>
      <selection pane="topRight" activeCell="D10" sqref="D10"/>
      <selection pane="bottomLeft" activeCell="D10" sqref="D10"/>
      <selection pane="bottomRight" activeCell="G21" sqref="G21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216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3221380.6430000141</v>
      </c>
      <c r="C11" s="65">
        <f t="shared" ref="C11:C27" si="0">+D11-B11</f>
        <v>619.3569999858737</v>
      </c>
      <c r="D11" s="124">
        <f>+'[2]ST Warroom 99'!$B$5</f>
        <v>3222000</v>
      </c>
      <c r="E11" s="124">
        <f>+F11-D11</f>
        <v>382127</v>
      </c>
      <c r="F11" s="124">
        <f>+'[2]ST Warroom 99'!$B$39</f>
        <v>3604127</v>
      </c>
      <c r="G11" s="168">
        <f>CE_GL!$E$82</f>
        <v>7288462.9480000511</v>
      </c>
      <c r="H11" s="107">
        <f t="shared" ref="H11:H28" si="1">G11-F11</f>
        <v>3684335.9480000511</v>
      </c>
      <c r="I11" s="31"/>
      <c r="J11" s="31"/>
    </row>
    <row r="12" spans="1:10" x14ac:dyDescent="0.2">
      <c r="A12" s="101" t="s">
        <v>195</v>
      </c>
      <c r="B12" s="124">
        <f>'SITHE-FLSH'!$M$82</f>
        <v>271897.66353996878</v>
      </c>
      <c r="C12" s="65">
        <f>+D12-B12</f>
        <v>-152897.66353996878</v>
      </c>
      <c r="D12" s="124">
        <f>+'[2]ST Warroom 99'!$N$5</f>
        <v>119000</v>
      </c>
      <c r="E12" s="124">
        <f>+F12-D12</f>
        <v>152898</v>
      </c>
      <c r="F12" s="124">
        <f>+'[2]ST Warroom 99'!$N$39</f>
        <v>271898</v>
      </c>
      <c r="G12" s="168">
        <f>SITHE_GL!$E$82</f>
        <v>240369.44600000139</v>
      </c>
      <c r="H12" s="107">
        <f>G12-F12</f>
        <v>-31528.553999998607</v>
      </c>
      <c r="I12" s="31"/>
      <c r="J12" s="31"/>
    </row>
    <row r="13" spans="1:10" x14ac:dyDescent="0.2">
      <c r="A13" s="101" t="s">
        <v>189</v>
      </c>
      <c r="B13" s="124">
        <f>'ARUBA-FLSH'!$M$82</f>
        <v>-442333.36262470006</v>
      </c>
      <c r="C13" s="65">
        <f>+D13-B13</f>
        <v>333.36262470006477</v>
      </c>
      <c r="D13" s="124">
        <f>+'[2]ST Warroom 99'!$Q$5</f>
        <v>-442000</v>
      </c>
      <c r="E13" s="124">
        <f>+F13-D13</f>
        <v>40637</v>
      </c>
      <c r="F13" s="124">
        <f>+'[2]ST Warroom 99'!$Q$39</f>
        <v>-401363</v>
      </c>
      <c r="G13" s="168">
        <f>ARUBA_GL!$E$82</f>
        <v>-500590.88199999975</v>
      </c>
      <c r="H13" s="107">
        <f>G13-F13</f>
        <v>-99227.88199999975</v>
      </c>
      <c r="I13" s="31"/>
      <c r="J13" s="31"/>
    </row>
    <row r="14" spans="1:10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3">
        <f>'BGC-EGM-FLSH'!$M$82+'EAST-EGM-FLSH'!M82</f>
        <v>7528788.2751381285</v>
      </c>
      <c r="C15" s="65">
        <f t="shared" si="0"/>
        <v>22211.724861871451</v>
      </c>
      <c r="D15" s="123">
        <f>+'[2]ST Warroom 99'!$C$5</f>
        <v>7551000</v>
      </c>
      <c r="E15" s="124">
        <f t="shared" si="2"/>
        <v>-565467</v>
      </c>
      <c r="F15" s="123">
        <f>+'[2]ST Warroom 99'!$C$39</f>
        <v>6985533</v>
      </c>
      <c r="G15" s="168">
        <f>'BGC-EGM-GL'!$E$82+'EAST-EGM-GL'!E82</f>
        <v>2231167.6219999818</v>
      </c>
      <c r="H15" s="107">
        <f t="shared" si="1"/>
        <v>-4754365.3780000182</v>
      </c>
      <c r="I15" s="31"/>
      <c r="J15" s="31"/>
    </row>
    <row r="16" spans="1:10" x14ac:dyDescent="0.2">
      <c r="A16" s="101" t="s">
        <v>157</v>
      </c>
      <c r="B16" s="123">
        <f>'EAST-LRC-FLSH'!$M$82</f>
        <v>-3743312.0742380759</v>
      </c>
      <c r="C16" s="65">
        <f t="shared" si="0"/>
        <v>312.07423807587475</v>
      </c>
      <c r="D16" s="123">
        <f>+'[2]ST Warroom 99'!$D$5</f>
        <v>-3743000</v>
      </c>
      <c r="E16" s="124">
        <f t="shared" si="2"/>
        <v>0</v>
      </c>
      <c r="F16" s="123">
        <f>+'[2]ST Warroom 99'!$D$39</f>
        <v>-3743000</v>
      </c>
      <c r="G16" s="168">
        <f>'EAST-LRC-GL'!$E$82</f>
        <v>1288484.8459999976</v>
      </c>
      <c r="H16" s="107">
        <f t="shared" si="1"/>
        <v>5031484.8459999971</v>
      </c>
      <c r="I16" s="31"/>
      <c r="J16" s="31"/>
    </row>
    <row r="17" spans="1:10" x14ac:dyDescent="0.2">
      <c r="A17" s="101" t="s">
        <v>164</v>
      </c>
      <c r="B17" s="123">
        <f>+'EAST-EGM-FLSH'!M89</f>
        <v>477104</v>
      </c>
      <c r="C17" s="65">
        <f t="shared" si="0"/>
        <v>896</v>
      </c>
      <c r="D17" s="123">
        <f>+'[2]ST Warroom 99'!$E$5</f>
        <v>478000</v>
      </c>
      <c r="E17" s="124">
        <f t="shared" si="2"/>
        <v>0</v>
      </c>
      <c r="F17" s="123">
        <f>+'[2]ST Warroom 99'!$E$39</f>
        <v>478000</v>
      </c>
      <c r="G17" s="168">
        <f>+'EAST-EGM-GL'!E89</f>
        <v>477103</v>
      </c>
      <c r="H17" s="107">
        <f t="shared" si="1"/>
        <v>-897</v>
      </c>
      <c r="I17" s="31"/>
      <c r="J17" s="31"/>
    </row>
    <row r="18" spans="1:10" x14ac:dyDescent="0.2">
      <c r="A18" s="101" t="s">
        <v>16</v>
      </c>
      <c r="B18" s="123">
        <f>'TX-EGM-FLSH'!$M$82</f>
        <v>2827021.6329189576</v>
      </c>
      <c r="C18" s="65">
        <f t="shared" si="0"/>
        <v>-21.632918957620859</v>
      </c>
      <c r="D18" s="123">
        <f>+'[2]ST Warroom 99'!$H$5</f>
        <v>2827000</v>
      </c>
      <c r="E18" s="124">
        <f t="shared" si="2"/>
        <v>309758</v>
      </c>
      <c r="F18" s="123">
        <f>+'[2]ST Warroom 99'!$H$39</f>
        <v>3136758</v>
      </c>
      <c r="G18" s="168">
        <f>'TX-EGM-GL'!$E$91</f>
        <v>882218.84300000279</v>
      </c>
      <c r="H18" s="107">
        <f t="shared" si="1"/>
        <v>-2254539.1569999973</v>
      </c>
      <c r="I18" s="31"/>
      <c r="J18" s="31"/>
    </row>
    <row r="19" spans="1:10" x14ac:dyDescent="0.2">
      <c r="A19" s="101" t="s">
        <v>182</v>
      </c>
      <c r="B19" s="123">
        <f>'TX-HPLR-FLSH'!$M$82</f>
        <v>-4367.5629122105311</v>
      </c>
      <c r="C19" s="65">
        <f t="shared" si="0"/>
        <v>367.56291221053107</v>
      </c>
      <c r="D19" s="123">
        <f>+'[2]ST Warroom 99'!$I$5</f>
        <v>-4000</v>
      </c>
      <c r="E19" s="124">
        <f t="shared" si="2"/>
        <v>0</v>
      </c>
      <c r="F19" s="123">
        <f>+'[2]ST Warroom 99'!$I$39</f>
        <v>-4000</v>
      </c>
      <c r="G19" s="168">
        <f>'TX-HPLR-GL '!$E$82</f>
        <v>98133.360000000015</v>
      </c>
      <c r="H19" s="107">
        <f t="shared" si="1"/>
        <v>102133.36000000002</v>
      </c>
      <c r="I19" s="31"/>
      <c r="J19" s="31"/>
    </row>
    <row r="20" spans="1:10" x14ac:dyDescent="0.2">
      <c r="A20" s="101" t="s">
        <v>183</v>
      </c>
      <c r="B20" s="123">
        <f>'TX-HPLC-FLSH'!$M$82</f>
        <v>-55509.348336984171</v>
      </c>
      <c r="C20" s="65">
        <f t="shared" si="0"/>
        <v>-490.6516630158294</v>
      </c>
      <c r="D20" s="123">
        <f>+'[2]ST Warroom 99'!$J$5</f>
        <v>-56000</v>
      </c>
      <c r="E20" s="124">
        <f t="shared" si="2"/>
        <v>0</v>
      </c>
      <c r="F20" s="123">
        <f>+'[2]ST Warroom 99'!$J$39</f>
        <v>-56000</v>
      </c>
      <c r="G20" s="168">
        <f>'TX-HPLC-GL'!$E$82</f>
        <v>117847.01000000536</v>
      </c>
      <c r="H20" s="107">
        <f t="shared" si="1"/>
        <v>173847.01000000536</v>
      </c>
      <c r="I20" s="31"/>
      <c r="J20" s="31"/>
    </row>
    <row r="21" spans="1:10" x14ac:dyDescent="0.2">
      <c r="A21" s="101" t="s">
        <v>176</v>
      </c>
      <c r="B21" s="123">
        <f>'TX-EGM-FLSH'!$M$89</f>
        <v>532111</v>
      </c>
      <c r="C21" s="65">
        <f t="shared" si="0"/>
        <v>-111</v>
      </c>
      <c r="D21" s="60">
        <f>+'[2]ST Warroom 99'!$K$5</f>
        <v>532000</v>
      </c>
      <c r="E21" s="124">
        <f t="shared" si="2"/>
        <v>0</v>
      </c>
      <c r="F21" s="60">
        <f>+'[2]ST Warroom 99'!$K$39</f>
        <v>532000</v>
      </c>
      <c r="G21" s="168">
        <f>'TX-HPLC-GL'!$E$89</f>
        <v>531999.91000000015</v>
      </c>
      <c r="H21" s="107">
        <f t="shared" si="1"/>
        <v>-8.9999999850988388E-2</v>
      </c>
      <c r="I21" s="31"/>
      <c r="J21" s="31"/>
    </row>
    <row r="22" spans="1:10" x14ac:dyDescent="0.2">
      <c r="A22" s="101" t="s">
        <v>17</v>
      </c>
      <c r="B22" s="123">
        <f>'WE-FLSH'!$M$82</f>
        <v>6042496.219242271</v>
      </c>
      <c r="C22" s="65">
        <f t="shared" si="0"/>
        <v>-496.21924227103591</v>
      </c>
      <c r="D22" s="123">
        <f>+'[2]ST Warroom 99'!$L$5</f>
        <v>6042000</v>
      </c>
      <c r="E22" s="124">
        <f t="shared" si="2"/>
        <v>-3092709</v>
      </c>
      <c r="F22" s="123">
        <f>+'[2]ST Warroom 99'!$L$39</f>
        <v>2949291</v>
      </c>
      <c r="G22" s="168">
        <f>'WE-GL '!$E$82</f>
        <v>2637047.0920000458</v>
      </c>
      <c r="H22" s="107">
        <f t="shared" si="1"/>
        <v>-312243.90799995419</v>
      </c>
      <c r="I22" s="31"/>
      <c r="J22" s="31"/>
    </row>
    <row r="23" spans="1:10" x14ac:dyDescent="0.2">
      <c r="A23" s="101" t="s">
        <v>200</v>
      </c>
      <c r="B23" s="123">
        <f>'DEN-FLSH'!$M$82</f>
        <v>-223009.9902875796</v>
      </c>
      <c r="C23" s="65">
        <f>+D23-B23</f>
        <v>9.9902875795960426</v>
      </c>
      <c r="D23" s="123">
        <f>+'[2]ST Warroom 99'!$S$5</f>
        <v>-223000</v>
      </c>
      <c r="E23" s="124">
        <f>+F23-D23</f>
        <v>78632</v>
      </c>
      <c r="F23" s="123">
        <f>+'[2]ST Warroom 99'!$S$39</f>
        <v>-144368</v>
      </c>
      <c r="G23" s="168">
        <f>'DEN-GL'!$E$82</f>
        <v>-183496.76000000036</v>
      </c>
      <c r="H23" s="107">
        <f>G23-F23</f>
        <v>-39128.760000000359</v>
      </c>
      <c r="I23" s="31"/>
      <c r="J23" s="31"/>
    </row>
    <row r="24" spans="1:10" x14ac:dyDescent="0.2">
      <c r="A24" s="101" t="s">
        <v>214</v>
      </c>
      <c r="B24" s="123">
        <f>'DEN-FLSH'!$M$89</f>
        <v>-63196</v>
      </c>
      <c r="C24" s="65">
        <f>+D24-B24</f>
        <v>196</v>
      </c>
      <c r="D24" s="123">
        <f>+'[2]ST Warroom 99'!$R$5</f>
        <v>-63000</v>
      </c>
      <c r="E24" s="124">
        <f>+F24-D24</f>
        <v>0</v>
      </c>
      <c r="F24" s="123">
        <f>+'[2]ST Warroom 99'!$R$39</f>
        <v>-63000</v>
      </c>
      <c r="G24" s="168">
        <f>'DEN-GL'!$E$89</f>
        <v>-102124</v>
      </c>
      <c r="H24" s="107">
        <f>G24-F24</f>
        <v>-39124</v>
      </c>
      <c r="I24" s="31"/>
      <c r="J24" s="31"/>
    </row>
    <row r="25" spans="1:10" x14ac:dyDescent="0.2">
      <c r="A25" s="101" t="s">
        <v>18</v>
      </c>
      <c r="B25" s="123">
        <f>STG_FLSH!$M$82</f>
        <v>2718631</v>
      </c>
      <c r="C25" s="65">
        <f t="shared" si="0"/>
        <v>369</v>
      </c>
      <c r="D25" s="123">
        <f>+'[2]ST Warroom 99'!$M$5</f>
        <v>2719000</v>
      </c>
      <c r="E25" s="124">
        <f t="shared" si="2"/>
        <v>-800357</v>
      </c>
      <c r="F25" s="123">
        <f>+'[2]ST Warroom 99'!$M$39</f>
        <v>1918643</v>
      </c>
      <c r="G25" s="168">
        <f>STG_GL!$E$82</f>
        <v>4080570.3</v>
      </c>
      <c r="H25" s="107">
        <f t="shared" si="1"/>
        <v>2161927.2999999998</v>
      </c>
      <c r="I25" s="31"/>
      <c r="J25" s="31"/>
    </row>
    <row r="26" spans="1:10" x14ac:dyDescent="0.2">
      <c r="A26" s="101" t="s">
        <v>158</v>
      </c>
      <c r="B26" s="123">
        <f>ONT_FLSH!$M$82</f>
        <v>665966.12289828656</v>
      </c>
      <c r="C26" s="65">
        <f t="shared" si="0"/>
        <v>33.877101713442244</v>
      </c>
      <c r="D26" s="123">
        <f>+'[2]ST Warroom 99'!$O$5</f>
        <v>666000</v>
      </c>
      <c r="E26" s="124">
        <f t="shared" si="2"/>
        <v>-69479</v>
      </c>
      <c r="F26" s="123">
        <f>+'[2]ST Warroom 99'!$O$39</f>
        <v>596521</v>
      </c>
      <c r="G26" s="168">
        <f>'ONT_GL '!$E$82</f>
        <v>686165.81999999552</v>
      </c>
      <c r="H26" s="107">
        <f t="shared" si="1"/>
        <v>89644.819999995525</v>
      </c>
      <c r="I26" s="31"/>
      <c r="J26" s="31"/>
    </row>
    <row r="27" spans="1:10" x14ac:dyDescent="0.2">
      <c r="A27" s="101" t="s">
        <v>163</v>
      </c>
      <c r="B27" s="123">
        <f>ONT_FLSH!$M$89</f>
        <v>-244880</v>
      </c>
      <c r="C27" s="65">
        <f t="shared" si="0"/>
        <v>-120</v>
      </c>
      <c r="D27" s="168">
        <f>+'[2]ST Warroom 99'!$P$5</f>
        <v>-245000</v>
      </c>
      <c r="E27" s="124">
        <f t="shared" si="2"/>
        <v>0</v>
      </c>
      <c r="F27" s="168">
        <f>+'[2]ST Warroom 99'!$P$39</f>
        <v>-245000</v>
      </c>
      <c r="G27" s="168">
        <f>+'ONT_GL '!E89</f>
        <v>-244999.59</v>
      </c>
      <c r="H27" s="107">
        <f t="shared" si="1"/>
        <v>0.41000000000349246</v>
      </c>
      <c r="I27" s="31"/>
      <c r="J27" s="31"/>
    </row>
    <row r="28" spans="1:10" x14ac:dyDescent="0.2">
      <c r="A28" s="138" t="s">
        <v>113</v>
      </c>
      <c r="B28" s="123">
        <f>+BUG_FLSH!M82</f>
        <v>3474270.1102007926</v>
      </c>
      <c r="C28" s="65">
        <f>+D28-B28</f>
        <v>-270.11020079255104</v>
      </c>
      <c r="D28" s="123">
        <f>+'[2]ST Warroom 99'!$G$5</f>
        <v>3474000</v>
      </c>
      <c r="E28" s="124">
        <f t="shared" si="2"/>
        <v>-72667</v>
      </c>
      <c r="F28" s="123">
        <f>+'[2]ST Warroom 99'!$G$39</f>
        <v>3401333</v>
      </c>
      <c r="G28" s="168">
        <f>+BUG_GL!E82</f>
        <v>5273972.6539999992</v>
      </c>
      <c r="H28" s="107">
        <f t="shared" si="1"/>
        <v>1872639.6539999992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22983058.328538872</v>
      </c>
      <c r="C29" s="61">
        <f t="shared" si="3"/>
        <v>-129058.32853886898</v>
      </c>
      <c r="D29" s="61">
        <f t="shared" si="3"/>
        <v>22854000</v>
      </c>
      <c r="E29" s="61">
        <f t="shared" si="3"/>
        <v>-3636627</v>
      </c>
      <c r="F29" s="61">
        <f t="shared" si="3"/>
        <v>19217373</v>
      </c>
      <c r="G29" s="61">
        <f t="shared" si="3"/>
        <v>24802331.619000077</v>
      </c>
      <c r="H29" s="108">
        <f t="shared" si="3"/>
        <v>5584958.61900008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22983058.328538742</v>
      </c>
      <c r="C30" s="103">
        <f>+C29</f>
        <v>-129058.32853886898</v>
      </c>
      <c r="D30" s="103">
        <f>+'[2]ST Warroom 99'!$U$5</f>
        <v>22854000</v>
      </c>
      <c r="E30" s="103">
        <f>+'[2]ST Warroom 99'!$U$22</f>
        <v>-3636627</v>
      </c>
      <c r="F30" s="103">
        <f>+'[2]ST Warroom 99'!$U$39</f>
        <v>19217373</v>
      </c>
      <c r="G30" s="103">
        <f>TOTAL!$G$91</f>
        <v>24802331.61900026</v>
      </c>
      <c r="H30" s="179">
        <f>+[1]OAvsACT!$G$57</f>
        <v>5584978.2899999991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19.670999919064343</v>
      </c>
      <c r="I31" s="45"/>
      <c r="J31" s="45"/>
    </row>
    <row r="32" spans="1:10" x14ac:dyDescent="0.2">
      <c r="B32" s="45">
        <f t="shared" ref="B32:G32" si="4">+B29-B30</f>
        <v>1.3038516044616699E-7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-1.8253922462463379E-7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D26" activePane="bottomRight" state="frozen"/>
      <selection activeCell="D10" sqref="D10"/>
      <selection pane="topRight" activeCell="D10" sqref="D10"/>
      <selection pane="bottomLeft" activeCell="D10" sqref="D10"/>
      <selection pane="bottomRight" activeCell="C3" sqref="C3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0001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200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-18644520</v>
      </c>
      <c r="F11" s="60"/>
      <c r="G11" s="38">
        <v>0</v>
      </c>
      <c r="H11" s="60"/>
      <c r="I11" s="38">
        <f>-929671+201135+4177000+1770197+625394</f>
        <v>5844055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265657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-24807112+3993609-3924785-15944</f>
        <v>-24754232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-765000</v>
      </c>
      <c r="F12" s="60"/>
      <c r="G12" s="38">
        <v>0</v>
      </c>
      <c r="H12" s="60"/>
      <c r="I12" s="38">
        <v>0</v>
      </c>
      <c r="J12" s="60"/>
      <c r="K12" s="38">
        <v>170000</v>
      </c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-940000+5000</f>
        <v>-935000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-4698191</v>
      </c>
      <c r="F15" s="60"/>
      <c r="G15" s="38">
        <v>0</v>
      </c>
      <c r="H15" s="60"/>
      <c r="I15" s="38">
        <f>-10486107+929671-1770197</f>
        <v>-11326633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10486107-3993609+15944</f>
        <v>6508442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-24107711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-5482578</v>
      </c>
      <c r="J16" s="61">
        <f t="shared" si="1"/>
        <v>0</v>
      </c>
      <c r="K16" s="39">
        <f t="shared" si="1"/>
        <v>170000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-549343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-18245790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6319481</v>
      </c>
      <c r="F19" s="60"/>
      <c r="G19" s="38">
        <v>0</v>
      </c>
      <c r="H19" s="60"/>
      <c r="I19" s="38">
        <f>2137655+400478+1310</f>
        <v>2539443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-144747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>
        <v>3924785</v>
      </c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6319481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2539443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-144747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3924785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-790039</v>
      </c>
      <c r="E35" s="66">
        <f t="shared" si="8"/>
        <v>-4708067</v>
      </c>
      <c r="F35" s="60"/>
      <c r="G35" s="38"/>
      <c r="H35" s="60">
        <v>-730000</v>
      </c>
      <c r="I35" s="38">
        <f>-2137655-1854200-400478</f>
        <v>-4392333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>
        <v>-60039</v>
      </c>
      <c r="AG35" s="38">
        <v>-315734</v>
      </c>
    </row>
    <row r="36" spans="1:33" x14ac:dyDescent="0.2">
      <c r="A36" s="9"/>
      <c r="B36" s="7" t="s">
        <v>43</v>
      </c>
      <c r="C36" s="6"/>
      <c r="D36" s="61">
        <f t="shared" ref="D36:I36" si="9">SUM(D32:D35)</f>
        <v>-790039</v>
      </c>
      <c r="E36" s="39">
        <f t="shared" si="9"/>
        <v>-4708067</v>
      </c>
      <c r="F36" s="61">
        <f t="shared" si="9"/>
        <v>0</v>
      </c>
      <c r="G36" s="39">
        <f t="shared" si="9"/>
        <v>0</v>
      </c>
      <c r="H36" s="61">
        <f t="shared" si="9"/>
        <v>-730000</v>
      </c>
      <c r="I36" s="39">
        <f t="shared" si="9"/>
        <v>-4392333</v>
      </c>
      <c r="J36" s="61">
        <f t="shared" ref="J36:Q36" si="10">SUM(J32:J34)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ref="R36:AG36" si="11">SUM(R32:R34)</f>
        <v>0</v>
      </c>
      <c r="S36" s="39">
        <f t="shared" si="11"/>
        <v>0</v>
      </c>
      <c r="T36" s="61">
        <f t="shared" si="11"/>
        <v>0</v>
      </c>
      <c r="U36" s="39">
        <f t="shared" si="11"/>
        <v>0</v>
      </c>
      <c r="V36" s="61">
        <f>SUM(V32:V34)</f>
        <v>0</v>
      </c>
      <c r="W36" s="39">
        <f>SUM(W32:W34)</f>
        <v>0</v>
      </c>
      <c r="X36" s="61">
        <f t="shared" si="11"/>
        <v>0</v>
      </c>
      <c r="Y36" s="39">
        <f t="shared" si="11"/>
        <v>0</v>
      </c>
      <c r="Z36" s="61">
        <f t="shared" si="11"/>
        <v>0</v>
      </c>
      <c r="AA36" s="39">
        <f t="shared" si="11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1"/>
        <v>0</v>
      </c>
      <c r="AG36" s="39">
        <f t="shared" si="11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2">F39+H39+J39+L39+N39+R39+T39+X39+Z39+AF39+P39+V39+AB39+AD39</f>
        <v>0</v>
      </c>
      <c r="E39" s="66">
        <f t="shared" si="12"/>
        <v>-120910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f>-265657+144747</f>
        <v>-120910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2"/>
        <v>790039</v>
      </c>
      <c r="E40" s="66">
        <f t="shared" si="12"/>
        <v>26977046</v>
      </c>
      <c r="F40" s="60"/>
      <c r="G40" s="38"/>
      <c r="H40" s="60">
        <v>730000</v>
      </c>
      <c r="I40" s="38">
        <v>1854200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>
        <v>60039</v>
      </c>
      <c r="AG40" s="38">
        <f>24807112+315734</f>
        <v>25122846</v>
      </c>
    </row>
    <row r="41" spans="1:33" x14ac:dyDescent="0.2">
      <c r="A41" s="9">
        <v>19</v>
      </c>
      <c r="B41" s="7"/>
      <c r="C41" s="18" t="s">
        <v>47</v>
      </c>
      <c r="D41" s="66">
        <f t="shared" si="12"/>
        <v>0</v>
      </c>
      <c r="E41" s="66">
        <f t="shared" si="12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-146152</v>
      </c>
      <c r="X41" s="60"/>
      <c r="Y41" s="38">
        <v>146152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3">SUM(D40:D41)</f>
        <v>790039</v>
      </c>
      <c r="E42" s="39">
        <f t="shared" si="13"/>
        <v>26977046</v>
      </c>
      <c r="F42" s="61">
        <f t="shared" si="13"/>
        <v>0</v>
      </c>
      <c r="G42" s="39">
        <f t="shared" si="13"/>
        <v>0</v>
      </c>
      <c r="H42" s="61">
        <f t="shared" si="13"/>
        <v>730000</v>
      </c>
      <c r="I42" s="39">
        <f t="shared" si="13"/>
        <v>1854200</v>
      </c>
      <c r="J42" s="61">
        <f t="shared" si="13"/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ref="N42:AG42" si="14">SUM(N40:N41)</f>
        <v>0</v>
      </c>
      <c r="O42" s="39">
        <f t="shared" si="14"/>
        <v>0</v>
      </c>
      <c r="P42" s="61">
        <f>SUM(P40:P41)</f>
        <v>0</v>
      </c>
      <c r="Q42" s="39">
        <f>SUM(Q40:Q41)</f>
        <v>0</v>
      </c>
      <c r="R42" s="61">
        <f t="shared" si="14"/>
        <v>0</v>
      </c>
      <c r="S42" s="39">
        <f t="shared" si="14"/>
        <v>0</v>
      </c>
      <c r="T42" s="61">
        <f t="shared" si="14"/>
        <v>0</v>
      </c>
      <c r="U42" s="39">
        <f t="shared" si="14"/>
        <v>0</v>
      </c>
      <c r="V42" s="61">
        <f>SUM(V40:V41)</f>
        <v>0</v>
      </c>
      <c r="W42" s="39">
        <f>SUM(W40:W41)</f>
        <v>-146152</v>
      </c>
      <c r="X42" s="61">
        <f t="shared" si="14"/>
        <v>0</v>
      </c>
      <c r="Y42" s="39">
        <f t="shared" si="14"/>
        <v>146152</v>
      </c>
      <c r="Z42" s="61">
        <f t="shared" si="14"/>
        <v>0</v>
      </c>
      <c r="AA42" s="39">
        <f t="shared" si="14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4"/>
        <v>60039</v>
      </c>
      <c r="AG42" s="39">
        <f t="shared" si="14"/>
        <v>25122846</v>
      </c>
    </row>
    <row r="43" spans="1:33" ht="21" customHeight="1" x14ac:dyDescent="0.2">
      <c r="A43" s="9"/>
      <c r="B43" s="7" t="s">
        <v>49</v>
      </c>
      <c r="C43" s="6"/>
      <c r="D43" s="61">
        <f t="shared" ref="D43:M43" si="15">D42+D39</f>
        <v>790039</v>
      </c>
      <c r="E43" s="39">
        <f t="shared" si="15"/>
        <v>26856136</v>
      </c>
      <c r="F43" s="61">
        <f t="shared" si="15"/>
        <v>0</v>
      </c>
      <c r="G43" s="39">
        <f t="shared" si="15"/>
        <v>0</v>
      </c>
      <c r="H43" s="61">
        <f t="shared" si="15"/>
        <v>730000</v>
      </c>
      <c r="I43" s="39">
        <f t="shared" si="15"/>
        <v>1854200</v>
      </c>
      <c r="J43" s="61">
        <f t="shared" si="15"/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ref="N43:AG43" si="16">N42+N39</f>
        <v>0</v>
      </c>
      <c r="O43" s="39">
        <f t="shared" si="16"/>
        <v>0</v>
      </c>
      <c r="P43" s="61">
        <f>P42+P39</f>
        <v>0</v>
      </c>
      <c r="Q43" s="39">
        <f>Q42+Q39</f>
        <v>0</v>
      </c>
      <c r="R43" s="61">
        <f t="shared" si="16"/>
        <v>0</v>
      </c>
      <c r="S43" s="39">
        <f t="shared" si="16"/>
        <v>0</v>
      </c>
      <c r="T43" s="61">
        <f t="shared" si="16"/>
        <v>0</v>
      </c>
      <c r="U43" s="39">
        <f t="shared" si="16"/>
        <v>0</v>
      </c>
      <c r="V43" s="61">
        <f>V42+V39</f>
        <v>0</v>
      </c>
      <c r="W43" s="39">
        <f>W42+W39</f>
        <v>-267062</v>
      </c>
      <c r="X43" s="61">
        <f t="shared" si="16"/>
        <v>0</v>
      </c>
      <c r="Y43" s="39">
        <f t="shared" si="16"/>
        <v>146152</v>
      </c>
      <c r="Z43" s="61">
        <f t="shared" si="16"/>
        <v>0</v>
      </c>
      <c r="AA43" s="39">
        <f t="shared" si="16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6"/>
        <v>60039</v>
      </c>
      <c r="AG43" s="39">
        <f t="shared" si="16"/>
        <v>25122846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-1310</v>
      </c>
      <c r="F54" s="60"/>
      <c r="G54" s="38"/>
      <c r="H54" s="60"/>
      <c r="I54" s="38">
        <f>54248+2646+356-1310</f>
        <v>55940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-54248-2646-356</f>
        <v>-57250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553015</v>
      </c>
      <c r="F55" s="60"/>
      <c r="G55" s="38">
        <v>97061</v>
      </c>
      <c r="H55" s="60"/>
      <c r="I55" s="38">
        <f>35136+2646</f>
        <v>37782</v>
      </c>
      <c r="J55" s="60"/>
      <c r="K55" s="38"/>
      <c r="L55" s="60"/>
      <c r="M55" s="38"/>
      <c r="N55" s="60"/>
      <c r="O55" s="38">
        <v>0</v>
      </c>
      <c r="P55" s="60"/>
      <c r="Q55" s="38">
        <v>362654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-35136-2646</f>
        <v>-37782</v>
      </c>
    </row>
    <row r="56" spans="1:33" x14ac:dyDescent="0.2">
      <c r="A56" s="9"/>
      <c r="B56" s="7" t="s">
        <v>57</v>
      </c>
      <c r="C56" s="6"/>
      <c r="D56" s="61">
        <f t="shared" ref="D56:M56" si="17">SUM(D54:D55)</f>
        <v>0</v>
      </c>
      <c r="E56" s="39">
        <f t="shared" si="17"/>
        <v>551705</v>
      </c>
      <c r="F56" s="61">
        <f t="shared" si="17"/>
        <v>0</v>
      </c>
      <c r="G56" s="39">
        <f t="shared" si="17"/>
        <v>97061</v>
      </c>
      <c r="H56" s="61">
        <f t="shared" si="17"/>
        <v>0</v>
      </c>
      <c r="I56" s="39">
        <f t="shared" si="17"/>
        <v>93722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ref="N56:AG56" si="18">SUM(N54:N55)</f>
        <v>0</v>
      </c>
      <c r="O56" s="39">
        <f t="shared" si="18"/>
        <v>0</v>
      </c>
      <c r="P56" s="61">
        <f>SUM(P54:P55)</f>
        <v>0</v>
      </c>
      <c r="Q56" s="39">
        <f>SUM(Q54:Q55)</f>
        <v>362654</v>
      </c>
      <c r="R56" s="61">
        <f t="shared" si="18"/>
        <v>0</v>
      </c>
      <c r="S56" s="39">
        <f t="shared" si="18"/>
        <v>0</v>
      </c>
      <c r="T56" s="61">
        <f t="shared" si="18"/>
        <v>0</v>
      </c>
      <c r="U56" s="39">
        <f t="shared" si="18"/>
        <v>0</v>
      </c>
      <c r="V56" s="61">
        <f>SUM(V54:V55)</f>
        <v>0</v>
      </c>
      <c r="W56" s="39">
        <f>SUM(W54:W55)</f>
        <v>93300</v>
      </c>
      <c r="X56" s="61">
        <f t="shared" si="18"/>
        <v>0</v>
      </c>
      <c r="Y56" s="39">
        <f t="shared" si="18"/>
        <v>0</v>
      </c>
      <c r="Z56" s="61">
        <f t="shared" si="18"/>
        <v>0</v>
      </c>
      <c r="AA56" s="39">
        <f t="shared" si="18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8"/>
        <v>0</v>
      </c>
      <c r="AG56" s="39">
        <f t="shared" si="18"/>
        <v>-95032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-170000</v>
      </c>
      <c r="F59" s="60"/>
      <c r="G59" s="38"/>
      <c r="H59" s="60"/>
      <c r="I59" s="38"/>
      <c r="J59" s="60"/>
      <c r="K59" s="38">
        <v>-170000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9">SUM(D59:D60)</f>
        <v>0</v>
      </c>
      <c r="E61" s="39">
        <f t="shared" si="19"/>
        <v>-170000</v>
      </c>
      <c r="F61" s="61">
        <f t="shared" si="19"/>
        <v>0</v>
      </c>
      <c r="G61" s="39">
        <f t="shared" si="19"/>
        <v>0</v>
      </c>
      <c r="H61" s="61">
        <f t="shared" si="19"/>
        <v>0</v>
      </c>
      <c r="I61" s="39">
        <f t="shared" si="19"/>
        <v>0</v>
      </c>
      <c r="J61" s="61">
        <f t="shared" si="19"/>
        <v>0</v>
      </c>
      <c r="K61" s="39">
        <f t="shared" si="19"/>
        <v>-170000</v>
      </c>
      <c r="L61" s="61">
        <f t="shared" si="19"/>
        <v>0</v>
      </c>
      <c r="M61" s="39">
        <f t="shared" si="19"/>
        <v>0</v>
      </c>
      <c r="N61" s="61">
        <f t="shared" ref="N61:AG61" si="20">SUM(N59:N60)</f>
        <v>0</v>
      </c>
      <c r="O61" s="39">
        <f t="shared" si="20"/>
        <v>0</v>
      </c>
      <c r="P61" s="61">
        <f>SUM(P59:P60)</f>
        <v>0</v>
      </c>
      <c r="Q61" s="39">
        <f>SUM(Q59:Q60)</f>
        <v>0</v>
      </c>
      <c r="R61" s="61">
        <f t="shared" si="20"/>
        <v>0</v>
      </c>
      <c r="S61" s="39">
        <f t="shared" si="20"/>
        <v>0</v>
      </c>
      <c r="T61" s="61">
        <f t="shared" si="20"/>
        <v>0</v>
      </c>
      <c r="U61" s="39">
        <f t="shared" si="20"/>
        <v>0</v>
      </c>
      <c r="V61" s="61">
        <f>SUM(V59:V60)</f>
        <v>0</v>
      </c>
      <c r="W61" s="39">
        <f>SUM(W59:W60)</f>
        <v>0</v>
      </c>
      <c r="X61" s="61">
        <f t="shared" si="20"/>
        <v>0</v>
      </c>
      <c r="Y61" s="39">
        <f t="shared" si="20"/>
        <v>0</v>
      </c>
      <c r="Z61" s="61">
        <f t="shared" si="20"/>
        <v>0</v>
      </c>
      <c r="AA61" s="39">
        <f t="shared" si="20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20"/>
        <v>0</v>
      </c>
      <c r="AG61" s="39">
        <f t="shared" si="20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1">SUM(D64:D65)</f>
        <v>0</v>
      </c>
      <c r="E66" s="39">
        <f t="shared" si="21"/>
        <v>0</v>
      </c>
      <c r="F66" s="61">
        <f t="shared" si="21"/>
        <v>0</v>
      </c>
      <c r="G66" s="39">
        <f t="shared" si="21"/>
        <v>0</v>
      </c>
      <c r="H66" s="61">
        <f t="shared" si="21"/>
        <v>0</v>
      </c>
      <c r="I66" s="39">
        <f t="shared" si="21"/>
        <v>0</v>
      </c>
      <c r="J66" s="61">
        <f t="shared" si="21"/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ref="N66:AG66" si="22">SUM(N64:N65)</f>
        <v>0</v>
      </c>
      <c r="O66" s="39">
        <f t="shared" si="22"/>
        <v>0</v>
      </c>
      <c r="P66" s="61">
        <f>SUM(P64:P65)</f>
        <v>0</v>
      </c>
      <c r="Q66" s="39">
        <f>SUM(Q64:Q65)</f>
        <v>0</v>
      </c>
      <c r="R66" s="61">
        <f t="shared" si="22"/>
        <v>0</v>
      </c>
      <c r="S66" s="39">
        <f t="shared" si="22"/>
        <v>0</v>
      </c>
      <c r="T66" s="61">
        <f t="shared" si="22"/>
        <v>0</v>
      </c>
      <c r="U66" s="39">
        <f t="shared" si="22"/>
        <v>0</v>
      </c>
      <c r="V66" s="61">
        <f>SUM(V64:V65)</f>
        <v>0</v>
      </c>
      <c r="W66" s="39">
        <f>SUM(W64:W65)</f>
        <v>0</v>
      </c>
      <c r="X66" s="61">
        <f t="shared" si="22"/>
        <v>0</v>
      </c>
      <c r="Y66" s="39">
        <f t="shared" si="22"/>
        <v>0</v>
      </c>
      <c r="Z66" s="61">
        <f t="shared" si="22"/>
        <v>0</v>
      </c>
      <c r="AA66" s="39">
        <f t="shared" si="22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2"/>
        <v>0</v>
      </c>
      <c r="AG66" s="39">
        <f t="shared" si="22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3">SUM(D70:D71)</f>
        <v>0</v>
      </c>
      <c r="E72" s="39">
        <f t="shared" si="23"/>
        <v>0</v>
      </c>
      <c r="F72" s="61">
        <f t="shared" si="23"/>
        <v>0</v>
      </c>
      <c r="G72" s="39">
        <f t="shared" si="23"/>
        <v>0</v>
      </c>
      <c r="H72" s="61">
        <f t="shared" si="23"/>
        <v>0</v>
      </c>
      <c r="I72" s="39">
        <f t="shared" si="23"/>
        <v>0</v>
      </c>
      <c r="J72" s="61">
        <f t="shared" si="23"/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ref="N72:AG72" si="24">SUM(N70:N71)</f>
        <v>0</v>
      </c>
      <c r="O72" s="39">
        <f t="shared" si="24"/>
        <v>0</v>
      </c>
      <c r="P72" s="61">
        <f>SUM(P70:P71)</f>
        <v>0</v>
      </c>
      <c r="Q72" s="39">
        <f>SUM(Q70:Q71)</f>
        <v>0</v>
      </c>
      <c r="R72" s="61">
        <f t="shared" si="24"/>
        <v>0</v>
      </c>
      <c r="S72" s="39">
        <f t="shared" si="24"/>
        <v>0</v>
      </c>
      <c r="T72" s="61">
        <f t="shared" si="24"/>
        <v>0</v>
      </c>
      <c r="U72" s="39">
        <f t="shared" si="24"/>
        <v>0</v>
      </c>
      <c r="V72" s="61">
        <f>SUM(V70:V71)</f>
        <v>0</v>
      </c>
      <c r="W72" s="39">
        <f>SUM(W70:W71)</f>
        <v>0</v>
      </c>
      <c r="X72" s="61">
        <f t="shared" si="24"/>
        <v>0</v>
      </c>
      <c r="Y72" s="39">
        <f t="shared" si="24"/>
        <v>0</v>
      </c>
      <c r="Z72" s="61">
        <f t="shared" si="24"/>
        <v>0</v>
      </c>
      <c r="AA72" s="39">
        <f t="shared" si="24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4"/>
        <v>0</v>
      </c>
      <c r="AG72" s="39">
        <f t="shared" si="24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5">F73+H73+J73+L73+N73+R73+T73+X73+Z73+AF73+P73+V73+AB73+AD73</f>
        <v>0</v>
      </c>
      <c r="E73" s="66">
        <f t="shared" ref="E73:E81" si="26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5"/>
        <v>0</v>
      </c>
      <c r="E74" s="66">
        <f t="shared" si="26"/>
        <v>-4899455</v>
      </c>
      <c r="F74" s="60"/>
      <c r="G74" s="38">
        <f>930794-280150-163880-100000+75000+26765-3058087-97061</f>
        <v>-2666619</v>
      </c>
      <c r="H74" s="60"/>
      <c r="I74" s="38">
        <f>-142200-75000-6056175-4177000-625394</f>
        <v>-11075769</v>
      </c>
      <c r="J74" s="60"/>
      <c r="K74" s="38"/>
      <c r="L74" s="60"/>
      <c r="M74" s="38"/>
      <c r="N74" s="60"/>
      <c r="O74" s="38">
        <v>91764</v>
      </c>
      <c r="P74" s="60"/>
      <c r="Q74" s="38">
        <v>-91764</v>
      </c>
      <c r="R74" s="60"/>
      <c r="S74" s="38"/>
      <c r="T74" s="60"/>
      <c r="U74" s="38">
        <v>0</v>
      </c>
      <c r="V74" s="60"/>
      <c r="W74" s="38">
        <f>142200+100000-56790</f>
        <v>185410</v>
      </c>
      <c r="X74" s="60"/>
      <c r="Y74" s="38">
        <f>56790+6056175+3058087</f>
        <v>9171052</v>
      </c>
      <c r="Z74" s="60"/>
      <c r="AA74" s="38">
        <f>163880-26765</f>
        <v>137115</v>
      </c>
      <c r="AB74" s="60"/>
      <c r="AC74" s="38">
        <f>-930794+280150</f>
        <v>-650644</v>
      </c>
      <c r="AD74" s="60"/>
      <c r="AE74" s="38">
        <v>0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5"/>
        <v>0</v>
      </c>
      <c r="E75" s="66">
        <f t="shared" si="26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5"/>
        <v>0</v>
      </c>
      <c r="E76" s="66">
        <f t="shared" si="26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5"/>
        <v>0</v>
      </c>
      <c r="E77" s="66">
        <f t="shared" si="26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5"/>
        <v>0</v>
      </c>
      <c r="E78" s="66">
        <f t="shared" si="26"/>
        <v>845279</v>
      </c>
      <c r="F78" s="60"/>
      <c r="G78" s="38"/>
      <c r="H78" s="60"/>
      <c r="I78" s="38">
        <v>25279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>
        <v>820000</v>
      </c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5"/>
        <v>0</v>
      </c>
      <c r="E79" s="66">
        <f t="shared" si="26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5"/>
        <v>0</v>
      </c>
      <c r="E80" s="66">
        <f t="shared" si="26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5"/>
        <v>0</v>
      </c>
      <c r="E81" s="66">
        <f t="shared" si="26"/>
        <v>-589068</v>
      </c>
      <c r="F81" s="60"/>
      <c r="G81" s="38"/>
      <c r="H81" s="60"/>
      <c r="I81" s="38">
        <f>-201135-25279</f>
        <v>-226414</v>
      </c>
      <c r="J81" s="60"/>
      <c r="K81" s="38"/>
      <c r="L81" s="60"/>
      <c r="M81" s="38"/>
      <c r="N81" s="60"/>
      <c r="O81" s="38"/>
      <c r="P81" s="60"/>
      <c r="Q81" s="38">
        <v>-362654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-2569558</v>
      </c>
      <c r="H82" s="91">
        <f>H16+H24+H29+H36+H43+H45+H47+H49</f>
        <v>0</v>
      </c>
      <c r="I82" s="92">
        <f>SUM(I72:I81)+I16+I24+I29+I36+I43+I45+I47+I49+I51+I56+I61+I66</f>
        <v>-16664450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91764</v>
      </c>
      <c r="P82" s="91">
        <f>P16+P24+P29+P36+P43+P45+P47+P49</f>
        <v>0</v>
      </c>
      <c r="Q82" s="92">
        <f>SUM(Q72:Q81)+Q16+Q24+Q29+Q36+Q43+Q45+Q47+Q49+Q51+Q56+Q61+Q66</f>
        <v>-91764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-780742</v>
      </c>
      <c r="X82" s="91">
        <f>X16+X24+X29+X36+X43+X45+X47+X49</f>
        <v>0</v>
      </c>
      <c r="Y82" s="92">
        <f>SUM(Y72:Y81)+Y16+Y24+Y29+Y36+Y43+Y45+Y47+Y49+Y51+Y56+Y61+Y66</f>
        <v>10137204</v>
      </c>
      <c r="Z82" s="91">
        <f>Z16+Z24+Z29+Z36+Z43+Z45+Z47+Z49</f>
        <v>0</v>
      </c>
      <c r="AA82" s="92">
        <f>SUM(AA72:AA81)+AA16+AA24+AA29+AA36+AA43+AA45+AA47+AA49+AA51+AA56+AA61+AA66</f>
        <v>137115</v>
      </c>
      <c r="AB82" s="91">
        <f>AB16+AB24+AB29+AB36+AB43+AB45+AB47+AB49</f>
        <v>0</v>
      </c>
      <c r="AC82" s="92">
        <f>SUM(AC72:AC81)+AC16+AC24+AC29+AC36+AC43+AC45+AC47+AC49+AC51+AC56+AC61+AC66</f>
        <v>-650644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60039</v>
      </c>
      <c r="AG82" s="92">
        <f>SUM(AG72:AG81)+AG16+AG24+AG29+AG36+AG43+AG45+AG47+AG49+AG51+AG56+AG61+AG66</f>
        <v>10706809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Q74" activePane="bottomRight" state="frozen"/>
      <selection activeCell="D10" sqref="D10"/>
      <selection pane="topRight" activeCell="D10" sqref="D10"/>
      <selection pane="bottomLeft" activeCell="D10" sqref="D10"/>
      <selection pane="bottomRight" activeCell="S74" sqref="S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0001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200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891063.28</v>
      </c>
      <c r="F12" s="65"/>
      <c r="G12" s="38">
        <v>3950820.88</v>
      </c>
      <c r="H12" s="65"/>
      <c r="I12" s="38">
        <v>497314.76</v>
      </c>
      <c r="J12" s="65">
        <v>0</v>
      </c>
      <c r="K12" s="38">
        <v>-3883840.07</v>
      </c>
      <c r="L12" s="65"/>
      <c r="M12" s="38">
        <v>-158335.73000000001</v>
      </c>
      <c r="N12" s="65"/>
      <c r="O12" s="38">
        <v>0</v>
      </c>
      <c r="P12" s="65"/>
      <c r="Q12" s="38">
        <v>2551788.73</v>
      </c>
      <c r="R12" s="65"/>
      <c r="S12" s="38">
        <v>-386881.57</v>
      </c>
      <c r="T12" s="65"/>
      <c r="U12" s="38">
        <v>-4575.6000000000004</v>
      </c>
      <c r="V12" s="65"/>
      <c r="W12" s="38">
        <v>-6216367.9299999997</v>
      </c>
      <c r="X12" s="65">
        <v>0</v>
      </c>
      <c r="Y12" s="38">
        <v>-485122.48</v>
      </c>
      <c r="Z12" s="65"/>
      <c r="AA12" s="38">
        <v>0</v>
      </c>
      <c r="AB12" s="65">
        <v>0</v>
      </c>
      <c r="AC12" s="38">
        <v>5720848.6699999999</v>
      </c>
      <c r="AD12" s="65"/>
      <c r="AE12" s="38">
        <v>-694586.38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891063.28</v>
      </c>
      <c r="F16" s="61">
        <f t="shared" si="1"/>
        <v>0</v>
      </c>
      <c r="G16" s="39">
        <f t="shared" si="1"/>
        <v>3950820.88</v>
      </c>
      <c r="H16" s="61">
        <f>SUM(H11:H15)</f>
        <v>0</v>
      </c>
      <c r="I16" s="39">
        <f>SUM(I11:I15)</f>
        <v>497314.76</v>
      </c>
      <c r="J16" s="61">
        <f t="shared" si="1"/>
        <v>0</v>
      </c>
      <c r="K16" s="39">
        <f t="shared" si="1"/>
        <v>-3883840.07</v>
      </c>
      <c r="L16" s="61">
        <f t="shared" si="1"/>
        <v>0</v>
      </c>
      <c r="M16" s="39">
        <f t="shared" si="1"/>
        <v>-158335.73000000001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2551788.73</v>
      </c>
      <c r="R16" s="61">
        <f>SUM(R11:R15)</f>
        <v>0</v>
      </c>
      <c r="S16" s="39">
        <f>SUM(S11:S15)</f>
        <v>-386881.57</v>
      </c>
      <c r="T16" s="61">
        <f t="shared" si="1"/>
        <v>0</v>
      </c>
      <c r="U16" s="39">
        <f t="shared" si="1"/>
        <v>-4575.6000000000004</v>
      </c>
      <c r="V16" s="61">
        <f t="shared" si="1"/>
        <v>0</v>
      </c>
      <c r="W16" s="39">
        <f t="shared" si="1"/>
        <v>-6216367.9299999997</v>
      </c>
      <c r="X16" s="61">
        <f>SUM(X11:X15)</f>
        <v>0</v>
      </c>
      <c r="Y16" s="39">
        <f>SUM(Y11:Y15)</f>
        <v>-485122.48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5720848.6699999999</v>
      </c>
      <c r="AD16" s="61">
        <f>SUM(AD11:AD15)</f>
        <v>0</v>
      </c>
      <c r="AE16" s="39">
        <f>SUM(AE11:AE15)</f>
        <v>-694586.38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-11600144.439999999</v>
      </c>
      <c r="F20" s="65"/>
      <c r="G20" s="38">
        <v>985339.05</v>
      </c>
      <c r="H20" s="65"/>
      <c r="I20" s="38">
        <v>-336602.09</v>
      </c>
      <c r="J20" s="65"/>
      <c r="K20" s="38">
        <v>-9176533.7799999993</v>
      </c>
      <c r="L20" s="65"/>
      <c r="M20" s="38">
        <v>0</v>
      </c>
      <c r="N20" s="65"/>
      <c r="O20" s="38">
        <v>0</v>
      </c>
      <c r="P20" s="65"/>
      <c r="Q20" s="38">
        <v>-76977.850000000006</v>
      </c>
      <c r="R20" s="65"/>
      <c r="S20" s="38">
        <v>263447.03999999998</v>
      </c>
      <c r="T20" s="65"/>
      <c r="U20" s="38">
        <v>0</v>
      </c>
      <c r="V20" s="65"/>
      <c r="W20" s="38">
        <v>1882156.23</v>
      </c>
      <c r="X20" s="65"/>
      <c r="Y20" s="38">
        <v>-11462.19</v>
      </c>
      <c r="Z20" s="65"/>
      <c r="AA20" s="38">
        <v>0</v>
      </c>
      <c r="AB20" s="65">
        <v>0</v>
      </c>
      <c r="AC20" s="38">
        <v>-4881100.3499999996</v>
      </c>
      <c r="AD20" s="65"/>
      <c r="AE20" s="38">
        <v>-6889.5</v>
      </c>
      <c r="AF20" s="65"/>
      <c r="AG20" s="38">
        <v>-241521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-11600144.439999999</v>
      </c>
      <c r="F24" s="61">
        <f t="shared" si="3"/>
        <v>0</v>
      </c>
      <c r="G24" s="39">
        <f t="shared" si="3"/>
        <v>985339.05</v>
      </c>
      <c r="H24" s="61">
        <f>SUM(H19:H23)</f>
        <v>0</v>
      </c>
      <c r="I24" s="39">
        <f>SUM(I19:I23)</f>
        <v>-336602.09</v>
      </c>
      <c r="J24" s="61">
        <f t="shared" si="3"/>
        <v>0</v>
      </c>
      <c r="K24" s="39">
        <f t="shared" si="3"/>
        <v>-9176533.7799999993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-76977.850000000006</v>
      </c>
      <c r="R24" s="61">
        <f>SUM(R19:R23)</f>
        <v>0</v>
      </c>
      <c r="S24" s="39">
        <f>SUM(S19:S23)</f>
        <v>263447.03999999998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1882156.23</v>
      </c>
      <c r="X24" s="61">
        <f>SUM(X19:X23)</f>
        <v>0</v>
      </c>
      <c r="Y24" s="39">
        <f>SUM(Y19:Y23)</f>
        <v>-11462.19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-4881100.3499999996</v>
      </c>
      <c r="AD24" s="61">
        <f>SUM(AD19:AD23)</f>
        <v>0</v>
      </c>
      <c r="AE24" s="39">
        <f>SUM(AE19:AE23)</f>
        <v>-6889.5</v>
      </c>
      <c r="AF24" s="61">
        <f t="shared" si="3"/>
        <v>0</v>
      </c>
      <c r="AG24" s="39">
        <f t="shared" si="3"/>
        <v>-241521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-1365278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-1365278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-1365278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-1365278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38202754.850000001</v>
      </c>
      <c r="F70" s="60"/>
      <c r="G70" s="38">
        <v>7591856.8799999999</v>
      </c>
      <c r="H70" s="60"/>
      <c r="I70" s="38">
        <v>12261468.49</v>
      </c>
      <c r="J70" s="60"/>
      <c r="K70" s="38">
        <v>13133657.73</v>
      </c>
      <c r="L70" s="60"/>
      <c r="M70" s="38">
        <v>0</v>
      </c>
      <c r="N70" s="60"/>
      <c r="O70" s="38">
        <v>0</v>
      </c>
      <c r="P70" s="60">
        <v>0</v>
      </c>
      <c r="Q70" s="38">
        <v>6953222</v>
      </c>
      <c r="R70" s="60"/>
      <c r="S70" s="38">
        <v>0</v>
      </c>
      <c r="T70" s="60"/>
      <c r="U70" s="38">
        <v>0</v>
      </c>
      <c r="V70" s="60">
        <v>0</v>
      </c>
      <c r="W70" s="38">
        <v>-2639306.77</v>
      </c>
      <c r="X70" s="60">
        <v>0</v>
      </c>
      <c r="Y70" s="38">
        <v>0</v>
      </c>
      <c r="Z70" s="60">
        <v>0</v>
      </c>
      <c r="AA70" s="38">
        <v>207406</v>
      </c>
      <c r="AB70" s="60"/>
      <c r="AC70" s="38">
        <v>1508208.52</v>
      </c>
      <c r="AD70" s="60"/>
      <c r="AE70" s="38">
        <v>-400747</v>
      </c>
      <c r="AF70" s="60"/>
      <c r="AG70" s="38">
        <v>-413011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-24156871.739999998</v>
      </c>
      <c r="F71" s="60"/>
      <c r="G71" s="38">
        <v>-1768212</v>
      </c>
      <c r="H71" s="60"/>
      <c r="I71" s="38">
        <v>-14085867</v>
      </c>
      <c r="J71" s="60"/>
      <c r="K71" s="38">
        <v>-5194257</v>
      </c>
      <c r="L71" s="60"/>
      <c r="M71" s="38">
        <v>0</v>
      </c>
      <c r="N71" s="60"/>
      <c r="O71" s="38">
        <v>0</v>
      </c>
      <c r="P71" s="60"/>
      <c r="Q71" s="38">
        <v>-2053660</v>
      </c>
      <c r="R71" s="60"/>
      <c r="S71" s="38">
        <v>0</v>
      </c>
      <c r="T71" s="60"/>
      <c r="U71" s="38">
        <v>0</v>
      </c>
      <c r="V71" s="60"/>
      <c r="W71" s="38">
        <v>739518.78</v>
      </c>
      <c r="X71" s="60"/>
      <c r="Y71" s="38">
        <v>0</v>
      </c>
      <c r="Z71" s="60"/>
      <c r="AA71" s="38">
        <v>-1085483</v>
      </c>
      <c r="AB71" s="60"/>
      <c r="AC71" s="38">
        <v>-708911.52</v>
      </c>
      <c r="AD71" s="60"/>
      <c r="AE71" s="38">
        <v>0</v>
      </c>
      <c r="AF71" s="60"/>
      <c r="AG71" s="38">
        <v>0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14045883.110000003</v>
      </c>
      <c r="F72" s="61">
        <f t="shared" si="13"/>
        <v>0</v>
      </c>
      <c r="G72" s="183">
        <f t="shared" si="13"/>
        <v>5823644.8799999999</v>
      </c>
      <c r="H72" s="61">
        <f>SUM(H70:H71)</f>
        <v>0</v>
      </c>
      <c r="I72" s="183">
        <f>SUM(I70:I71)</f>
        <v>-1824398.5099999998</v>
      </c>
      <c r="J72" s="61">
        <f t="shared" si="13"/>
        <v>0</v>
      </c>
      <c r="K72" s="183">
        <f t="shared" si="13"/>
        <v>7939400.7300000004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4899562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-1899787.99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-878077</v>
      </c>
      <c r="AB72" s="61">
        <f t="shared" si="13"/>
        <v>0</v>
      </c>
      <c r="AC72" s="39">
        <f t="shared" si="13"/>
        <v>799297</v>
      </c>
      <c r="AD72" s="61">
        <f>SUM(AD70:AD71)</f>
        <v>0</v>
      </c>
      <c r="AE72" s="183">
        <f>SUM(AE70:AE71)</f>
        <v>-400747</v>
      </c>
      <c r="AF72" s="61">
        <f t="shared" si="13"/>
        <v>0</v>
      </c>
      <c r="AG72" s="183">
        <f t="shared" si="13"/>
        <v>-413011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-26326449.240000002</v>
      </c>
      <c r="F74" s="65"/>
      <c r="G74" s="66">
        <v>580965.77</v>
      </c>
      <c r="H74" s="65"/>
      <c r="I74" s="66">
        <v>1333966.53</v>
      </c>
      <c r="J74" s="65"/>
      <c r="K74" s="66">
        <v>-14311349.35</v>
      </c>
      <c r="L74" s="65"/>
      <c r="M74" s="66">
        <v>0</v>
      </c>
      <c r="N74" s="65"/>
      <c r="O74" s="66">
        <v>0</v>
      </c>
      <c r="P74" s="65"/>
      <c r="Q74" s="66">
        <v>1329493.44</v>
      </c>
      <c r="R74" s="65"/>
      <c r="S74" s="66">
        <v>12423</v>
      </c>
      <c r="T74" s="65"/>
      <c r="U74" s="66">
        <v>0</v>
      </c>
      <c r="V74" s="65"/>
      <c r="W74" s="66">
        <v>-169890.73</v>
      </c>
      <c r="X74" s="65"/>
      <c r="Y74" s="66">
        <v>-945496.32</v>
      </c>
      <c r="Z74" s="65"/>
      <c r="AA74" s="180">
        <v>-7514776.7000000002</v>
      </c>
      <c r="AB74" s="65"/>
      <c r="AC74" s="180">
        <v>-455424.51</v>
      </c>
      <c r="AD74" s="65"/>
      <c r="AE74" s="66">
        <v>451953.34</v>
      </c>
      <c r="AF74" s="65"/>
      <c r="AG74" s="180">
        <v>-6638313.71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747400</v>
      </c>
      <c r="F75" s="65"/>
      <c r="G75" s="38">
        <v>51500</v>
      </c>
      <c r="H75" s="65"/>
      <c r="I75" s="38">
        <v>0</v>
      </c>
      <c r="J75" s="65"/>
      <c r="K75" s="38">
        <v>323400</v>
      </c>
      <c r="L75" s="65"/>
      <c r="M75" s="38">
        <v>0</v>
      </c>
      <c r="N75" s="65"/>
      <c r="O75" s="38">
        <v>0</v>
      </c>
      <c r="P75" s="65"/>
      <c r="Q75" s="38">
        <v>354800</v>
      </c>
      <c r="R75" s="65"/>
      <c r="S75" s="38"/>
      <c r="T75" s="65"/>
      <c r="U75" s="38"/>
      <c r="V75" s="65"/>
      <c r="W75" s="38">
        <v>17700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23">
        <f t="shared" si="15"/>
        <v>-9625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-9625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-2658334</v>
      </c>
      <c r="F77" s="65"/>
      <c r="G77" s="38"/>
      <c r="H77" s="65"/>
      <c r="I77" s="38"/>
      <c r="J77" s="65"/>
      <c r="K77" s="38">
        <v>-2658334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23">
        <f t="shared" si="15"/>
        <v>779146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779146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-25496338.289999999</v>
      </c>
      <c r="F82" s="91">
        <f>F16+F24+F29+F36+F43+F45+F47+F49</f>
        <v>0</v>
      </c>
      <c r="G82" s="92">
        <f>SUM(G72:G81)+G16+G24+G29+G36+G43+G45+G47+G49+G51+G56+G61+G66</f>
        <v>11392270.580000002</v>
      </c>
      <c r="H82" s="91">
        <f>H16+H24+H29+H36+H43+H45+H47+H49</f>
        <v>0</v>
      </c>
      <c r="I82" s="92">
        <f>SUM(I72:I81)+I16+I24+I29+I36+I43+I45+I47+I49+I51+I56+I61+I66</f>
        <v>-329719.30999999976</v>
      </c>
      <c r="J82" s="91">
        <f>J16+J24+J29+J36+J43+J45+J47+J49</f>
        <v>0</v>
      </c>
      <c r="K82" s="92">
        <f>SUM(K72:K81)+K16+K24+K29+K36+K43+K45+K47+K49+K51+K56+K61+K66</f>
        <v>-21767256.469999999</v>
      </c>
      <c r="L82" s="91">
        <f>L16+L24+L29+L36+L43+L45+L47+L49</f>
        <v>0</v>
      </c>
      <c r="M82" s="92">
        <f>SUM(M72:M81)+M16+M24+M29+M36+M43+M45+M47+M49+M51+M56+M61+M66</f>
        <v>-158335.73000000001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9058666.3200000003</v>
      </c>
      <c r="R82" s="91">
        <f>R16+R24+R29+R36+R43+R45+R47+R49</f>
        <v>0</v>
      </c>
      <c r="S82" s="92">
        <f>SUM(S72:S81)+S16+S24+S29+S36+S43+S45+S47+S49+S51+S56+S61+S66</f>
        <v>668134.47</v>
      </c>
      <c r="T82" s="91">
        <f>T16+T24+T29+T36+T43+T45+T47+T49</f>
        <v>0</v>
      </c>
      <c r="U82" s="92">
        <f>SUM(U72:U81)+U16+U24+U29+U36+U43+U45+U47+U49+U51+U56+U61+U66</f>
        <v>-4575.6000000000004</v>
      </c>
      <c r="V82" s="91">
        <f>V16+V24+V29+V36+V43+V45+V47+V49</f>
        <v>0</v>
      </c>
      <c r="W82" s="92">
        <f>SUM(W72:W81)+W16+W24+W29+W36+W43+W45+W47+W49+W51+W56+W61+W66</f>
        <v>-6386190.4199999999</v>
      </c>
      <c r="X82" s="91">
        <f>X16+X24+X29+X36+X43+X45+X47+X49</f>
        <v>0</v>
      </c>
      <c r="Y82" s="92">
        <f>SUM(Y72:Y81)+Y16+Y24+Y29+Y36+Y43+Y45+Y47+Y49+Y51+Y56+Y61+Y66</f>
        <v>-2807358.9899999998</v>
      </c>
      <c r="Z82" s="91">
        <f>Z16+Z24+Z29+Z36+Z43+Z45+Z47+Z49</f>
        <v>0</v>
      </c>
      <c r="AA82" s="92">
        <f>SUM(AA72:AA81)+AA16+AA24+AA29+AA36+AA43+AA45+AA47+AA49+AA51+AA56+AA61+AA66</f>
        <v>-8402478.6999999993</v>
      </c>
      <c r="AB82" s="91">
        <f>AB16+AB24+AB29+AB36+AB43+AB45+AB47+AB49</f>
        <v>0</v>
      </c>
      <c r="AC82" s="92">
        <f>SUM(AC72:AC81)+AC16+AC24+AC29+AC36+AC43+AC45+AC47+AC49+AC51+AC56+AC61+AC66</f>
        <v>1183620.8100000005</v>
      </c>
      <c r="AD82" s="91">
        <f>AD16+AD24+AD29+AD36+AD43+AD45+AD47+AD49</f>
        <v>0</v>
      </c>
      <c r="AE82" s="92">
        <f>SUM(AE72:AE81)+AE16+AE24+AE29+AE36+AE43+AE45+AE47+AE49+AE51+AE56+AE61+AE66</f>
        <v>-650269.54</v>
      </c>
      <c r="AF82" s="91">
        <f>AF16+AF24+AF29+AF36+AF43+AF45+AF47+AF49</f>
        <v>0</v>
      </c>
      <c r="AG82" s="92">
        <f>SUM(AG72:AG81)+AG16+AG24+AG29+AG36+AG43+AG45+AG47+AG49+AG51+AG56+AG61+AG66</f>
        <v>-7292845.71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2776671</v>
      </c>
      <c r="F86" s="145"/>
      <c r="G86" s="145">
        <v>0</v>
      </c>
      <c r="H86" s="145"/>
      <c r="I86" s="145">
        <v>0</v>
      </c>
      <c r="J86" s="145"/>
      <c r="K86" s="184">
        <v>477103</v>
      </c>
      <c r="L86" s="145"/>
      <c r="M86" s="145"/>
      <c r="N86" s="145"/>
      <c r="O86" s="145"/>
      <c r="P86" s="145"/>
      <c r="Q86" s="145"/>
      <c r="R86" s="145"/>
      <c r="S86" s="145">
        <v>-101722</v>
      </c>
      <c r="T86" s="145"/>
      <c r="U86" s="145"/>
      <c r="V86" s="145"/>
      <c r="W86" s="145">
        <v>0</v>
      </c>
      <c r="X86" s="145"/>
      <c r="Y86" s="145">
        <v>2598320</v>
      </c>
      <c r="Z86" s="145"/>
      <c r="AA86" s="145"/>
      <c r="AB86" s="145"/>
      <c r="AC86" s="145">
        <v>-197030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-9697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-402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-9295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-2057500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-2057500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709474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477103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-102124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540820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-206325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-24786864.289999999</v>
      </c>
      <c r="F91" s="160">
        <f t="shared" si="19"/>
        <v>0</v>
      </c>
      <c r="G91" s="160">
        <f t="shared" si="19"/>
        <v>11392270.580000002</v>
      </c>
      <c r="H91" s="160">
        <f>+H82+H89</f>
        <v>0</v>
      </c>
      <c r="I91" s="160">
        <f>+I82+I89</f>
        <v>-329719.30999999976</v>
      </c>
      <c r="J91" s="160">
        <f t="shared" si="19"/>
        <v>0</v>
      </c>
      <c r="K91" s="160">
        <f t="shared" si="19"/>
        <v>-21290153.469999999</v>
      </c>
      <c r="L91" s="160">
        <f t="shared" si="19"/>
        <v>0</v>
      </c>
      <c r="M91" s="160">
        <f t="shared" si="19"/>
        <v>-158335.73000000001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9058666.3200000003</v>
      </c>
      <c r="R91" s="160">
        <f>+R82+R89</f>
        <v>0</v>
      </c>
      <c r="S91" s="160">
        <f>+S82+S89</f>
        <v>566010.47</v>
      </c>
      <c r="T91" s="160">
        <f t="shared" si="20"/>
        <v>0</v>
      </c>
      <c r="U91" s="160">
        <f t="shared" si="20"/>
        <v>-4575.6000000000004</v>
      </c>
      <c r="V91" s="160">
        <f t="shared" si="20"/>
        <v>0</v>
      </c>
      <c r="W91" s="160">
        <f t="shared" si="20"/>
        <v>-6386190.4199999999</v>
      </c>
      <c r="X91" s="160">
        <f>+X82+X89</f>
        <v>0</v>
      </c>
      <c r="Y91" s="160">
        <f>+Y82+Y89</f>
        <v>-2266538.9899999998</v>
      </c>
      <c r="Z91" s="160">
        <f t="shared" si="20"/>
        <v>0</v>
      </c>
      <c r="AA91" s="160">
        <f t="shared" si="20"/>
        <v>-8402478.6999999993</v>
      </c>
      <c r="AB91" s="160">
        <f t="shared" si="20"/>
        <v>0</v>
      </c>
      <c r="AC91" s="160">
        <f t="shared" si="20"/>
        <v>977295.81000000052</v>
      </c>
      <c r="AD91" s="160">
        <f>+AD82+AD89</f>
        <v>0</v>
      </c>
      <c r="AE91" s="160">
        <f>+AE82+AE89</f>
        <v>-650269.54</v>
      </c>
      <c r="AF91" s="160">
        <f t="shared" si="20"/>
        <v>0</v>
      </c>
      <c r="AG91" s="160">
        <f t="shared" si="20"/>
        <v>-7292845.71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-37035530.399999999</v>
      </c>
      <c r="G94" s="163">
        <f>+G12+G20+G74</f>
        <v>5517125.6999999993</v>
      </c>
      <c r="I94" s="163">
        <f>+I12+I20+I74</f>
        <v>1494679.2</v>
      </c>
      <c r="K94" s="163">
        <f>+K12+K20+K74</f>
        <v>-27371723.199999999</v>
      </c>
      <c r="M94" s="163">
        <f>+M12+M20+M74</f>
        <v>-158335.73000000001</v>
      </c>
      <c r="O94" s="163">
        <f>+O12+O20+O74</f>
        <v>0</v>
      </c>
      <c r="Q94" s="163">
        <f>+Q12+Q20+Q74</f>
        <v>3804304.32</v>
      </c>
      <c r="S94" s="163">
        <f>+S12+S20+S74</f>
        <v>-111011.53000000003</v>
      </c>
      <c r="U94" s="163">
        <f>+U12+U20+U74</f>
        <v>-4575.6000000000004</v>
      </c>
      <c r="W94" s="163">
        <f>+W12+W20+W74</f>
        <v>-4504102.43</v>
      </c>
      <c r="Y94" s="163">
        <f>+Y12+Y20+Y74</f>
        <v>-1442080.99</v>
      </c>
      <c r="AA94" s="163">
        <f>+AA12+AA20+AA74</f>
        <v>-7514776.7000000002</v>
      </c>
      <c r="AC94" s="163">
        <f>+AC12+AC20+AC74</f>
        <v>384323.81000000029</v>
      </c>
      <c r="AE94" s="163">
        <f>+AE12+AE20+AE74</f>
        <v>-249522.53999999998</v>
      </c>
      <c r="AG94" s="163">
        <f>+AG12+AG20+AG74</f>
        <v>-6879834.71</v>
      </c>
    </row>
    <row r="95" spans="1:34" x14ac:dyDescent="0.2">
      <c r="A95" s="4"/>
      <c r="B95" s="3"/>
      <c r="E95" s="171">
        <v>-37035522</v>
      </c>
    </row>
    <row r="96" spans="1:34" x14ac:dyDescent="0.2">
      <c r="A96" s="4"/>
      <c r="B96" s="3"/>
      <c r="E96" s="171">
        <f>+E94-E95</f>
        <v>-8.3999999985098839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86480259</v>
      </c>
      <c r="E11" s="146">
        <v>202895435</v>
      </c>
      <c r="F11" s="60">
        <f>H11-D11</f>
        <v>0</v>
      </c>
      <c r="G11" s="37">
        <f>I11-E11</f>
        <v>0</v>
      </c>
      <c r="H11" s="65">
        <f t="shared" ref="H11:I15" si="0">D11</f>
        <v>86480259</v>
      </c>
      <c r="I11" s="66">
        <f t="shared" si="0"/>
        <v>202895435</v>
      </c>
      <c r="J11" s="37"/>
      <c r="K11" s="38"/>
      <c r="L11" s="60">
        <f t="shared" ref="L11:M15" si="1">H11+J11</f>
        <v>86480259</v>
      </c>
      <c r="M11" s="38">
        <f t="shared" si="1"/>
        <v>202895435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41011971</v>
      </c>
      <c r="E13" s="146">
        <v>97311530</v>
      </c>
      <c r="F13" s="60">
        <f t="shared" si="2"/>
        <v>0</v>
      </c>
      <c r="G13" s="37">
        <f t="shared" si="2"/>
        <v>0</v>
      </c>
      <c r="H13" s="65">
        <f t="shared" si="0"/>
        <v>41011971</v>
      </c>
      <c r="I13" s="66">
        <f t="shared" si="0"/>
        <v>97311530</v>
      </c>
      <c r="J13" s="37"/>
      <c r="K13" s="38"/>
      <c r="L13" s="60">
        <f t="shared" si="1"/>
        <v>41011971</v>
      </c>
      <c r="M13" s="38">
        <f t="shared" si="1"/>
        <v>97311530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127492230</v>
      </c>
      <c r="E16" s="166">
        <v>300206965</v>
      </c>
      <c r="F16" s="61">
        <f t="shared" ref="F16:M16" si="3">SUM(F11:F15)</f>
        <v>0</v>
      </c>
      <c r="G16" s="39">
        <f t="shared" si="3"/>
        <v>0</v>
      </c>
      <c r="H16" s="61">
        <f>SUM(H11:H15)</f>
        <v>127492230</v>
      </c>
      <c r="I16" s="39">
        <f>SUM(I11:I15)</f>
        <v>300206965</v>
      </c>
      <c r="J16" s="133">
        <f t="shared" si="3"/>
        <v>0</v>
      </c>
      <c r="K16" s="39">
        <f t="shared" si="3"/>
        <v>0</v>
      </c>
      <c r="L16" s="61">
        <f t="shared" si="3"/>
        <v>127492230</v>
      </c>
      <c r="M16" s="39">
        <f t="shared" si="3"/>
        <v>300206965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-95357565</v>
      </c>
      <c r="E19" s="146">
        <v>-222705101</v>
      </c>
      <c r="F19" s="60">
        <f>H19-D19</f>
        <v>0</v>
      </c>
      <c r="G19" s="37">
        <f>I19-E19</f>
        <v>0</v>
      </c>
      <c r="H19" s="65">
        <f t="shared" si="4"/>
        <v>-95357565</v>
      </c>
      <c r="I19" s="66">
        <f t="shared" si="4"/>
        <v>-222705101</v>
      </c>
      <c r="J19" s="37">
        <v>0</v>
      </c>
      <c r="K19" s="38">
        <v>0</v>
      </c>
      <c r="L19" s="60">
        <f t="shared" ref="L19:M23" si="5">H19+J19</f>
        <v>-95357565</v>
      </c>
      <c r="M19" s="38">
        <f t="shared" si="5"/>
        <v>-222705101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-32340740</v>
      </c>
      <c r="E21" s="146">
        <v>-77121536</v>
      </c>
      <c r="F21" s="60">
        <f t="shared" si="6"/>
        <v>0</v>
      </c>
      <c r="G21" s="37">
        <f t="shared" si="6"/>
        <v>0</v>
      </c>
      <c r="H21" s="65">
        <f t="shared" si="4"/>
        <v>-32340740</v>
      </c>
      <c r="I21" s="66">
        <f t="shared" si="4"/>
        <v>-77121536</v>
      </c>
      <c r="J21" s="37"/>
      <c r="K21" s="38"/>
      <c r="L21" s="60">
        <f t="shared" si="5"/>
        <v>-32340740</v>
      </c>
      <c r="M21" s="38">
        <f t="shared" si="5"/>
        <v>-77121536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331530</v>
      </c>
      <c r="E23" s="146">
        <v>764277</v>
      </c>
      <c r="F23" s="60">
        <f t="shared" si="6"/>
        <v>0</v>
      </c>
      <c r="G23" s="37">
        <f t="shared" si="6"/>
        <v>0</v>
      </c>
      <c r="H23" s="65">
        <f t="shared" si="4"/>
        <v>331530</v>
      </c>
      <c r="I23" s="66">
        <f t="shared" si="4"/>
        <v>764277</v>
      </c>
      <c r="J23" s="37"/>
      <c r="K23" s="38"/>
      <c r="L23" s="60">
        <f t="shared" si="5"/>
        <v>331530</v>
      </c>
      <c r="M23" s="38">
        <f t="shared" si="5"/>
        <v>764277</v>
      </c>
    </row>
    <row r="24" spans="1:13" x14ac:dyDescent="0.2">
      <c r="A24" s="9"/>
      <c r="B24" s="7" t="s">
        <v>33</v>
      </c>
      <c r="C24" s="6"/>
      <c r="D24" s="166">
        <v>-127366775</v>
      </c>
      <c r="E24" s="166">
        <v>-299062360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-127366775</v>
      </c>
      <c r="I24" s="39">
        <f>SUM(I19:I23)</f>
        <v>-299062360</v>
      </c>
      <c r="J24" s="133">
        <f t="shared" si="7"/>
        <v>0</v>
      </c>
      <c r="K24" s="39">
        <f t="shared" si="7"/>
        <v>0</v>
      </c>
      <c r="L24" s="61">
        <f t="shared" si="7"/>
        <v>-127366775</v>
      </c>
      <c r="M24" s="39">
        <f t="shared" si="7"/>
        <v>-299062360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16861</v>
      </c>
      <c r="E32" s="146">
        <v>16125</v>
      </c>
      <c r="F32" s="60">
        <f>H32-D32</f>
        <v>0</v>
      </c>
      <c r="G32" s="37">
        <f>I32-E32</f>
        <v>0</v>
      </c>
      <c r="H32" s="65">
        <f t="shared" ref="H32:I35" si="9">D32</f>
        <v>16861</v>
      </c>
      <c r="I32" s="66">
        <f t="shared" si="9"/>
        <v>16125</v>
      </c>
      <c r="J32" s="37"/>
      <c r="K32" s="38"/>
      <c r="L32" s="60">
        <f t="shared" ref="L32:M35" si="10">H32+J32</f>
        <v>16861</v>
      </c>
      <c r="M32" s="38">
        <f t="shared" si="10"/>
        <v>16125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252323</v>
      </c>
      <c r="E35" s="146">
        <v>582089</v>
      </c>
      <c r="F35" s="60">
        <f t="shared" si="11"/>
        <v>0</v>
      </c>
      <c r="G35" s="37">
        <f t="shared" si="11"/>
        <v>0</v>
      </c>
      <c r="H35" s="65">
        <f t="shared" si="9"/>
        <v>252323</v>
      </c>
      <c r="I35" s="66">
        <f t="shared" si="9"/>
        <v>582089</v>
      </c>
      <c r="J35" s="37">
        <v>0</v>
      </c>
      <c r="K35" s="38">
        <v>0</v>
      </c>
      <c r="L35" s="60">
        <f t="shared" si="10"/>
        <v>252323</v>
      </c>
      <c r="M35" s="38">
        <f t="shared" si="10"/>
        <v>582089</v>
      </c>
    </row>
    <row r="36" spans="1:13" x14ac:dyDescent="0.2">
      <c r="A36" s="9"/>
      <c r="B36" s="7" t="s">
        <v>43</v>
      </c>
      <c r="C36" s="6"/>
      <c r="D36" s="166">
        <v>269184</v>
      </c>
      <c r="E36" s="166">
        <v>598214</v>
      </c>
      <c r="F36" s="61">
        <f>SUM(F32:F35)</f>
        <v>0</v>
      </c>
      <c r="G36" s="39">
        <f>SUM(G32:G35)</f>
        <v>0</v>
      </c>
      <c r="H36" s="61">
        <f>SUM(H32:H35)</f>
        <v>269184</v>
      </c>
      <c r="I36" s="39">
        <f>SUM(I32:I35)</f>
        <v>598214</v>
      </c>
      <c r="J36" s="133">
        <f>SUM(J32:J34)</f>
        <v>0</v>
      </c>
      <c r="K36" s="39">
        <f>SUM(K32:K34)</f>
        <v>0</v>
      </c>
      <c r="L36" s="61">
        <f>SUM(L32:L35)</f>
        <v>269184</v>
      </c>
      <c r="M36" s="39">
        <f>SUM(M32:M35)</f>
        <v>598214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15000</v>
      </c>
      <c r="E39" s="146">
        <v>40875</v>
      </c>
      <c r="F39" s="60">
        <f t="shared" ref="F39:G41" si="13">H39-D39</f>
        <v>0</v>
      </c>
      <c r="G39" s="37">
        <f t="shared" si="13"/>
        <v>0</v>
      </c>
      <c r="H39" s="65">
        <f t="shared" si="12"/>
        <v>15000</v>
      </c>
      <c r="I39" s="66">
        <f t="shared" si="12"/>
        <v>40875</v>
      </c>
      <c r="J39" s="37"/>
      <c r="K39" s="38"/>
      <c r="L39" s="60">
        <f t="shared" ref="L39:M41" si="14">H39+J39</f>
        <v>15000</v>
      </c>
      <c r="M39" s="38">
        <f t="shared" si="14"/>
        <v>40875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-396449</v>
      </c>
      <c r="E40" s="146">
        <v>-952639</v>
      </c>
      <c r="F40" s="60">
        <f t="shared" si="13"/>
        <v>0</v>
      </c>
      <c r="G40" s="37">
        <f t="shared" si="13"/>
        <v>0</v>
      </c>
      <c r="H40" s="65">
        <f t="shared" si="12"/>
        <v>-396449</v>
      </c>
      <c r="I40" s="66">
        <f t="shared" si="12"/>
        <v>-952639</v>
      </c>
      <c r="J40" s="37"/>
      <c r="K40" s="38"/>
      <c r="L40" s="60">
        <f t="shared" si="14"/>
        <v>-396449</v>
      </c>
      <c r="M40" s="38">
        <f t="shared" si="14"/>
        <v>-952639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-396449</v>
      </c>
      <c r="E42" s="166">
        <v>-952639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-396449</v>
      </c>
      <c r="I42" s="39">
        <f>SUM(I40:I41)</f>
        <v>-952639</v>
      </c>
      <c r="J42" s="133">
        <f t="shared" si="15"/>
        <v>0</v>
      </c>
      <c r="K42" s="39">
        <f t="shared" si="15"/>
        <v>0</v>
      </c>
      <c r="L42" s="61">
        <f t="shared" si="15"/>
        <v>-396449</v>
      </c>
      <c r="M42" s="39">
        <f t="shared" si="15"/>
        <v>-952639</v>
      </c>
    </row>
    <row r="43" spans="1:13" ht="21" customHeight="1" x14ac:dyDescent="0.2">
      <c r="A43" s="9"/>
      <c r="B43" s="7" t="s">
        <v>49</v>
      </c>
      <c r="C43" s="6"/>
      <c r="D43" s="166">
        <v>-381449</v>
      </c>
      <c r="E43" s="166">
        <v>-911764</v>
      </c>
      <c r="F43" s="61">
        <f t="shared" ref="F43:M43" si="16">F42+F39</f>
        <v>0</v>
      </c>
      <c r="G43" s="39">
        <f t="shared" si="16"/>
        <v>0</v>
      </c>
      <c r="H43" s="61">
        <f>H42+H39</f>
        <v>-381449</v>
      </c>
      <c r="I43" s="39">
        <f>I42+I39</f>
        <v>-911764</v>
      </c>
      <c r="J43" s="133">
        <f t="shared" si="16"/>
        <v>0</v>
      </c>
      <c r="K43" s="39">
        <f t="shared" si="16"/>
        <v>0</v>
      </c>
      <c r="L43" s="61">
        <f t="shared" si="16"/>
        <v>-381449</v>
      </c>
      <c r="M43" s="39">
        <f t="shared" si="16"/>
        <v>-911764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-13190</v>
      </c>
      <c r="E49" s="146">
        <v>-30627.18</v>
      </c>
      <c r="F49" s="60">
        <f>H49-D49</f>
        <v>0</v>
      </c>
      <c r="G49" s="37">
        <f>I49-E49</f>
        <v>0</v>
      </c>
      <c r="H49" s="65">
        <f>D49</f>
        <v>-13190</v>
      </c>
      <c r="I49" s="66">
        <f>E49</f>
        <v>-30627.18</v>
      </c>
      <c r="J49" s="37"/>
      <c r="K49" s="38"/>
      <c r="L49" s="60">
        <f>H49+J49</f>
        <v>-13190</v>
      </c>
      <c r="M49" s="38">
        <f>I49+K49</f>
        <v>-30627.18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-331530</v>
      </c>
      <c r="E51" s="146">
        <v>-764277</v>
      </c>
      <c r="F51" s="60">
        <f>H51-D51</f>
        <v>0</v>
      </c>
      <c r="G51" s="37">
        <f>I51-E51</f>
        <v>0</v>
      </c>
      <c r="H51" s="65">
        <f>D51</f>
        <v>-331530</v>
      </c>
      <c r="I51" s="66">
        <f>E51</f>
        <v>-764277</v>
      </c>
      <c r="J51" s="37"/>
      <c r="K51" s="38"/>
      <c r="L51" s="60">
        <f>H51+J51</f>
        <v>-331530</v>
      </c>
      <c r="M51" s="38">
        <f>I51+K51</f>
        <v>-764277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-195130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-195130</v>
      </c>
      <c r="J54" s="37"/>
      <c r="K54" s="38"/>
      <c r="L54" s="60">
        <f>H54+J54</f>
        <v>0</v>
      </c>
      <c r="M54" s="38">
        <f>I54+K54</f>
        <v>-195130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-2688464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-2688464</v>
      </c>
      <c r="J55" s="37"/>
      <c r="K55" s="38"/>
      <c r="L55" s="60">
        <f>H55+J55</f>
        <v>0</v>
      </c>
      <c r="M55" s="38">
        <f>I55+K55</f>
        <v>-2688464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-2883594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-2883594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-2883594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7591856.8829999994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7591856.8829999994</v>
      </c>
      <c r="J70" s="37"/>
      <c r="K70" s="38"/>
      <c r="L70" s="60">
        <f t="shared" si="20"/>
        <v>0</v>
      </c>
      <c r="M70" s="38">
        <f t="shared" si="20"/>
        <v>7591856.8829999994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-1768211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-1768211</v>
      </c>
      <c r="J71" s="37"/>
      <c r="K71" s="38"/>
      <c r="L71" s="60">
        <f t="shared" si="20"/>
        <v>0</v>
      </c>
      <c r="M71" s="38">
        <f t="shared" si="20"/>
        <v>-1768211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5823645.8829999994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5823645.8829999994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5823645.8829999994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-1002755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-1002755</v>
      </c>
      <c r="J74" s="37"/>
      <c r="K74" s="38"/>
      <c r="L74" s="60">
        <f t="shared" si="24"/>
        <v>0</v>
      </c>
      <c r="M74" s="38">
        <f t="shared" si="24"/>
        <v>-1002755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49575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49575</v>
      </c>
      <c r="J75" s="37"/>
      <c r="K75" s="38"/>
      <c r="L75" s="60">
        <f t="shared" si="24"/>
        <v>0</v>
      </c>
      <c r="M75" s="38">
        <f t="shared" si="24"/>
        <v>49575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-8354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-8354</v>
      </c>
      <c r="J76" s="37"/>
      <c r="K76" s="38"/>
      <c r="L76" s="60">
        <f t="shared" si="24"/>
        <v>0</v>
      </c>
      <c r="M76" s="38">
        <f t="shared" si="24"/>
        <v>-8354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1211768.94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1211768.94</v>
      </c>
      <c r="J79" s="37"/>
      <c r="K79" s="38"/>
      <c r="L79" s="60">
        <f t="shared" si="24"/>
        <v>0</v>
      </c>
      <c r="M79" s="38">
        <f t="shared" si="24"/>
        <v>1211768.94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-5057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-5057</v>
      </c>
      <c r="J81" s="37"/>
      <c r="K81" s="38"/>
      <c r="L81" s="60">
        <f t="shared" si="24"/>
        <v>0</v>
      </c>
      <c r="M81" s="38">
        <f t="shared" si="24"/>
        <v>-5057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3221380.6430000141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3221380.6430000141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3221380.6430000141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7555750</v>
      </c>
      <c r="E11" s="146">
        <v>17429803</v>
      </c>
      <c r="F11" s="60">
        <f>H11-D11</f>
        <v>0</v>
      </c>
      <c r="G11" s="37">
        <f>I11-E11</f>
        <v>0</v>
      </c>
      <c r="H11" s="65">
        <f t="shared" ref="H11:I15" si="0">D11</f>
        <v>7555750</v>
      </c>
      <c r="I11" s="66">
        <f t="shared" si="0"/>
        <v>17429803</v>
      </c>
      <c r="J11" s="37"/>
      <c r="K11" s="38"/>
      <c r="L11" s="60">
        <f t="shared" ref="L11:M15" si="1">H11+J11</f>
        <v>7555750</v>
      </c>
      <c r="M11" s="38">
        <f t="shared" si="1"/>
        <v>17429803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3927553</v>
      </c>
      <c r="E13" s="146">
        <v>9502443</v>
      </c>
      <c r="F13" s="60">
        <f t="shared" si="2"/>
        <v>0</v>
      </c>
      <c r="G13" s="37">
        <f t="shared" si="2"/>
        <v>0</v>
      </c>
      <c r="H13" s="65">
        <f t="shared" si="0"/>
        <v>3927553</v>
      </c>
      <c r="I13" s="66">
        <f t="shared" si="0"/>
        <v>9502443</v>
      </c>
      <c r="J13" s="37"/>
      <c r="K13" s="38"/>
      <c r="L13" s="60">
        <f t="shared" si="1"/>
        <v>3927553</v>
      </c>
      <c r="M13" s="38">
        <f t="shared" si="1"/>
        <v>9502443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11483303</v>
      </c>
      <c r="E16" s="166">
        <v>26932246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11483303</v>
      </c>
      <c r="I16" s="39">
        <f>SUM(I11:I15)</f>
        <v>26932246</v>
      </c>
      <c r="J16" s="133">
        <f t="shared" si="3"/>
        <v>0</v>
      </c>
      <c r="K16" s="39">
        <f t="shared" si="3"/>
        <v>0</v>
      </c>
      <c r="L16" s="61">
        <f t="shared" si="3"/>
        <v>11483303</v>
      </c>
      <c r="M16" s="39">
        <f t="shared" si="3"/>
        <v>26932246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-4678366</v>
      </c>
      <c r="E19" s="146">
        <v>-11156729</v>
      </c>
      <c r="F19" s="60">
        <f>H19-D19</f>
        <v>0</v>
      </c>
      <c r="G19" s="37">
        <f>I19-E19</f>
        <v>0</v>
      </c>
      <c r="H19" s="65">
        <f t="shared" si="4"/>
        <v>-4678366</v>
      </c>
      <c r="I19" s="66">
        <f t="shared" si="4"/>
        <v>-11156729</v>
      </c>
      <c r="J19" s="37">
        <v>0</v>
      </c>
      <c r="K19" s="38">
        <v>0</v>
      </c>
      <c r="L19" s="60">
        <f t="shared" ref="L19:M23" si="5">H19+J19</f>
        <v>-4678366</v>
      </c>
      <c r="M19" s="38">
        <f t="shared" si="5"/>
        <v>-11156729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-6777912</v>
      </c>
      <c r="E21" s="146">
        <v>-15769833</v>
      </c>
      <c r="F21" s="60">
        <f t="shared" si="6"/>
        <v>0</v>
      </c>
      <c r="G21" s="37">
        <f t="shared" si="6"/>
        <v>0</v>
      </c>
      <c r="H21" s="65">
        <f t="shared" si="4"/>
        <v>-6777912</v>
      </c>
      <c r="I21" s="66">
        <f t="shared" si="4"/>
        <v>-15769833</v>
      </c>
      <c r="J21" s="37"/>
      <c r="K21" s="38"/>
      <c r="L21" s="60">
        <f t="shared" si="5"/>
        <v>-6777912</v>
      </c>
      <c r="M21" s="38">
        <f t="shared" si="5"/>
        <v>-15769833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84</v>
      </c>
      <c r="E23" s="146">
        <v>200</v>
      </c>
      <c r="F23" s="60">
        <f t="shared" si="6"/>
        <v>0</v>
      </c>
      <c r="G23" s="37">
        <f t="shared" si="6"/>
        <v>0</v>
      </c>
      <c r="H23" s="65">
        <f t="shared" si="4"/>
        <v>84</v>
      </c>
      <c r="I23" s="66">
        <f t="shared" si="4"/>
        <v>200</v>
      </c>
      <c r="J23" s="37"/>
      <c r="K23" s="38"/>
      <c r="L23" s="60">
        <f t="shared" si="5"/>
        <v>84</v>
      </c>
      <c r="M23" s="38">
        <f t="shared" si="5"/>
        <v>200</v>
      </c>
    </row>
    <row r="24" spans="1:13" x14ac:dyDescent="0.2">
      <c r="A24" s="9"/>
      <c r="B24" s="7" t="s">
        <v>33</v>
      </c>
      <c r="C24" s="6"/>
      <c r="D24" s="166">
        <v>-11456194</v>
      </c>
      <c r="E24" s="166">
        <v>-26926362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-11456194</v>
      </c>
      <c r="I24" s="39">
        <f>SUM(I19:I23)</f>
        <v>-26926362</v>
      </c>
      <c r="J24" s="133">
        <f t="shared" si="7"/>
        <v>0</v>
      </c>
      <c r="K24" s="39">
        <f t="shared" si="7"/>
        <v>0</v>
      </c>
      <c r="L24" s="61">
        <f t="shared" si="7"/>
        <v>-11456194</v>
      </c>
      <c r="M24" s="39">
        <f t="shared" si="7"/>
        <v>-26926362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-56791</v>
      </c>
      <c r="E32" s="146">
        <v>-58</v>
      </c>
      <c r="F32" s="60">
        <f>H32-D32</f>
        <v>0</v>
      </c>
      <c r="G32" s="37">
        <f>I32-E32</f>
        <v>0</v>
      </c>
      <c r="H32" s="65">
        <f t="shared" ref="H32:I35" si="9">D32</f>
        <v>-56791</v>
      </c>
      <c r="I32" s="66">
        <f t="shared" si="9"/>
        <v>-58</v>
      </c>
      <c r="J32" s="37"/>
      <c r="K32" s="38"/>
      <c r="L32" s="60">
        <f t="shared" ref="L32:M35" si="10">H32+J32</f>
        <v>-56791</v>
      </c>
      <c r="M32" s="38">
        <f t="shared" si="10"/>
        <v>-58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-56791</v>
      </c>
      <c r="E36" s="166">
        <v>-58</v>
      </c>
      <c r="F36" s="61">
        <f>SUM(F32:F35)</f>
        <v>0</v>
      </c>
      <c r="G36" s="39">
        <f>SUM(G32:G35)</f>
        <v>0</v>
      </c>
      <c r="H36" s="61">
        <f>SUM(H32:H35)</f>
        <v>-56791</v>
      </c>
      <c r="I36" s="39">
        <f>SUM(I32:I35)</f>
        <v>-58</v>
      </c>
      <c r="J36" s="133">
        <f>SUM(J32:J34)</f>
        <v>0</v>
      </c>
      <c r="K36" s="39">
        <f>SUM(K32:K34)</f>
        <v>0</v>
      </c>
      <c r="L36" s="61">
        <f>SUM(L32:L35)</f>
        <v>-56791</v>
      </c>
      <c r="M36" s="39">
        <f>SUM(M32:M35)</f>
        <v>-58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29682</v>
      </c>
      <c r="E49" s="146">
        <v>67877.929239970021</v>
      </c>
      <c r="F49" s="60">
        <f>H49-D49</f>
        <v>0</v>
      </c>
      <c r="G49" s="37">
        <f>I49-E49</f>
        <v>0</v>
      </c>
      <c r="H49" s="65">
        <f>D49</f>
        <v>29682</v>
      </c>
      <c r="I49" s="66">
        <f>E49</f>
        <v>67877.929239970021</v>
      </c>
      <c r="J49" s="37"/>
      <c r="K49" s="38"/>
      <c r="L49" s="60">
        <f>H49+J49</f>
        <v>29682</v>
      </c>
      <c r="M49" s="38">
        <f>I49+K49</f>
        <v>67877.929239970021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-84</v>
      </c>
      <c r="E51" s="146">
        <v>-200</v>
      </c>
      <c r="F51" s="60">
        <f>H51-D51</f>
        <v>0</v>
      </c>
      <c r="G51" s="37">
        <f>I51-E51</f>
        <v>0</v>
      </c>
      <c r="H51" s="65">
        <f>D51</f>
        <v>-84</v>
      </c>
      <c r="I51" s="66">
        <f>E51</f>
        <v>-200</v>
      </c>
      <c r="J51" s="37"/>
      <c r="K51" s="38"/>
      <c r="L51" s="60">
        <f>H51+J51</f>
        <v>-84</v>
      </c>
      <c r="M51" s="38">
        <f>I51+K51</f>
        <v>-200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</v>
      </c>
      <c r="J54" s="37"/>
      <c r="K54" s="38"/>
      <c r="L54" s="60">
        <f>H54+J54</f>
        <v>0</v>
      </c>
      <c r="M54" s="38">
        <f>I54+K54</f>
        <v>-64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-7483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-7483</v>
      </c>
      <c r="J55" s="37"/>
      <c r="K55" s="38"/>
      <c r="L55" s="60">
        <f>H55+J55</f>
        <v>0</v>
      </c>
      <c r="M55" s="38">
        <f>I55+K55</f>
        <v>-7483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-7547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-7547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-7547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-322863.26569999999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-322863.26569999999</v>
      </c>
      <c r="J70" s="37"/>
      <c r="K70" s="38"/>
      <c r="L70" s="60">
        <f t="shared" si="20"/>
        <v>0</v>
      </c>
      <c r="M70" s="38">
        <f t="shared" si="20"/>
        <v>-322863.26569999999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-77884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-77884</v>
      </c>
      <c r="J71" s="37"/>
      <c r="K71" s="38"/>
      <c r="L71" s="60">
        <f t="shared" si="20"/>
        <v>0</v>
      </c>
      <c r="M71" s="38">
        <f t="shared" si="20"/>
        <v>-77884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-400747.26569999999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-400747.26569999999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-400747.26569999999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453414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453414</v>
      </c>
      <c r="J74" s="37"/>
      <c r="K74" s="38"/>
      <c r="L74" s="60">
        <f t="shared" si="23"/>
        <v>0</v>
      </c>
      <c r="M74" s="38">
        <f t="shared" si="23"/>
        <v>453414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153274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153274</v>
      </c>
      <c r="J81" s="37"/>
      <c r="K81" s="38"/>
      <c r="L81" s="60">
        <f t="shared" si="23"/>
        <v>0</v>
      </c>
      <c r="M81" s="38">
        <f t="shared" si="23"/>
        <v>153274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271897.66353996878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271897.66353996878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271897.66353996878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16545855</v>
      </c>
      <c r="E11" s="146">
        <v>40536583</v>
      </c>
      <c r="F11" s="60">
        <f>H11-D11</f>
        <v>0</v>
      </c>
      <c r="G11" s="37">
        <f>I11-E11</f>
        <v>0</v>
      </c>
      <c r="H11" s="65">
        <f t="shared" ref="H11:I15" si="0">D11</f>
        <v>16545855</v>
      </c>
      <c r="I11" s="66">
        <f t="shared" si="0"/>
        <v>40536583</v>
      </c>
      <c r="J11" s="37"/>
      <c r="K11" s="38"/>
      <c r="L11" s="60">
        <f t="shared" ref="L11:M15" si="1">H11+J11</f>
        <v>16545855</v>
      </c>
      <c r="M11" s="38">
        <f t="shared" si="1"/>
        <v>40536583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25646524</v>
      </c>
      <c r="E13" s="146">
        <v>62333419</v>
      </c>
      <c r="F13" s="60">
        <f t="shared" si="2"/>
        <v>0</v>
      </c>
      <c r="G13" s="37">
        <f t="shared" si="2"/>
        <v>0</v>
      </c>
      <c r="H13" s="65">
        <f t="shared" si="0"/>
        <v>25646524</v>
      </c>
      <c r="I13" s="66">
        <f t="shared" si="0"/>
        <v>62333419</v>
      </c>
      <c r="J13" s="37"/>
      <c r="K13" s="38"/>
      <c r="L13" s="60">
        <f t="shared" si="1"/>
        <v>25646524</v>
      </c>
      <c r="M13" s="38">
        <f t="shared" si="1"/>
        <v>62333419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42192379</v>
      </c>
      <c r="E16" s="166">
        <v>102870002</v>
      </c>
      <c r="F16" s="61">
        <f t="shared" ref="F16:M16" si="3">SUM(F11:F15)</f>
        <v>0</v>
      </c>
      <c r="G16" s="39">
        <f t="shared" si="3"/>
        <v>0</v>
      </c>
      <c r="H16" s="61">
        <f>SUM(H11:H15)</f>
        <v>42192379</v>
      </c>
      <c r="I16" s="39">
        <f>SUM(I11:I15)</f>
        <v>102870002</v>
      </c>
      <c r="J16" s="133">
        <f t="shared" si="3"/>
        <v>0</v>
      </c>
      <c r="K16" s="39">
        <f t="shared" si="3"/>
        <v>0</v>
      </c>
      <c r="L16" s="61">
        <f t="shared" si="3"/>
        <v>42192379</v>
      </c>
      <c r="M16" s="39">
        <f t="shared" si="3"/>
        <v>102870002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-11681391</v>
      </c>
      <c r="E19" s="146">
        <v>-27562027</v>
      </c>
      <c r="F19" s="60">
        <f>H19-D19</f>
        <v>0</v>
      </c>
      <c r="G19" s="37">
        <f>I19-E19</f>
        <v>0</v>
      </c>
      <c r="H19" s="65">
        <f t="shared" si="4"/>
        <v>-11681391</v>
      </c>
      <c r="I19" s="66">
        <f t="shared" si="4"/>
        <v>-27562027</v>
      </c>
      <c r="J19" s="37">
        <v>0</v>
      </c>
      <c r="K19" s="38">
        <v>0</v>
      </c>
      <c r="L19" s="60">
        <f t="shared" ref="L19:M23" si="5">H19+J19</f>
        <v>-11681391</v>
      </c>
      <c r="M19" s="38">
        <f t="shared" si="5"/>
        <v>-27562027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-30848646</v>
      </c>
      <c r="E21" s="146">
        <v>-74567387</v>
      </c>
      <c r="F21" s="60">
        <f t="shared" si="6"/>
        <v>0</v>
      </c>
      <c r="G21" s="37">
        <f t="shared" si="6"/>
        <v>0</v>
      </c>
      <c r="H21" s="65">
        <f t="shared" si="4"/>
        <v>-30848646</v>
      </c>
      <c r="I21" s="66">
        <f t="shared" si="4"/>
        <v>-74567387</v>
      </c>
      <c r="J21" s="37"/>
      <c r="K21" s="38"/>
      <c r="L21" s="60">
        <f t="shared" si="5"/>
        <v>-30848646</v>
      </c>
      <c r="M21" s="38">
        <f t="shared" si="5"/>
        <v>-74567387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325104</v>
      </c>
      <c r="E23" s="146">
        <v>773031</v>
      </c>
      <c r="F23" s="60">
        <f t="shared" si="6"/>
        <v>0</v>
      </c>
      <c r="G23" s="37">
        <f t="shared" si="6"/>
        <v>0</v>
      </c>
      <c r="H23" s="65">
        <f t="shared" si="4"/>
        <v>325104</v>
      </c>
      <c r="I23" s="66">
        <f t="shared" si="4"/>
        <v>773031</v>
      </c>
      <c r="J23" s="37"/>
      <c r="K23" s="38"/>
      <c r="L23" s="60">
        <f t="shared" si="5"/>
        <v>325104</v>
      </c>
      <c r="M23" s="38">
        <f t="shared" si="5"/>
        <v>773031</v>
      </c>
    </row>
    <row r="24" spans="1:13" x14ac:dyDescent="0.2">
      <c r="A24" s="9"/>
      <c r="B24" s="7" t="s">
        <v>33</v>
      </c>
      <c r="C24" s="6"/>
      <c r="D24" s="166">
        <v>-42204933</v>
      </c>
      <c r="E24" s="166">
        <v>-101356383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-42204933</v>
      </c>
      <c r="I24" s="39">
        <f>SUM(I19:I23)</f>
        <v>-101356383</v>
      </c>
      <c r="J24" s="133">
        <f t="shared" si="7"/>
        <v>0</v>
      </c>
      <c r="K24" s="39">
        <f t="shared" si="7"/>
        <v>0</v>
      </c>
      <c r="L24" s="61">
        <f t="shared" si="7"/>
        <v>-42204933</v>
      </c>
      <c r="M24" s="39">
        <f t="shared" si="7"/>
        <v>-101356383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12554</v>
      </c>
      <c r="E49" s="146">
        <v>29721.637375299964</v>
      </c>
      <c r="F49" s="60">
        <f>H49-D49</f>
        <v>0</v>
      </c>
      <c r="G49" s="37">
        <f>I49-E49</f>
        <v>0</v>
      </c>
      <c r="H49" s="65">
        <f>D49</f>
        <v>12554</v>
      </c>
      <c r="I49" s="66">
        <f>E49</f>
        <v>29721.637375299964</v>
      </c>
      <c r="J49" s="37"/>
      <c r="K49" s="38"/>
      <c r="L49" s="60">
        <f>H49+J49</f>
        <v>12554</v>
      </c>
      <c r="M49" s="38">
        <f>I49+K49</f>
        <v>29721.637375299964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-325104</v>
      </c>
      <c r="E51" s="146">
        <v>-773031</v>
      </c>
      <c r="F51" s="60">
        <f>H51-D51</f>
        <v>0</v>
      </c>
      <c r="G51" s="37">
        <f>I51-E51</f>
        <v>0</v>
      </c>
      <c r="H51" s="65">
        <f>D51</f>
        <v>-325104</v>
      </c>
      <c r="I51" s="66">
        <f>E51</f>
        <v>-773031</v>
      </c>
      <c r="J51" s="37"/>
      <c r="K51" s="38"/>
      <c r="L51" s="60">
        <f>H51+J51</f>
        <v>-325104</v>
      </c>
      <c r="M51" s="38">
        <f>I51+K51</f>
        <v>-773031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-71026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-71026</v>
      </c>
      <c r="J54" s="37"/>
      <c r="K54" s="38"/>
      <c r="L54" s="60">
        <f>H54+J54</f>
        <v>0</v>
      </c>
      <c r="M54" s="38">
        <f>I54+K54</f>
        <v>-71026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-71026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-71026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-71026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12261468.489899993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12261468.489899993</v>
      </c>
      <c r="J70" s="37"/>
      <c r="K70" s="38"/>
      <c r="L70" s="60">
        <f t="shared" si="20"/>
        <v>0</v>
      </c>
      <c r="M70" s="38">
        <f t="shared" si="20"/>
        <v>12261468.489899993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-14085870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-14085870</v>
      </c>
      <c r="J71" s="37"/>
      <c r="K71" s="38"/>
      <c r="L71" s="60">
        <f t="shared" si="20"/>
        <v>0</v>
      </c>
      <c r="M71" s="38">
        <f t="shared" si="20"/>
        <v>-14085870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-1824401.5101000071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-1824401.5101000071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-1824401.5101000071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670073.51010000007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670073.51010000007</v>
      </c>
      <c r="J74" s="37"/>
      <c r="K74" s="38"/>
      <c r="L74" s="60">
        <f t="shared" si="23"/>
        <v>0</v>
      </c>
      <c r="M74" s="38">
        <f t="shared" si="23"/>
        <v>670073.51010000007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12711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12711</v>
      </c>
      <c r="J81" s="37"/>
      <c r="K81" s="38"/>
      <c r="L81" s="60">
        <f t="shared" si="23"/>
        <v>0</v>
      </c>
      <c r="M81" s="38">
        <f t="shared" si="23"/>
        <v>12711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-442333.36262470006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-442333.36262470006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-442333.36262470006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45" activePane="bottomRight" state="frozen"/>
      <selection activeCell="D10" sqref="D10"/>
      <selection pane="topRight" activeCell="D10" sqref="D10"/>
      <selection pane="bottomLeft" activeCell="D10" sqref="D10"/>
      <selection pane="bottomRight" activeCell="C54" sqref="C5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196234304</v>
      </c>
      <c r="E11" s="217">
        <v>490071985.8439247</v>
      </c>
      <c r="F11" s="60">
        <f>H11-D11</f>
        <v>0</v>
      </c>
      <c r="G11" s="37">
        <f>I11-E11</f>
        <v>0</v>
      </c>
      <c r="H11" s="65">
        <f>D11</f>
        <v>196234304</v>
      </c>
      <c r="I11" s="66">
        <f>E11</f>
        <v>490071985.8439247</v>
      </c>
      <c r="J11" s="60"/>
      <c r="K11" s="38"/>
      <c r="L11" s="60">
        <f t="shared" ref="L11:M15" si="0">H11+J11</f>
        <v>196234304</v>
      </c>
      <c r="M11" s="38">
        <f t="shared" si="0"/>
        <v>490071985.8439247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78004071</v>
      </c>
      <c r="E13" s="217">
        <v>201341832</v>
      </c>
      <c r="F13" s="60">
        <f t="shared" si="1"/>
        <v>0</v>
      </c>
      <c r="G13" s="37">
        <f t="shared" si="1"/>
        <v>0</v>
      </c>
      <c r="H13" s="65">
        <f t="shared" si="2"/>
        <v>78004071</v>
      </c>
      <c r="I13" s="66">
        <f t="shared" si="2"/>
        <v>201341832</v>
      </c>
      <c r="J13" s="60"/>
      <c r="K13" s="38"/>
      <c r="L13" s="60">
        <f t="shared" si="0"/>
        <v>78004071</v>
      </c>
      <c r="M13" s="38">
        <f t="shared" si="0"/>
        <v>201341832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274238375</v>
      </c>
      <c r="E16" s="218">
        <v>691413321.84392476</v>
      </c>
      <c r="F16" s="61">
        <f t="shared" ref="F16:M16" si="3">SUM(F11:F15)</f>
        <v>0</v>
      </c>
      <c r="G16" s="39">
        <f t="shared" si="3"/>
        <v>0</v>
      </c>
      <c r="H16" s="61">
        <f>SUM(H11:H15)</f>
        <v>274238375</v>
      </c>
      <c r="I16" s="39">
        <f>SUM(I11:I15)</f>
        <v>691413321.84392476</v>
      </c>
      <c r="J16" s="61">
        <f t="shared" si="3"/>
        <v>0</v>
      </c>
      <c r="K16" s="39">
        <f t="shared" si="3"/>
        <v>0</v>
      </c>
      <c r="L16" s="61">
        <f t="shared" si="3"/>
        <v>274238375</v>
      </c>
      <c r="M16" s="39">
        <f t="shared" si="3"/>
        <v>691413321.84392476</v>
      </c>
    </row>
    <row r="17" spans="1:13" x14ac:dyDescent="0.2">
      <c r="A17" s="9"/>
      <c r="B17" s="7"/>
      <c r="C17" s="6"/>
      <c r="D17" s="219"/>
      <c r="E17" s="219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/>
      <c r="E18" s="219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-181648816</v>
      </c>
      <c r="E19" s="217">
        <v>-442342911</v>
      </c>
      <c r="F19" s="60">
        <f>H19-D19</f>
        <v>0</v>
      </c>
      <c r="G19" s="37">
        <f>I19-E19</f>
        <v>0</v>
      </c>
      <c r="H19" s="65">
        <f t="shared" si="4"/>
        <v>-181648816</v>
      </c>
      <c r="I19" s="66">
        <f t="shared" si="4"/>
        <v>-442342911</v>
      </c>
      <c r="J19" s="60"/>
      <c r="K19" s="38"/>
      <c r="L19" s="60">
        <f t="shared" ref="L19:M23" si="5">H19+J19</f>
        <v>-181648816</v>
      </c>
      <c r="M19" s="38">
        <f t="shared" si="5"/>
        <v>-442342911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-82385658</v>
      </c>
      <c r="E21" s="217">
        <v>-214966656</v>
      </c>
      <c r="F21" s="60">
        <f t="shared" si="6"/>
        <v>0</v>
      </c>
      <c r="G21" s="37">
        <f t="shared" si="6"/>
        <v>0</v>
      </c>
      <c r="H21" s="65">
        <f t="shared" si="4"/>
        <v>-82385658</v>
      </c>
      <c r="I21" s="66">
        <f t="shared" si="4"/>
        <v>-214966656</v>
      </c>
      <c r="J21" s="60"/>
      <c r="K21" s="38"/>
      <c r="L21" s="60">
        <f t="shared" si="5"/>
        <v>-82385658</v>
      </c>
      <c r="M21" s="38">
        <f t="shared" si="5"/>
        <v>-214966656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514927</v>
      </c>
      <c r="E23" s="217">
        <v>1274153</v>
      </c>
      <c r="F23" s="60">
        <f t="shared" si="6"/>
        <v>0</v>
      </c>
      <c r="G23" s="37">
        <f t="shared" si="6"/>
        <v>0</v>
      </c>
      <c r="H23" s="65">
        <f t="shared" si="4"/>
        <v>514927</v>
      </c>
      <c r="I23" s="66">
        <f t="shared" si="4"/>
        <v>1274153</v>
      </c>
      <c r="J23" s="60"/>
      <c r="K23" s="38"/>
      <c r="L23" s="60">
        <f t="shared" si="5"/>
        <v>514927</v>
      </c>
      <c r="M23" s="38">
        <f t="shared" si="5"/>
        <v>1274153</v>
      </c>
    </row>
    <row r="24" spans="1:13" x14ac:dyDescent="0.2">
      <c r="A24" s="9"/>
      <c r="B24" s="7" t="s">
        <v>33</v>
      </c>
      <c r="C24" s="6"/>
      <c r="D24" s="218">
        <v>-263519547</v>
      </c>
      <c r="E24" s="218">
        <v>-656035414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-263519547</v>
      </c>
      <c r="I24" s="39">
        <f>SUM(I19:I23)</f>
        <v>-656035414</v>
      </c>
      <c r="J24" s="61">
        <f t="shared" si="7"/>
        <v>0</v>
      </c>
      <c r="K24" s="39">
        <f t="shared" si="7"/>
        <v>0</v>
      </c>
      <c r="L24" s="61">
        <f t="shared" si="7"/>
        <v>-263519547</v>
      </c>
      <c r="M24" s="39">
        <f t="shared" si="7"/>
        <v>-656035414</v>
      </c>
    </row>
    <row r="25" spans="1:13" x14ac:dyDescent="0.2">
      <c r="A25" s="9"/>
      <c r="B25" s="7"/>
      <c r="C25" s="6"/>
      <c r="D25" s="219"/>
      <c r="E25" s="219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/>
      <c r="E26" s="219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/>
      <c r="E30" s="219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/>
      <c r="E31" s="219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-2118787</v>
      </c>
      <c r="E32" s="217">
        <v>-5274638</v>
      </c>
      <c r="F32" s="60">
        <f>H32-D32</f>
        <v>0</v>
      </c>
      <c r="G32" s="37">
        <f>I32-E32</f>
        <v>0</v>
      </c>
      <c r="H32" s="65">
        <f t="shared" ref="H32:I35" si="9">D32</f>
        <v>-2118787</v>
      </c>
      <c r="I32" s="66">
        <f t="shared" si="9"/>
        <v>-5274638</v>
      </c>
      <c r="J32" s="60"/>
      <c r="K32" s="38"/>
      <c r="L32" s="60">
        <f t="shared" ref="L32:M35" si="10">H32+J32</f>
        <v>-2118787</v>
      </c>
      <c r="M32" s="38">
        <f t="shared" si="10"/>
        <v>-5274638</v>
      </c>
    </row>
    <row r="33" spans="1:13" x14ac:dyDescent="0.2">
      <c r="A33" s="9">
        <v>14</v>
      </c>
      <c r="B33" s="7"/>
      <c r="C33" s="18" t="s">
        <v>40</v>
      </c>
      <c r="D33" s="217">
        <v>407133</v>
      </c>
      <c r="E33" s="217">
        <v>929952</v>
      </c>
      <c r="F33" s="60">
        <f t="shared" ref="F33:G35" si="11">H33-D33</f>
        <v>0</v>
      </c>
      <c r="G33" s="37">
        <f t="shared" si="11"/>
        <v>0</v>
      </c>
      <c r="H33" s="65">
        <f t="shared" si="9"/>
        <v>407133</v>
      </c>
      <c r="I33" s="66">
        <f t="shared" si="9"/>
        <v>929952</v>
      </c>
      <c r="J33" s="60"/>
      <c r="K33" s="38"/>
      <c r="L33" s="60">
        <f t="shared" si="10"/>
        <v>407133</v>
      </c>
      <c r="M33" s="38">
        <f t="shared" si="10"/>
        <v>929952</v>
      </c>
    </row>
    <row r="34" spans="1:13" x14ac:dyDescent="0.2">
      <c r="A34" s="9">
        <v>15</v>
      </c>
      <c r="B34" s="7"/>
      <c r="C34" s="18" t="s">
        <v>41</v>
      </c>
      <c r="D34" s="217">
        <v>-816595</v>
      </c>
      <c r="E34" s="217">
        <v>-1863552</v>
      </c>
      <c r="F34" s="60">
        <f t="shared" si="11"/>
        <v>0</v>
      </c>
      <c r="G34" s="37">
        <f t="shared" si="11"/>
        <v>0</v>
      </c>
      <c r="H34" s="65">
        <f t="shared" si="9"/>
        <v>-816595</v>
      </c>
      <c r="I34" s="66">
        <f t="shared" si="9"/>
        <v>-1863552</v>
      </c>
      <c r="J34" s="60"/>
      <c r="K34" s="38"/>
      <c r="L34" s="60">
        <f t="shared" si="10"/>
        <v>-816595</v>
      </c>
      <c r="M34" s="38">
        <f t="shared" si="10"/>
        <v>-1863552</v>
      </c>
    </row>
    <row r="35" spans="1:13" x14ac:dyDescent="0.2">
      <c r="A35" s="9">
        <v>16</v>
      </c>
      <c r="B35" s="7"/>
      <c r="C35" s="18" t="s">
        <v>42</v>
      </c>
      <c r="D35" s="217">
        <v>-939991</v>
      </c>
      <c r="E35" s="217">
        <v>-2167386</v>
      </c>
      <c r="F35" s="60">
        <f t="shared" si="11"/>
        <v>0</v>
      </c>
      <c r="G35" s="37">
        <f t="shared" si="11"/>
        <v>0</v>
      </c>
      <c r="H35" s="65">
        <f t="shared" si="9"/>
        <v>-939991</v>
      </c>
      <c r="I35" s="66">
        <f t="shared" si="9"/>
        <v>-2167386</v>
      </c>
      <c r="J35" s="60"/>
      <c r="K35" s="38"/>
      <c r="L35" s="60">
        <f t="shared" si="10"/>
        <v>-939991</v>
      </c>
      <c r="M35" s="38">
        <f t="shared" si="10"/>
        <v>-2167386</v>
      </c>
    </row>
    <row r="36" spans="1:13" x14ac:dyDescent="0.2">
      <c r="A36" s="9"/>
      <c r="B36" s="7" t="s">
        <v>43</v>
      </c>
      <c r="C36" s="6"/>
      <c r="D36" s="218">
        <v>-3468240</v>
      </c>
      <c r="E36" s="218">
        <v>-8375624</v>
      </c>
      <c r="F36" s="61">
        <f>SUM(F32:F35)</f>
        <v>0</v>
      </c>
      <c r="G36" s="39">
        <f>SUM(G32:G35)</f>
        <v>0</v>
      </c>
      <c r="H36" s="61">
        <f>SUM(H32:H35)</f>
        <v>-3468240</v>
      </c>
      <c r="I36" s="39">
        <f>SUM(I32:I35)</f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">
      <c r="A37" s="9"/>
      <c r="B37" s="7"/>
      <c r="C37" s="6"/>
      <c r="D37" s="219"/>
      <c r="E37" s="219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/>
      <c r="E38" s="219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925403</v>
      </c>
      <c r="E39" s="217">
        <v>2183950</v>
      </c>
      <c r="F39" s="60">
        <f t="shared" ref="F39:G41" si="13">H39-D39</f>
        <v>0</v>
      </c>
      <c r="G39" s="37">
        <f t="shared" si="13"/>
        <v>0</v>
      </c>
      <c r="H39" s="65">
        <f t="shared" si="12"/>
        <v>925403</v>
      </c>
      <c r="I39" s="66">
        <f t="shared" si="12"/>
        <v>2183950</v>
      </c>
      <c r="J39" s="60"/>
      <c r="K39" s="38"/>
      <c r="L39" s="60">
        <f t="shared" ref="L39:M41" si="14">H39+J39</f>
        <v>925403</v>
      </c>
      <c r="M39" s="38">
        <f t="shared" si="14"/>
        <v>2183950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-5802948</v>
      </c>
      <c r="E40" s="217">
        <v>-14112628</v>
      </c>
      <c r="F40" s="60">
        <f t="shared" si="13"/>
        <v>0</v>
      </c>
      <c r="G40" s="37">
        <f t="shared" si="13"/>
        <v>0</v>
      </c>
      <c r="H40" s="65">
        <f t="shared" si="12"/>
        <v>-5802948</v>
      </c>
      <c r="I40" s="66">
        <f t="shared" si="12"/>
        <v>-14112628</v>
      </c>
      <c r="J40" s="60"/>
      <c r="K40" s="38"/>
      <c r="L40" s="60">
        <f t="shared" si="14"/>
        <v>-5802948</v>
      </c>
      <c r="M40" s="38">
        <f t="shared" si="14"/>
        <v>-14112628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-5802948</v>
      </c>
      <c r="E42" s="218">
        <v>-14112628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-5802948</v>
      </c>
      <c r="I42" s="39">
        <f>SUM(I40:I41)</f>
        <v>-14112628</v>
      </c>
      <c r="J42" s="61">
        <f t="shared" si="15"/>
        <v>0</v>
      </c>
      <c r="K42" s="39">
        <f t="shared" si="15"/>
        <v>0</v>
      </c>
      <c r="L42" s="61">
        <f t="shared" si="15"/>
        <v>-5802948</v>
      </c>
      <c r="M42" s="39">
        <f t="shared" si="15"/>
        <v>-14112628</v>
      </c>
    </row>
    <row r="43" spans="1:13" ht="21" customHeight="1" x14ac:dyDescent="0.2">
      <c r="A43" s="9"/>
      <c r="B43" s="7" t="s">
        <v>49</v>
      </c>
      <c r="C43" s="6"/>
      <c r="D43" s="218">
        <v>-4877545</v>
      </c>
      <c r="E43" s="218">
        <v>-11928678</v>
      </c>
      <c r="F43" s="61">
        <f t="shared" ref="F43:M43" si="16">F42+F39</f>
        <v>0</v>
      </c>
      <c r="G43" s="39">
        <f t="shared" si="16"/>
        <v>0</v>
      </c>
      <c r="H43" s="61">
        <f>H42+H39</f>
        <v>-4877545</v>
      </c>
      <c r="I43" s="39">
        <f>I42+I39</f>
        <v>-11928678</v>
      </c>
      <c r="J43" s="61">
        <f t="shared" si="16"/>
        <v>0</v>
      </c>
      <c r="K43" s="39">
        <f t="shared" si="16"/>
        <v>0</v>
      </c>
      <c r="L43" s="61">
        <f t="shared" si="16"/>
        <v>-4877545</v>
      </c>
      <c r="M43" s="39">
        <f t="shared" si="16"/>
        <v>-11928678</v>
      </c>
    </row>
    <row r="44" spans="1:13" x14ac:dyDescent="0.2">
      <c r="A44" s="9"/>
      <c r="B44" s="7"/>
      <c r="C44" s="6"/>
      <c r="D44" s="219"/>
      <c r="E44" s="219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-2373043</v>
      </c>
      <c r="E49" s="217">
        <v>-5720449.3496866329</v>
      </c>
      <c r="F49" s="60">
        <f>H49-D49</f>
        <v>0</v>
      </c>
      <c r="G49" s="37">
        <f>I49-E49</f>
        <v>0</v>
      </c>
      <c r="H49" s="65">
        <f>D49</f>
        <v>-2373043</v>
      </c>
      <c r="I49" s="66">
        <f>E49</f>
        <v>-5720449.3496866329</v>
      </c>
      <c r="J49" s="60"/>
      <c r="K49" s="38"/>
      <c r="L49" s="60">
        <f>H49+J49</f>
        <v>-2373043</v>
      </c>
      <c r="M49" s="38">
        <f>I49+K49</f>
        <v>-5720449.3496866329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-514927</v>
      </c>
      <c r="E51" s="217">
        <v>-1274153</v>
      </c>
      <c r="F51" s="60">
        <f>H51-D51</f>
        <v>0</v>
      </c>
      <c r="G51" s="37">
        <f>I51-E51</f>
        <v>0</v>
      </c>
      <c r="H51" s="65">
        <f>D51</f>
        <v>-514927</v>
      </c>
      <c r="I51" s="66">
        <f>E51</f>
        <v>-1274153</v>
      </c>
      <c r="J51" s="60"/>
      <c r="K51" s="38"/>
      <c r="L51" s="60">
        <f>H51+J51</f>
        <v>-514927</v>
      </c>
      <c r="M51" s="38">
        <f>I51+K51</f>
        <v>-1274153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-1569739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-1569739</v>
      </c>
      <c r="J54" s="60"/>
      <c r="K54" s="38"/>
      <c r="L54" s="60">
        <f>H54+J54</f>
        <v>0</v>
      </c>
      <c r="M54" s="38">
        <f>I54+K54</f>
        <v>-1569739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v>-1298289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-1298289</v>
      </c>
      <c r="J55" s="60"/>
      <c r="K55" s="38"/>
      <c r="L55" s="60">
        <f>H55+J55</f>
        <v>0</v>
      </c>
      <c r="M55" s="38">
        <f>I55+K55</f>
        <v>-1298289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-2868028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-2868028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-2868028</v>
      </c>
    </row>
    <row r="57" spans="1:15" x14ac:dyDescent="0.2">
      <c r="A57" s="9"/>
      <c r="B57" s="7"/>
      <c r="C57" s="6"/>
      <c r="D57" s="219"/>
      <c r="E57" s="219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/>
      <c r="E58" s="219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219"/>
      <c r="E62" s="219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/>
      <c r="E63" s="219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55220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55220</v>
      </c>
      <c r="J64" s="60"/>
      <c r="K64" s="38"/>
      <c r="L64" s="60">
        <f>H64+J64</f>
        <v>0</v>
      </c>
      <c r="M64" s="38">
        <f>I64+K64</f>
        <v>55220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55220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55220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55220</v>
      </c>
    </row>
    <row r="67" spans="1:13" x14ac:dyDescent="0.2">
      <c r="A67" s="9"/>
      <c r="B67" s="7"/>
      <c r="C67" s="6"/>
      <c r="D67" s="219"/>
      <c r="E67" s="219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/>
      <c r="E68" s="219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/>
      <c r="E69" s="219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13133657.730900001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13133657.730900001</v>
      </c>
      <c r="J70" s="60"/>
      <c r="K70" s="38"/>
      <c r="L70" s="60">
        <f>H70+J70</f>
        <v>0</v>
      </c>
      <c r="M70" s="38">
        <f>I70+K70</f>
        <v>13133657.730900001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-5194256.8949999996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-5194256.8949999996</v>
      </c>
      <c r="J71" s="60"/>
      <c r="K71" s="38"/>
      <c r="L71" s="60">
        <f>H71+J71</f>
        <v>0</v>
      </c>
      <c r="M71" s="38">
        <f>I71+K71</f>
        <v>-5194256.8949999996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7939400.8359000012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7939400.8359000012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7939400.8359000012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v>-6295590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-6295590</v>
      </c>
      <c r="J74" s="60"/>
      <c r="K74" s="38"/>
      <c r="L74" s="60">
        <f t="shared" si="22"/>
        <v>0</v>
      </c>
      <c r="M74" s="38">
        <f t="shared" si="22"/>
        <v>-6295590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311193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311193</v>
      </c>
      <c r="J75" s="60"/>
      <c r="K75" s="38"/>
      <c r="L75" s="60">
        <f t="shared" si="22"/>
        <v>0</v>
      </c>
      <c r="M75" s="38">
        <f t="shared" si="22"/>
        <v>311193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-10461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-10461</v>
      </c>
      <c r="J76" s="60"/>
      <c r="K76" s="38"/>
      <c r="L76" s="60">
        <f t="shared" si="22"/>
        <v>0</v>
      </c>
      <c r="M76" s="38">
        <f t="shared" si="22"/>
        <v>-10461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412862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412862</v>
      </c>
      <c r="J81" s="60"/>
      <c r="K81" s="38"/>
      <c r="L81" s="60">
        <f t="shared" si="22"/>
        <v>0</v>
      </c>
      <c r="M81" s="38">
        <f t="shared" si="22"/>
        <v>412862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7528788.2751381285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7528788.2751381285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7528788.2751381285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477104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477104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477104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477104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477104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0</v>
      </c>
      <c r="E91" s="156">
        <f t="shared" ref="E91:M91" si="27">+E82+E89</f>
        <v>8005892.2751381285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8005892.2751381285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8005892.2751381285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16544177</v>
      </c>
      <c r="E11" s="65">
        <v>39980461.156075291</v>
      </c>
      <c r="F11" s="65">
        <f>H11-D11</f>
        <v>0</v>
      </c>
      <c r="G11" s="63">
        <f>I11-E11</f>
        <v>0</v>
      </c>
      <c r="H11" s="65">
        <f>D11</f>
        <v>16544177</v>
      </c>
      <c r="I11" s="66">
        <f>E11</f>
        <v>39980461.156075291</v>
      </c>
      <c r="J11" s="60"/>
      <c r="K11" s="38"/>
      <c r="L11" s="60">
        <f t="shared" ref="L11:M15" si="0">H11+J11</f>
        <v>16544177</v>
      </c>
      <c r="M11" s="38">
        <f t="shared" si="0"/>
        <v>39980461.156075291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16544177</v>
      </c>
      <c r="E16" s="39">
        <v>39980461.156075291</v>
      </c>
      <c r="F16" s="61">
        <f t="shared" ref="F16:M16" si="3">SUM(F11:F15)</f>
        <v>0</v>
      </c>
      <c r="G16" s="39">
        <f t="shared" si="3"/>
        <v>0</v>
      </c>
      <c r="H16" s="61">
        <f>SUM(H11:H15)</f>
        <v>16544177</v>
      </c>
      <c r="I16" s="39">
        <f>SUM(I11:I15)</f>
        <v>39980461.156075291</v>
      </c>
      <c r="J16" s="61">
        <f t="shared" si="3"/>
        <v>0</v>
      </c>
      <c r="K16" s="39">
        <f t="shared" si="3"/>
        <v>0</v>
      </c>
      <c r="L16" s="61">
        <f t="shared" si="3"/>
        <v>16544177</v>
      </c>
      <c r="M16" s="39">
        <f t="shared" si="3"/>
        <v>39980461.156075291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-16435098</v>
      </c>
      <c r="E19" s="65">
        <v>-39771828</v>
      </c>
      <c r="F19" s="65">
        <f>H19-D19</f>
        <v>0</v>
      </c>
      <c r="G19" s="63">
        <f>I19-E19</f>
        <v>0</v>
      </c>
      <c r="H19" s="65">
        <f t="shared" si="4"/>
        <v>-16435098</v>
      </c>
      <c r="I19" s="66">
        <f t="shared" si="4"/>
        <v>-39771828</v>
      </c>
      <c r="J19" s="60"/>
      <c r="K19" s="38"/>
      <c r="L19" s="60">
        <f t="shared" ref="L19:M23" si="5">H19+J19</f>
        <v>-16435098</v>
      </c>
      <c r="M19" s="38">
        <f t="shared" si="5"/>
        <v>-39771828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-16435098</v>
      </c>
      <c r="E24" s="39">
        <v>-39771828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-16435098</v>
      </c>
      <c r="I24" s="39">
        <f>SUM(I19:I23)</f>
        <v>-39771828</v>
      </c>
      <c r="J24" s="61">
        <f t="shared" si="7"/>
        <v>0</v>
      </c>
      <c r="K24" s="39">
        <f t="shared" si="7"/>
        <v>0</v>
      </c>
      <c r="L24" s="61">
        <f t="shared" si="7"/>
        <v>-16435098</v>
      </c>
      <c r="M24" s="39">
        <f t="shared" si="7"/>
        <v>-39771828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642669</v>
      </c>
      <c r="E39" s="65">
        <v>1516700</v>
      </c>
      <c r="F39" s="65">
        <f t="shared" ref="F39:G41" si="13">H39-D39</f>
        <v>0</v>
      </c>
      <c r="G39" s="63">
        <f t="shared" si="13"/>
        <v>0</v>
      </c>
      <c r="H39" s="65">
        <f t="shared" si="12"/>
        <v>642669</v>
      </c>
      <c r="I39" s="66">
        <f t="shared" si="12"/>
        <v>1516700</v>
      </c>
      <c r="J39" s="60"/>
      <c r="K39" s="38"/>
      <c r="L39" s="60">
        <f t="shared" ref="L39:M41" si="14">H39+J39</f>
        <v>642669</v>
      </c>
      <c r="M39" s="38">
        <f t="shared" si="14"/>
        <v>1516700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-3133651</v>
      </c>
      <c r="E40" s="65">
        <v>-7395416</v>
      </c>
      <c r="F40" s="65">
        <f t="shared" si="13"/>
        <v>0</v>
      </c>
      <c r="G40" s="63">
        <f t="shared" si="13"/>
        <v>0</v>
      </c>
      <c r="H40" s="65">
        <f t="shared" si="12"/>
        <v>-3133651</v>
      </c>
      <c r="I40" s="66">
        <f t="shared" si="12"/>
        <v>-7395416</v>
      </c>
      <c r="J40" s="60"/>
      <c r="K40" s="38"/>
      <c r="L40" s="60">
        <f t="shared" si="14"/>
        <v>-3133651</v>
      </c>
      <c r="M40" s="38">
        <f t="shared" si="14"/>
        <v>-7395416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-3133651</v>
      </c>
      <c r="E42" s="39">
        <v>-7395416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-3133651</v>
      </c>
      <c r="I42" s="39">
        <f>SUM(I40:I41)</f>
        <v>-7395416</v>
      </c>
      <c r="J42" s="61">
        <f t="shared" si="15"/>
        <v>0</v>
      </c>
      <c r="K42" s="39">
        <f t="shared" si="15"/>
        <v>0</v>
      </c>
      <c r="L42" s="61">
        <f t="shared" si="15"/>
        <v>-3133651</v>
      </c>
      <c r="M42" s="39">
        <f t="shared" si="15"/>
        <v>-7395416</v>
      </c>
    </row>
    <row r="43" spans="1:13" ht="21" customHeight="1" x14ac:dyDescent="0.2">
      <c r="A43" s="9"/>
      <c r="B43" s="7" t="s">
        <v>49</v>
      </c>
      <c r="C43" s="6"/>
      <c r="D43" s="61">
        <v>-2490982</v>
      </c>
      <c r="E43" s="39">
        <v>-5878716</v>
      </c>
      <c r="F43" s="61">
        <f t="shared" ref="F43:M43" si="16">F42+F39</f>
        <v>0</v>
      </c>
      <c r="G43" s="39">
        <f t="shared" si="16"/>
        <v>0</v>
      </c>
      <c r="H43" s="61">
        <f>H42+H39</f>
        <v>-2490982</v>
      </c>
      <c r="I43" s="39">
        <f>I42+I39</f>
        <v>-5878716</v>
      </c>
      <c r="J43" s="61">
        <f t="shared" si="16"/>
        <v>0</v>
      </c>
      <c r="K43" s="39">
        <f t="shared" si="16"/>
        <v>0</v>
      </c>
      <c r="L43" s="61">
        <f t="shared" si="16"/>
        <v>-2490982</v>
      </c>
      <c r="M43" s="39">
        <f t="shared" si="16"/>
        <v>-5878716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2381903</v>
      </c>
      <c r="E49" s="65">
        <v>5741243.7696866328</v>
      </c>
      <c r="F49" s="65">
        <f>H49-D49</f>
        <v>0</v>
      </c>
      <c r="G49" s="63">
        <f>I49-E49</f>
        <v>0</v>
      </c>
      <c r="H49" s="65">
        <f>D49</f>
        <v>2381903</v>
      </c>
      <c r="I49" s="66">
        <f>E49</f>
        <v>5741243.7696866328</v>
      </c>
      <c r="J49" s="60"/>
      <c r="K49" s="38"/>
      <c r="L49" s="60">
        <f>H49+J49</f>
        <v>2381903</v>
      </c>
      <c r="M49" s="38">
        <f>I49+K49</f>
        <v>5741243.7696866328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-3743312.0742380759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-3743312.0742380759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-3743312.0742380759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212778481</v>
      </c>
      <c r="E11" s="66">
        <f>'EAST-EGM-FLSH'!E11+'EAST-LRC-FLSH'!E11</f>
        <v>530052447</v>
      </c>
      <c r="F11" s="37">
        <f>H11-D11</f>
        <v>0</v>
      </c>
      <c r="G11" s="37">
        <f>I11-E11</f>
        <v>0</v>
      </c>
      <c r="H11" s="60">
        <f>'EAST-EGM-FLSH'!H11+'EAST-LRC-FLSH'!H11</f>
        <v>212778481</v>
      </c>
      <c r="I11" s="38">
        <f>'EAST-EGM-FLSH'!I11+'EAST-LRC-FLSH'!I11</f>
        <v>530052447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212778481</v>
      </c>
      <c r="M11" s="38">
        <f t="shared" si="0"/>
        <v>530052447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78004071</v>
      </c>
      <c r="E13" s="66">
        <f>'EAST-EGM-FLSH'!E13+'EAST-LRC-FLSH'!E13</f>
        <v>201341832</v>
      </c>
      <c r="F13" s="60">
        <f t="shared" si="1"/>
        <v>0</v>
      </c>
      <c r="G13" s="37">
        <f t="shared" si="1"/>
        <v>0</v>
      </c>
      <c r="H13" s="60">
        <f>'EAST-EGM-FLSH'!H13+'EAST-LRC-FLSH'!H13</f>
        <v>78004071</v>
      </c>
      <c r="I13" s="38">
        <f>'EAST-EGM-FLSH'!I13+'EAST-LRC-FLSH'!I13</f>
        <v>201341832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78004071</v>
      </c>
      <c r="M13" s="38">
        <f t="shared" si="0"/>
        <v>201341832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290782552</v>
      </c>
      <c r="E16" s="39">
        <f>SUM(E11:E15)</f>
        <v>731393783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290782552</v>
      </c>
      <c r="I16" s="39">
        <f t="shared" si="2"/>
        <v>731393783</v>
      </c>
      <c r="J16" s="61">
        <f t="shared" si="2"/>
        <v>0</v>
      </c>
      <c r="K16" s="39">
        <f t="shared" si="2"/>
        <v>0</v>
      </c>
      <c r="L16" s="61">
        <f t="shared" si="2"/>
        <v>290782552</v>
      </c>
      <c r="M16" s="39">
        <f t="shared" si="2"/>
        <v>731393783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-198083914</v>
      </c>
      <c r="E19" s="66">
        <f>'EAST-EGM-FLSH'!E19+'EAST-LRC-FLSH'!E19</f>
        <v>-482114739</v>
      </c>
      <c r="F19" s="60">
        <f>H19-D19</f>
        <v>0</v>
      </c>
      <c r="G19" s="37">
        <f>I19-E19</f>
        <v>0</v>
      </c>
      <c r="H19" s="60">
        <f>'EAST-EGM-FLSH'!H19+'EAST-LRC-FLSH'!H19</f>
        <v>-198083914</v>
      </c>
      <c r="I19" s="38">
        <f>'EAST-EGM-FLSH'!I19+'EAST-LRC-FLSH'!I19</f>
        <v>-482114739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-198083914</v>
      </c>
      <c r="M19" s="38">
        <f t="shared" si="3"/>
        <v>-482114739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-82385658</v>
      </c>
      <c r="E21" s="66">
        <f>'EAST-EGM-FLSH'!E21+'EAST-LRC-FLSH'!E21</f>
        <v>-214966656</v>
      </c>
      <c r="F21" s="60">
        <f t="shared" si="4"/>
        <v>0</v>
      </c>
      <c r="G21" s="37">
        <f t="shared" si="4"/>
        <v>0</v>
      </c>
      <c r="H21" s="60">
        <f>'EAST-EGM-FLSH'!H21+'EAST-LRC-FLSH'!H21</f>
        <v>-82385658</v>
      </c>
      <c r="I21" s="38">
        <f>'EAST-EGM-FLSH'!I21+'EAST-LRC-FLSH'!I21</f>
        <v>-214966656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-82385658</v>
      </c>
      <c r="M21" s="38">
        <f t="shared" si="3"/>
        <v>-214966656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514927</v>
      </c>
      <c r="E23" s="66">
        <f>'EAST-EGM-FLSH'!E23+'EAST-LRC-FLSH'!E23</f>
        <v>1274153</v>
      </c>
      <c r="F23" s="60">
        <f t="shared" si="4"/>
        <v>0</v>
      </c>
      <c r="G23" s="37">
        <f t="shared" si="4"/>
        <v>0</v>
      </c>
      <c r="H23" s="60">
        <f>'EAST-EGM-FLSH'!H23+'EAST-LRC-FLSH'!H23</f>
        <v>514927</v>
      </c>
      <c r="I23" s="38">
        <f>'EAST-EGM-FLSH'!I23+'EAST-LRC-FLSH'!I23</f>
        <v>1274153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514927</v>
      </c>
      <c r="M23" s="38">
        <f t="shared" si="3"/>
        <v>1274153</v>
      </c>
    </row>
    <row r="24" spans="1:13" x14ac:dyDescent="0.2">
      <c r="A24" s="9"/>
      <c r="B24" s="7" t="s">
        <v>33</v>
      </c>
      <c r="C24" s="6"/>
      <c r="D24" s="61">
        <f>SUM(D19:D23)</f>
        <v>-279954645</v>
      </c>
      <c r="E24" s="39">
        <f>SUM(E19:E23)</f>
        <v>-695807242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-279954645</v>
      </c>
      <c r="I24" s="39">
        <f t="shared" si="5"/>
        <v>-695807242</v>
      </c>
      <c r="J24" s="61">
        <f t="shared" si="5"/>
        <v>0</v>
      </c>
      <c r="K24" s="39">
        <f t="shared" si="5"/>
        <v>0</v>
      </c>
      <c r="L24" s="61">
        <f t="shared" si="5"/>
        <v>-279954645</v>
      </c>
      <c r="M24" s="39">
        <f t="shared" si="5"/>
        <v>-695807242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-2118787</v>
      </c>
      <c r="E32" s="66">
        <f>'EAST-EGM-FLSH'!E32+'EAST-LRC-FLSH'!E32</f>
        <v>-5274638</v>
      </c>
      <c r="F32" s="60">
        <f>H32-D32</f>
        <v>0</v>
      </c>
      <c r="G32" s="37">
        <f>I32-E32</f>
        <v>0</v>
      </c>
      <c r="H32" s="60">
        <f>'EAST-EGM-FLSH'!H32+'EAST-LRC-FLSH'!H32</f>
        <v>-2118787</v>
      </c>
      <c r="I32" s="38">
        <f>'EAST-EGM-FLSH'!I32+'EAST-LRC-FLSH'!I32</f>
        <v>-5274638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-2118787</v>
      </c>
      <c r="M32" s="38">
        <f t="shared" si="7"/>
        <v>-5274638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407133</v>
      </c>
      <c r="E33" s="66">
        <f>'EAST-EGM-FLSH'!E33+'EAST-LRC-FLSH'!E33</f>
        <v>929952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407133</v>
      </c>
      <c r="I33" s="38">
        <f>'EAST-EGM-FLSH'!I33+'EAST-LRC-FLSH'!I33</f>
        <v>929952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407133</v>
      </c>
      <c r="M33" s="38">
        <f t="shared" si="7"/>
        <v>929952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-816595</v>
      </c>
      <c r="E34" s="66">
        <f>'EAST-EGM-FLSH'!E34+'EAST-LRC-FLSH'!E34</f>
        <v>-1863552</v>
      </c>
      <c r="F34" s="60">
        <f t="shared" si="8"/>
        <v>0</v>
      </c>
      <c r="G34" s="37">
        <f t="shared" si="8"/>
        <v>0</v>
      </c>
      <c r="H34" s="60">
        <f>'EAST-EGM-FLSH'!H34+'EAST-LRC-FLSH'!H34</f>
        <v>-816595</v>
      </c>
      <c r="I34" s="38">
        <f>'EAST-EGM-FLSH'!I34+'EAST-LRC-FLSH'!I34</f>
        <v>-1863552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-816595</v>
      </c>
      <c r="M34" s="38">
        <f t="shared" si="7"/>
        <v>-1863552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-939991</v>
      </c>
      <c r="E35" s="66">
        <f>'EAST-EGM-FLSH'!E35+'EAST-LRC-FLSH'!E35</f>
        <v>-2167386</v>
      </c>
      <c r="F35" s="60">
        <f t="shared" si="8"/>
        <v>0</v>
      </c>
      <c r="G35" s="37">
        <f t="shared" si="8"/>
        <v>0</v>
      </c>
      <c r="H35" s="60">
        <f>'EAST-EGM-FLSH'!H35+'EAST-LRC-FLSH'!H35</f>
        <v>-939991</v>
      </c>
      <c r="I35" s="38">
        <f>'EAST-EGM-FLSH'!I35+'EAST-LRC-FLSH'!I35</f>
        <v>-2167386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-939991</v>
      </c>
      <c r="M35" s="38">
        <f t="shared" si="7"/>
        <v>-2167386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-3468240</v>
      </c>
      <c r="E36" s="39">
        <f t="shared" si="9"/>
        <v>-8375624</v>
      </c>
      <c r="F36" s="61">
        <f t="shared" si="9"/>
        <v>0</v>
      </c>
      <c r="G36" s="39">
        <f t="shared" si="9"/>
        <v>0</v>
      </c>
      <c r="H36" s="61">
        <f t="shared" si="9"/>
        <v>-3468240</v>
      </c>
      <c r="I36" s="39">
        <f t="shared" si="9"/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1568072</v>
      </c>
      <c r="E39" s="66">
        <f>'EAST-EGM-FLSH'!E39+'EAST-LRC-FLSH'!E39</f>
        <v>3700650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1568072</v>
      </c>
      <c r="I39" s="38">
        <f>'EAST-EGM-FLSH'!I39+'EAST-LRC-FLSH'!I39</f>
        <v>3700650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1568072</v>
      </c>
      <c r="M39" s="38">
        <f t="shared" si="11"/>
        <v>3700650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-8936599</v>
      </c>
      <c r="E40" s="66">
        <f>'EAST-EGM-FLSH'!E40+'EAST-LRC-FLSH'!E40</f>
        <v>-21508044</v>
      </c>
      <c r="F40" s="60">
        <f t="shared" si="10"/>
        <v>0</v>
      </c>
      <c r="G40" s="37">
        <f t="shared" si="10"/>
        <v>0</v>
      </c>
      <c r="H40" s="60">
        <f>'EAST-EGM-FLSH'!H40+'EAST-LRC-FLSH'!H40</f>
        <v>-8936599</v>
      </c>
      <c r="I40" s="38">
        <f>'EAST-EGM-FLSH'!I40+'EAST-LRC-FLSH'!I40</f>
        <v>-21508044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-8936599</v>
      </c>
      <c r="M40" s="38">
        <f t="shared" si="11"/>
        <v>-21508044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-8936599</v>
      </c>
      <c r="E42" s="39">
        <f>SUM(E40:E41)</f>
        <v>-21508044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-8936599</v>
      </c>
      <c r="I42" s="39">
        <f t="shared" si="12"/>
        <v>-21508044</v>
      </c>
      <c r="J42" s="61">
        <f t="shared" si="12"/>
        <v>0</v>
      </c>
      <c r="K42" s="39">
        <f t="shared" si="12"/>
        <v>0</v>
      </c>
      <c r="L42" s="61">
        <f t="shared" si="12"/>
        <v>-8936599</v>
      </c>
      <c r="M42" s="39">
        <f t="shared" si="12"/>
        <v>-21508044</v>
      </c>
    </row>
    <row r="43" spans="1:13" ht="21" customHeight="1" x14ac:dyDescent="0.2">
      <c r="A43" s="9"/>
      <c r="B43" s="7" t="s">
        <v>49</v>
      </c>
      <c r="C43" s="6"/>
      <c r="D43" s="61">
        <f>D42+D39</f>
        <v>-7368527</v>
      </c>
      <c r="E43" s="39">
        <f>E42+E39</f>
        <v>-17807394</v>
      </c>
      <c r="F43" s="61">
        <f t="shared" ref="F43:M43" si="13">F42+F39</f>
        <v>0</v>
      </c>
      <c r="G43" s="39">
        <f t="shared" si="13"/>
        <v>0</v>
      </c>
      <c r="H43" s="61">
        <f t="shared" si="13"/>
        <v>-7368527</v>
      </c>
      <c r="I43" s="39">
        <f t="shared" si="13"/>
        <v>-17807394</v>
      </c>
      <c r="J43" s="61">
        <f t="shared" si="13"/>
        <v>0</v>
      </c>
      <c r="K43" s="39">
        <f t="shared" si="13"/>
        <v>0</v>
      </c>
      <c r="L43" s="61">
        <f t="shared" si="13"/>
        <v>-7368527</v>
      </c>
      <c r="M43" s="39">
        <f t="shared" si="13"/>
        <v>-17807394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8860</v>
      </c>
      <c r="E49" s="66">
        <f>'EAST-EGM-FLSH'!E49+'EAST-LRC-FLSH'!E49</f>
        <v>20794.419999999925</v>
      </c>
      <c r="F49" s="60">
        <f>H49-D49</f>
        <v>0</v>
      </c>
      <c r="G49" s="37">
        <f>I49-E49</f>
        <v>0</v>
      </c>
      <c r="H49" s="60">
        <f>'EAST-EGM-FLSH'!H49+'EAST-LRC-FLSH'!H49</f>
        <v>8860</v>
      </c>
      <c r="I49" s="38">
        <f>'EAST-EGM-FLSH'!I49+'EAST-LRC-FLSH'!I49</f>
        <v>20794.419999999925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8860</v>
      </c>
      <c r="M49" s="38">
        <f>I49+K49</f>
        <v>20794.419999999925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-514927</v>
      </c>
      <c r="E51" s="66">
        <f>'EAST-EGM-FLSH'!E51+'EAST-LRC-FLSH'!E51</f>
        <v>-1274153</v>
      </c>
      <c r="F51" s="60">
        <f>H51-D51</f>
        <v>0</v>
      </c>
      <c r="G51" s="37">
        <f>I51-E51</f>
        <v>0</v>
      </c>
      <c r="H51" s="60">
        <f>'EAST-EGM-FLSH'!H51+'EAST-LRC-FLSH'!H51</f>
        <v>-514927</v>
      </c>
      <c r="I51" s="38">
        <f>'EAST-EGM-FLSH'!I51+'EAST-LRC-FLSH'!I51</f>
        <v>-1274153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-514927</v>
      </c>
      <c r="M51" s="38">
        <f>I51+K51</f>
        <v>-1274153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-1569739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-1569739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-1569739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-1298289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-1298289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-1298289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-2868028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-2868028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-2868028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55220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55220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55220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55220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55220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55220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13133657.730900001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13133657.730900001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13133657.730900001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-5194256.8949999996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-5194256.8949999996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-5194256.8949999996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7939400.8359000012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7939400.8359000012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7939400.8359000012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-6295590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-6295590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-6295590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311193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311193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311193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-10461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-10461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-10461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412862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412862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412862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3785476.2009000015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3785476.2009000015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3785476.2009000015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3785476.2009000527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477104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477104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477104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477104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477104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4262580.2009000015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4262580.2009000015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4262580.2009000015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H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17467325</v>
      </c>
      <c r="E11" s="38">
        <v>41711686.160000004</v>
      </c>
      <c r="F11" s="65">
        <f>H11-D11</f>
        <v>0</v>
      </c>
      <c r="G11" s="63">
        <f>I11-E11</f>
        <v>0</v>
      </c>
      <c r="H11" s="65">
        <f>D11</f>
        <v>17467325</v>
      </c>
      <c r="I11" s="66">
        <f>E11</f>
        <v>41711686.160000004</v>
      </c>
      <c r="J11" s="60"/>
      <c r="K11" s="38"/>
      <c r="L11" s="60">
        <f t="shared" ref="L11:M15" si="0">H11+J11</f>
        <v>17467325</v>
      </c>
      <c r="M11" s="38">
        <f t="shared" si="0"/>
        <v>41711686.160000004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1475282</v>
      </c>
      <c r="E13" s="38">
        <v>3402546.59</v>
      </c>
      <c r="F13" s="65">
        <f t="shared" si="1"/>
        <v>0</v>
      </c>
      <c r="G13" s="63">
        <f t="shared" si="1"/>
        <v>0</v>
      </c>
      <c r="H13" s="65">
        <f t="shared" si="2"/>
        <v>1475282</v>
      </c>
      <c r="I13" s="66">
        <f t="shared" si="2"/>
        <v>3402546.59</v>
      </c>
      <c r="J13" s="60"/>
      <c r="K13" s="38"/>
      <c r="L13" s="60">
        <f t="shared" si="0"/>
        <v>1475282</v>
      </c>
      <c r="M13" s="38">
        <f t="shared" si="0"/>
        <v>3402546.59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18942607</v>
      </c>
      <c r="E16" s="39">
        <v>45234232.75</v>
      </c>
      <c r="F16" s="61">
        <f t="shared" ref="F16:M16" si="3">SUM(F11:F15)</f>
        <v>0</v>
      </c>
      <c r="G16" s="39">
        <f t="shared" si="3"/>
        <v>0</v>
      </c>
      <c r="H16" s="61">
        <f>SUM(H11:H15)</f>
        <v>18942607</v>
      </c>
      <c r="I16" s="39">
        <f>SUM(I11:I15)</f>
        <v>45234232.75</v>
      </c>
      <c r="J16" s="61">
        <f t="shared" si="3"/>
        <v>0</v>
      </c>
      <c r="K16" s="39">
        <f t="shared" si="3"/>
        <v>0</v>
      </c>
      <c r="L16" s="61">
        <f t="shared" si="3"/>
        <v>18942607</v>
      </c>
      <c r="M16" s="39">
        <f t="shared" si="3"/>
        <v>45234232.75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-4577602</v>
      </c>
      <c r="E19" s="38">
        <v>-10382268.059999995</v>
      </c>
      <c r="F19" s="65">
        <f>H19-D19</f>
        <v>0</v>
      </c>
      <c r="G19" s="63">
        <f>I19-E19</f>
        <v>0</v>
      </c>
      <c r="H19" s="65">
        <f t="shared" si="4"/>
        <v>-4577602</v>
      </c>
      <c r="I19" s="66">
        <f t="shared" si="4"/>
        <v>-10382268.059999995</v>
      </c>
      <c r="J19" s="60"/>
      <c r="K19" s="38"/>
      <c r="L19" s="60">
        <f t="shared" ref="L19:M23" si="5">H19+J19</f>
        <v>-4577602</v>
      </c>
      <c r="M19" s="38">
        <f t="shared" si="5"/>
        <v>-10382268.059999995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-139780</v>
      </c>
      <c r="E21" s="38">
        <v>-297683</v>
      </c>
      <c r="F21" s="65">
        <f t="shared" si="6"/>
        <v>0</v>
      </c>
      <c r="G21" s="63">
        <f t="shared" si="6"/>
        <v>0</v>
      </c>
      <c r="H21" s="65">
        <f t="shared" si="4"/>
        <v>-139780</v>
      </c>
      <c r="I21" s="66">
        <f t="shared" si="4"/>
        <v>-297683</v>
      </c>
      <c r="J21" s="60"/>
      <c r="K21" s="38"/>
      <c r="L21" s="60">
        <f t="shared" si="5"/>
        <v>-139780</v>
      </c>
      <c r="M21" s="38">
        <f t="shared" si="5"/>
        <v>-297683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14</v>
      </c>
      <c r="E23" s="38">
        <v>30.82</v>
      </c>
      <c r="F23" s="65">
        <f t="shared" si="6"/>
        <v>0</v>
      </c>
      <c r="G23" s="63">
        <f t="shared" si="6"/>
        <v>0</v>
      </c>
      <c r="H23" s="65">
        <f t="shared" si="4"/>
        <v>14</v>
      </c>
      <c r="I23" s="66">
        <f t="shared" si="4"/>
        <v>30.82</v>
      </c>
      <c r="J23" s="60"/>
      <c r="K23" s="38"/>
      <c r="L23" s="60">
        <f t="shared" si="5"/>
        <v>14</v>
      </c>
      <c r="M23" s="38">
        <f t="shared" si="5"/>
        <v>30.82</v>
      </c>
    </row>
    <row r="24" spans="1:13" x14ac:dyDescent="0.2">
      <c r="A24" s="9"/>
      <c r="B24" s="7" t="s">
        <v>33</v>
      </c>
      <c r="C24" s="6"/>
      <c r="D24" s="61">
        <v>-4717368</v>
      </c>
      <c r="E24" s="39">
        <v>-10679920.239999995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-4717368</v>
      </c>
      <c r="I24" s="39">
        <f>SUM(I19:I23)</f>
        <v>-10679920.239999995</v>
      </c>
      <c r="J24" s="61">
        <f t="shared" si="7"/>
        <v>0</v>
      </c>
      <c r="K24" s="39">
        <f t="shared" si="7"/>
        <v>0</v>
      </c>
      <c r="L24" s="61">
        <f t="shared" si="7"/>
        <v>-4717368</v>
      </c>
      <c r="M24" s="39">
        <f t="shared" si="7"/>
        <v>-10679920.239999995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16759808</v>
      </c>
      <c r="E27" s="38">
        <v>39436699.719999999</v>
      </c>
      <c r="F27" s="65">
        <f>H27-D27</f>
        <v>0</v>
      </c>
      <c r="G27" s="63">
        <f>I27-E27</f>
        <v>0</v>
      </c>
      <c r="H27" s="65">
        <f>D27</f>
        <v>16759808</v>
      </c>
      <c r="I27" s="66">
        <f>E27</f>
        <v>39436699.719999999</v>
      </c>
      <c r="J27" s="60"/>
      <c r="K27" s="38"/>
      <c r="L27" s="60">
        <f>H27+J27</f>
        <v>16759808</v>
      </c>
      <c r="M27" s="38">
        <f>I27+K27</f>
        <v>39436699.719999999</v>
      </c>
    </row>
    <row r="28" spans="1:13" x14ac:dyDescent="0.2">
      <c r="A28" s="9">
        <v>12</v>
      </c>
      <c r="B28" s="7"/>
      <c r="C28" s="18" t="s">
        <v>36</v>
      </c>
      <c r="D28" s="60">
        <v>-21047139</v>
      </c>
      <c r="E28" s="38">
        <v>-47754777.990000002</v>
      </c>
      <c r="F28" s="65">
        <f>H28-D28</f>
        <v>0</v>
      </c>
      <c r="G28" s="63">
        <f>I28-E28</f>
        <v>0</v>
      </c>
      <c r="H28" s="65">
        <f>D28</f>
        <v>-21047139</v>
      </c>
      <c r="I28" s="66">
        <f>E28</f>
        <v>-47754777.990000002</v>
      </c>
      <c r="J28" s="60"/>
      <c r="K28" s="38"/>
      <c r="L28" s="60">
        <f>H28+J28</f>
        <v>-21047139</v>
      </c>
      <c r="M28" s="38">
        <f>I28+K28</f>
        <v>-47754777.990000002</v>
      </c>
    </row>
    <row r="29" spans="1:13" x14ac:dyDescent="0.2">
      <c r="A29" s="9"/>
      <c r="B29" s="7" t="s">
        <v>37</v>
      </c>
      <c r="C29" s="6"/>
      <c r="D29" s="61">
        <v>-4287331</v>
      </c>
      <c r="E29" s="39">
        <v>-8318078.2700000033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-4287331</v>
      </c>
      <c r="I29" s="39">
        <f>SUM(I27:I28)</f>
        <v>-8318078.2700000033</v>
      </c>
      <c r="J29" s="61">
        <f t="shared" si="8"/>
        <v>0</v>
      </c>
      <c r="K29" s="39">
        <f t="shared" si="8"/>
        <v>0</v>
      </c>
      <c r="L29" s="61">
        <f t="shared" si="8"/>
        <v>-4287331</v>
      </c>
      <c r="M29" s="39">
        <f t="shared" si="8"/>
        <v>-8318078.2700000033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-854082</v>
      </c>
      <c r="E40" s="38">
        <v>-1974467.45</v>
      </c>
      <c r="F40" s="65">
        <f t="shared" si="13"/>
        <v>0</v>
      </c>
      <c r="G40" s="63">
        <f t="shared" si="13"/>
        <v>0</v>
      </c>
      <c r="H40" s="65">
        <f t="shared" si="12"/>
        <v>-854082</v>
      </c>
      <c r="I40" s="66">
        <f t="shared" si="12"/>
        <v>-1974467.45</v>
      </c>
      <c r="J40" s="60"/>
      <c r="K40" s="38"/>
      <c r="L40" s="60">
        <f t="shared" si="14"/>
        <v>-854082</v>
      </c>
      <c r="M40" s="38">
        <f t="shared" si="14"/>
        <v>-1974467.45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-854082</v>
      </c>
      <c r="E42" s="39">
        <v>-1974467.45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-854082</v>
      </c>
      <c r="I42" s="39">
        <f>SUM(I40:I41)</f>
        <v>-1974467.45</v>
      </c>
      <c r="J42" s="61">
        <f t="shared" si="15"/>
        <v>0</v>
      </c>
      <c r="K42" s="39">
        <f t="shared" si="15"/>
        <v>0</v>
      </c>
      <c r="L42" s="69">
        <f t="shared" si="15"/>
        <v>-854082</v>
      </c>
      <c r="M42" s="70">
        <f t="shared" si="15"/>
        <v>-1974467.45</v>
      </c>
    </row>
    <row r="43" spans="1:13" ht="21" customHeight="1" x14ac:dyDescent="0.2">
      <c r="A43" s="9"/>
      <c r="B43" s="7" t="s">
        <v>49</v>
      </c>
      <c r="C43" s="6"/>
      <c r="D43" s="60">
        <v>-854082</v>
      </c>
      <c r="E43" s="38">
        <v>-1974467.45</v>
      </c>
      <c r="F43" s="61">
        <f t="shared" ref="F43:M43" si="16">F42+F39</f>
        <v>0</v>
      </c>
      <c r="G43" s="39">
        <f t="shared" si="16"/>
        <v>0</v>
      </c>
      <c r="H43" s="61">
        <f>H42+H39</f>
        <v>-854082</v>
      </c>
      <c r="I43" s="39">
        <f>I42+I39</f>
        <v>-1974467.45</v>
      </c>
      <c r="J43" s="61">
        <f t="shared" si="16"/>
        <v>0</v>
      </c>
      <c r="K43" s="39">
        <f t="shared" si="16"/>
        <v>0</v>
      </c>
      <c r="L43" s="61">
        <f t="shared" si="16"/>
        <v>-854082</v>
      </c>
      <c r="M43" s="39">
        <f t="shared" si="16"/>
        <v>-1974467.45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-9083826</v>
      </c>
      <c r="E49" s="38">
        <v>-20648848.037081048</v>
      </c>
      <c r="F49" s="65">
        <f>H49-D49</f>
        <v>0</v>
      </c>
      <c r="G49" s="63">
        <f>I49-E49</f>
        <v>0</v>
      </c>
      <c r="H49" s="65">
        <f>D49</f>
        <v>-9083826</v>
      </c>
      <c r="I49" s="66">
        <f>E49</f>
        <v>-20648848.037081048</v>
      </c>
      <c r="J49" s="60"/>
      <c r="K49" s="38"/>
      <c r="L49" s="60">
        <f>H49+J49</f>
        <v>-9083826</v>
      </c>
      <c r="M49" s="38">
        <f>I49+K49</f>
        <v>-20648848.037081048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-14</v>
      </c>
      <c r="E51" s="38">
        <v>0</v>
      </c>
      <c r="F51" s="65">
        <f>H51-D51</f>
        <v>0</v>
      </c>
      <c r="G51" s="63">
        <f>I51-E51</f>
        <v>0</v>
      </c>
      <c r="H51" s="65">
        <f>D51</f>
        <v>-14</v>
      </c>
      <c r="I51" s="66">
        <f>E51</f>
        <v>0</v>
      </c>
      <c r="J51" s="60"/>
      <c r="K51" s="38"/>
      <c r="L51" s="60">
        <f>H51+J51</f>
        <v>-14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-475000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-475000</v>
      </c>
      <c r="J54" s="60"/>
      <c r="K54" s="38"/>
      <c r="L54" s="60">
        <f>H54+J54</f>
        <v>0</v>
      </c>
      <c r="M54" s="38">
        <f>I54+K54</f>
        <v>-475000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-475000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-475000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-475000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-2639306.77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-2639306.77</v>
      </c>
      <c r="J70" s="60"/>
      <c r="K70" s="38"/>
      <c r="L70" s="60">
        <f t="shared" si="20"/>
        <v>0</v>
      </c>
      <c r="M70" s="38">
        <f t="shared" si="20"/>
        <v>-2639306.77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739519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739519</v>
      </c>
      <c r="J71" s="60"/>
      <c r="K71" s="38"/>
      <c r="L71" s="60">
        <f t="shared" si="20"/>
        <v>0</v>
      </c>
      <c r="M71" s="38">
        <f t="shared" si="20"/>
        <v>739519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-1899787.77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-1899787.77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-1899787.77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1778233.65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1778233.65</v>
      </c>
      <c r="J74" s="60"/>
      <c r="K74" s="38"/>
      <c r="L74" s="60">
        <f t="shared" si="23"/>
        <v>0</v>
      </c>
      <c r="M74" s="38">
        <f t="shared" si="23"/>
        <v>1778233.65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17704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17704</v>
      </c>
      <c r="J75" s="60"/>
      <c r="K75" s="38"/>
      <c r="L75" s="60">
        <f t="shared" si="23"/>
        <v>0</v>
      </c>
      <c r="M75" s="38">
        <f t="shared" si="23"/>
        <v>17704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-207047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-207047</v>
      </c>
      <c r="J81" s="60"/>
      <c r="K81" s="38"/>
      <c r="L81" s="60">
        <f t="shared" si="23"/>
        <v>0</v>
      </c>
      <c r="M81" s="38">
        <f t="shared" si="23"/>
        <v>-207047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2827021.6329189576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2827021.6329189576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2827021.6329189576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2822654.0700067473</v>
      </c>
    </row>
    <row r="86" spans="1:67" s="3" customFormat="1" x14ac:dyDescent="0.2">
      <c r="A86" s="144"/>
      <c r="C86" s="10" t="s">
        <v>166</v>
      </c>
      <c r="D86" s="148">
        <v>0</v>
      </c>
      <c r="E86" s="148">
        <v>9167000</v>
      </c>
      <c r="F86" s="148">
        <f t="shared" ref="F86:G88" si="25">H86-D86</f>
        <v>0</v>
      </c>
      <c r="G86" s="148">
        <f t="shared" si="25"/>
        <v>-6519936</v>
      </c>
      <c r="H86" s="148">
        <f t="shared" ref="H86:I88" si="26">D86</f>
        <v>0</v>
      </c>
      <c r="I86" s="148">
        <f>116936+2482136-9423+57415</f>
        <v>2647064</v>
      </c>
      <c r="J86" s="148"/>
      <c r="K86" s="148"/>
      <c r="L86" s="148">
        <f t="shared" ref="L86:M88" si="27">H86+J86</f>
        <v>0</v>
      </c>
      <c r="M86" s="148">
        <f t="shared" si="27"/>
        <v>2647064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-2114953</v>
      </c>
      <c r="H88" s="150">
        <f t="shared" si="26"/>
        <v>0</v>
      </c>
      <c r="I88" s="150">
        <f>-57416-2057537</f>
        <v>-2114953</v>
      </c>
      <c r="J88" s="150"/>
      <c r="K88" s="150"/>
      <c r="L88" s="150">
        <f t="shared" si="27"/>
        <v>0</v>
      </c>
      <c r="M88" s="150">
        <f t="shared" si="27"/>
        <v>-2114953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9167000</v>
      </c>
      <c r="F89" s="155">
        <f t="shared" si="28"/>
        <v>0</v>
      </c>
      <c r="G89" s="155">
        <f t="shared" si="28"/>
        <v>-8634889</v>
      </c>
      <c r="H89" s="155">
        <f t="shared" si="28"/>
        <v>0</v>
      </c>
      <c r="I89" s="155">
        <f t="shared" si="28"/>
        <v>532111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11994021.632918958</v>
      </c>
      <c r="F91" s="155">
        <f t="shared" si="29"/>
        <v>0</v>
      </c>
      <c r="G91" s="155">
        <f t="shared" si="29"/>
        <v>-8634889</v>
      </c>
      <c r="H91" s="155">
        <f t="shared" si="29"/>
        <v>0</v>
      </c>
      <c r="I91" s="155">
        <f t="shared" si="29"/>
        <v>3359132.6329189576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3359132.6329189576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115828</v>
      </c>
      <c r="E11" s="60">
        <v>268689.84000000358</v>
      </c>
      <c r="F11" s="60">
        <f>H11-D11</f>
        <v>0</v>
      </c>
      <c r="G11" s="37">
        <f>I11-E11</f>
        <v>0</v>
      </c>
      <c r="H11" s="65">
        <f>D11</f>
        <v>115828</v>
      </c>
      <c r="I11" s="66">
        <f>E11</f>
        <v>268689.84000000358</v>
      </c>
      <c r="J11" s="60"/>
      <c r="K11" s="38"/>
      <c r="L11" s="60">
        <f t="shared" ref="L11:M15" si="0">H11+J11</f>
        <v>115828</v>
      </c>
      <c r="M11" s="38">
        <f t="shared" si="0"/>
        <v>268689.84000000358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0.41000000014901161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0.41000000014901161</v>
      </c>
      <c r="J13" s="60"/>
      <c r="K13" s="38"/>
      <c r="L13" s="60">
        <f t="shared" si="0"/>
        <v>0</v>
      </c>
      <c r="M13" s="38">
        <f t="shared" si="0"/>
        <v>0.41000000014901161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115828</v>
      </c>
      <c r="E16" s="39">
        <v>268690.25000000373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115828</v>
      </c>
      <c r="I16" s="39">
        <f>SUM(I11:I15)</f>
        <v>268690.25000000373</v>
      </c>
      <c r="J16" s="61">
        <f t="shared" si="3"/>
        <v>0</v>
      </c>
      <c r="K16" s="39">
        <f t="shared" si="3"/>
        <v>0</v>
      </c>
      <c r="L16" s="61">
        <f t="shared" si="3"/>
        <v>115828</v>
      </c>
      <c r="M16" s="39">
        <f t="shared" si="3"/>
        <v>268690.25000000373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-5.9399999976158142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-5.9399999976158142</v>
      </c>
      <c r="J19" s="60"/>
      <c r="K19" s="38"/>
      <c r="L19" s="60">
        <f t="shared" ref="L19:M23" si="5">H19+J19</f>
        <v>0</v>
      </c>
      <c r="M19" s="38">
        <f t="shared" si="5"/>
        <v>-5.9399999976158142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-1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-1</v>
      </c>
      <c r="J21" s="60"/>
      <c r="K21" s="38"/>
      <c r="L21" s="60">
        <f t="shared" si="5"/>
        <v>0</v>
      </c>
      <c r="M21" s="38">
        <f t="shared" si="5"/>
        <v>-1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-1.819999999999709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-1.819999999999709</v>
      </c>
      <c r="J23" s="60"/>
      <c r="K23" s="38"/>
      <c r="L23" s="60">
        <f t="shared" si="5"/>
        <v>0</v>
      </c>
      <c r="M23" s="38">
        <f t="shared" si="5"/>
        <v>-1.819999999999709</v>
      </c>
    </row>
    <row r="24" spans="1:13" x14ac:dyDescent="0.2">
      <c r="A24" s="9"/>
      <c r="B24" s="7" t="s">
        <v>33</v>
      </c>
      <c r="C24" s="6"/>
      <c r="D24" s="61">
        <v>0</v>
      </c>
      <c r="E24" s="39">
        <v>-8.7599999976155232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-8.7599999976155232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-8.7599999976155232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0.2800000011920929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0.2800000011920929</v>
      </c>
      <c r="J27" s="60"/>
      <c r="K27" s="38"/>
      <c r="L27" s="60">
        <f>H27+J27</f>
        <v>0</v>
      </c>
      <c r="M27" s="38">
        <f>I27+K27</f>
        <v>0.2800000011920929</v>
      </c>
    </row>
    <row r="28" spans="1:13" x14ac:dyDescent="0.2">
      <c r="A28" s="9">
        <v>12</v>
      </c>
      <c r="B28" s="7"/>
      <c r="C28" s="18" t="s">
        <v>36</v>
      </c>
      <c r="D28" s="60">
        <v>-232540</v>
      </c>
      <c r="E28" s="60">
        <v>-538353.00999999046</v>
      </c>
      <c r="F28" s="60">
        <f>H28-D28</f>
        <v>0</v>
      </c>
      <c r="G28" s="37">
        <f>I28-E28</f>
        <v>0</v>
      </c>
      <c r="H28" s="65">
        <f>D28</f>
        <v>-232540</v>
      </c>
      <c r="I28" s="66">
        <f>E28</f>
        <v>-538353.00999999046</v>
      </c>
      <c r="J28" s="60"/>
      <c r="K28" s="38"/>
      <c r="L28" s="60">
        <f>H28+J28</f>
        <v>-232540</v>
      </c>
      <c r="M28" s="38">
        <f>I28+K28</f>
        <v>-538353.00999999046</v>
      </c>
    </row>
    <row r="29" spans="1:13" x14ac:dyDescent="0.2">
      <c r="A29" s="9"/>
      <c r="B29" s="7" t="s">
        <v>37</v>
      </c>
      <c r="C29" s="6"/>
      <c r="D29" s="61">
        <v>-232540</v>
      </c>
      <c r="E29" s="39">
        <v>-538352.72999998927</v>
      </c>
      <c r="F29" s="61">
        <f t="shared" ref="F29:M29" si="8">SUM(F27:F28)</f>
        <v>0</v>
      </c>
      <c r="G29" s="39">
        <f t="shared" si="8"/>
        <v>0</v>
      </c>
      <c r="H29" s="61">
        <f>SUM(H27:H28)</f>
        <v>-232540</v>
      </c>
      <c r="I29" s="39">
        <f>SUM(I27:I28)</f>
        <v>-538352.72999998927</v>
      </c>
      <c r="J29" s="61">
        <f t="shared" si="8"/>
        <v>0</v>
      </c>
      <c r="K29" s="39">
        <f t="shared" si="8"/>
        <v>0</v>
      </c>
      <c r="L29" s="61">
        <f t="shared" si="8"/>
        <v>-232540</v>
      </c>
      <c r="M29" s="39">
        <f t="shared" si="8"/>
        <v>-538352.72999998927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0.44999999925494194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0.44999999925494194</v>
      </c>
      <c r="J40" s="60"/>
      <c r="K40" s="38"/>
      <c r="L40" s="60">
        <f t="shared" si="14"/>
        <v>0</v>
      </c>
      <c r="M40" s="38">
        <f t="shared" si="14"/>
        <v>0.44999999925494194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0.44999999925494194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0.44999999925494194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0.44999999925494194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0.44999999925494194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0.44999999925494194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0.44999999925494194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116712</v>
      </c>
      <c r="E49" s="60">
        <v>265303.22708777338</v>
      </c>
      <c r="F49" s="60">
        <f>H49-D49</f>
        <v>0</v>
      </c>
      <c r="G49" s="37">
        <f>I49-E49</f>
        <v>0</v>
      </c>
      <c r="H49" s="65">
        <f>D49</f>
        <v>116712</v>
      </c>
      <c r="I49" s="66">
        <f>E49</f>
        <v>265303.22708777338</v>
      </c>
      <c r="J49" s="60"/>
      <c r="K49" s="38"/>
      <c r="L49" s="60">
        <f>H49+J49</f>
        <v>116712</v>
      </c>
      <c r="M49" s="38">
        <f>I49+K49</f>
        <v>265303.22708777338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14</v>
      </c>
      <c r="E51" s="60">
        <v>0</v>
      </c>
      <c r="F51" s="60">
        <f>H51-D51</f>
        <v>0</v>
      </c>
      <c r="G51" s="37">
        <f>I51-E51</f>
        <v>0</v>
      </c>
      <c r="H51" s="65">
        <f>D51</f>
        <v>14</v>
      </c>
      <c r="I51" s="66">
        <f>E51</f>
        <v>0</v>
      </c>
      <c r="J51" s="60"/>
      <c r="K51" s="38"/>
      <c r="L51" s="60">
        <f>H51+J51</f>
        <v>14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-4367.5629122105311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-4367.5629122105311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-4367.5629122105311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38222321</v>
      </c>
      <c r="E11" s="60">
        <v>89664557</v>
      </c>
      <c r="F11" s="60">
        <f>H11-D11</f>
        <v>0</v>
      </c>
      <c r="G11" s="37">
        <f>I11-E11</f>
        <v>0</v>
      </c>
      <c r="H11" s="65">
        <f>D11</f>
        <v>38222321</v>
      </c>
      <c r="I11" s="66">
        <f>E11</f>
        <v>89664557</v>
      </c>
      <c r="J11" s="60"/>
      <c r="K11" s="38"/>
      <c r="L11" s="60">
        <f t="shared" ref="L11:M15" si="0">H11+J11</f>
        <v>38222321</v>
      </c>
      <c r="M11" s="38">
        <f t="shared" si="0"/>
        <v>89664557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1467486</v>
      </c>
      <c r="E13" s="60">
        <v>3771001</v>
      </c>
      <c r="F13" s="60">
        <f t="shared" si="1"/>
        <v>0</v>
      </c>
      <c r="G13" s="37">
        <f t="shared" si="1"/>
        <v>0</v>
      </c>
      <c r="H13" s="65">
        <f t="shared" si="2"/>
        <v>1467486</v>
      </c>
      <c r="I13" s="66">
        <f t="shared" si="2"/>
        <v>3771001</v>
      </c>
      <c r="J13" s="60"/>
      <c r="K13" s="38"/>
      <c r="L13" s="60">
        <f t="shared" si="0"/>
        <v>1467486</v>
      </c>
      <c r="M13" s="38">
        <f t="shared" si="0"/>
        <v>3771001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39689807</v>
      </c>
      <c r="E16" s="39">
        <v>93435558</v>
      </c>
      <c r="F16" s="61">
        <f t="shared" ref="F16:M16" si="3">SUM(F11:F15)</f>
        <v>0</v>
      </c>
      <c r="G16" s="39">
        <f t="shared" si="3"/>
        <v>0</v>
      </c>
      <c r="H16" s="61">
        <f>SUM(H11:H15)</f>
        <v>39689807</v>
      </c>
      <c r="I16" s="39">
        <f>SUM(I11:I15)</f>
        <v>93435558</v>
      </c>
      <c r="J16" s="61">
        <f t="shared" si="3"/>
        <v>0</v>
      </c>
      <c r="K16" s="39">
        <f t="shared" si="3"/>
        <v>0</v>
      </c>
      <c r="L16" s="61">
        <f t="shared" si="3"/>
        <v>39689807</v>
      </c>
      <c r="M16" s="39">
        <f t="shared" si="3"/>
        <v>93435558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-50284590</v>
      </c>
      <c r="E19" s="60">
        <v>-114328218</v>
      </c>
      <c r="F19" s="60">
        <f>H19-D19</f>
        <v>0</v>
      </c>
      <c r="G19" s="37">
        <f>I19-E19</f>
        <v>0</v>
      </c>
      <c r="H19" s="65">
        <f t="shared" si="4"/>
        <v>-50284590</v>
      </c>
      <c r="I19" s="66">
        <f t="shared" si="4"/>
        <v>-114328218</v>
      </c>
      <c r="J19" s="60"/>
      <c r="K19" s="38"/>
      <c r="L19" s="60">
        <f t="shared" ref="L19:M23" si="5">H19+J19</f>
        <v>-50284590</v>
      </c>
      <c r="M19" s="38">
        <f t="shared" si="5"/>
        <v>-114328218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-990233</v>
      </c>
      <c r="E21" s="60">
        <v>-2355679</v>
      </c>
      <c r="F21" s="60">
        <f t="shared" si="6"/>
        <v>0</v>
      </c>
      <c r="G21" s="37">
        <f t="shared" si="6"/>
        <v>0</v>
      </c>
      <c r="H21" s="65">
        <f t="shared" si="4"/>
        <v>-990233</v>
      </c>
      <c r="I21" s="66">
        <f t="shared" si="4"/>
        <v>-2355679</v>
      </c>
      <c r="J21" s="60"/>
      <c r="K21" s="38"/>
      <c r="L21" s="60">
        <f t="shared" si="5"/>
        <v>-990233</v>
      </c>
      <c r="M21" s="38">
        <f t="shared" si="5"/>
        <v>-2355679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13349</v>
      </c>
      <c r="E23" s="60">
        <v>31419</v>
      </c>
      <c r="F23" s="60">
        <f t="shared" si="6"/>
        <v>0</v>
      </c>
      <c r="G23" s="37">
        <f t="shared" si="6"/>
        <v>0</v>
      </c>
      <c r="H23" s="65">
        <f t="shared" si="4"/>
        <v>13349</v>
      </c>
      <c r="I23" s="66">
        <f t="shared" si="4"/>
        <v>31419</v>
      </c>
      <c r="J23" s="60"/>
      <c r="K23" s="38"/>
      <c r="L23" s="60">
        <f t="shared" si="5"/>
        <v>13349</v>
      </c>
      <c r="M23" s="38">
        <f t="shared" si="5"/>
        <v>31419</v>
      </c>
    </row>
    <row r="24" spans="1:13" x14ac:dyDescent="0.2">
      <c r="A24" s="9"/>
      <c r="B24" s="7" t="s">
        <v>33</v>
      </c>
      <c r="C24" s="6"/>
      <c r="D24" s="61">
        <v>-51261474</v>
      </c>
      <c r="E24" s="39">
        <v>-116652478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-51261474</v>
      </c>
      <c r="I24" s="39">
        <f>SUM(I19:I23)</f>
        <v>-116652478</v>
      </c>
      <c r="J24" s="61">
        <f t="shared" si="7"/>
        <v>0</v>
      </c>
      <c r="K24" s="39">
        <f t="shared" si="7"/>
        <v>0</v>
      </c>
      <c r="L24" s="61">
        <f t="shared" si="7"/>
        <v>-51261474</v>
      </c>
      <c r="M24" s="39">
        <f t="shared" si="7"/>
        <v>-116652478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75102214</v>
      </c>
      <c r="E27" s="60">
        <v>176559658</v>
      </c>
      <c r="F27" s="60">
        <f>H27-D27</f>
        <v>0</v>
      </c>
      <c r="G27" s="37">
        <f>I27-E27</f>
        <v>0</v>
      </c>
      <c r="H27" s="65">
        <f>D27</f>
        <v>75102214</v>
      </c>
      <c r="I27" s="66">
        <f>E27</f>
        <v>176559658</v>
      </c>
      <c r="J27" s="60"/>
      <c r="K27" s="38"/>
      <c r="L27" s="60">
        <f>H27+J27</f>
        <v>75102214</v>
      </c>
      <c r="M27" s="38">
        <f>I27+K27</f>
        <v>176559658</v>
      </c>
    </row>
    <row r="28" spans="1:13" x14ac:dyDescent="0.2">
      <c r="A28" s="9">
        <v>12</v>
      </c>
      <c r="B28" s="7"/>
      <c r="C28" s="18" t="s">
        <v>36</v>
      </c>
      <c r="D28" s="60">
        <v>-69806478</v>
      </c>
      <c r="E28" s="60">
        <v>-165888207</v>
      </c>
      <c r="F28" s="60">
        <f>H28-D28</f>
        <v>0</v>
      </c>
      <c r="G28" s="37">
        <f>I28-E28</f>
        <v>0</v>
      </c>
      <c r="H28" s="65">
        <f>D28</f>
        <v>-69806478</v>
      </c>
      <c r="I28" s="66">
        <f>E28</f>
        <v>-165888207</v>
      </c>
      <c r="J28" s="60"/>
      <c r="K28" s="38"/>
      <c r="L28" s="60">
        <f>H28+J28</f>
        <v>-69806478</v>
      </c>
      <c r="M28" s="38">
        <f>I28+K28</f>
        <v>-165888207</v>
      </c>
    </row>
    <row r="29" spans="1:13" x14ac:dyDescent="0.2">
      <c r="A29" s="9"/>
      <c r="B29" s="7" t="s">
        <v>37</v>
      </c>
      <c r="C29" s="6"/>
      <c r="D29" s="61">
        <v>5295736</v>
      </c>
      <c r="E29" s="39">
        <v>10671451</v>
      </c>
      <c r="F29" s="61">
        <f t="shared" ref="F29:M29" si="8">SUM(F27:F28)</f>
        <v>0</v>
      </c>
      <c r="G29" s="39">
        <f t="shared" si="8"/>
        <v>0</v>
      </c>
      <c r="H29" s="61">
        <f>SUM(H27:H28)</f>
        <v>5295736</v>
      </c>
      <c r="I29" s="39">
        <f>SUM(I27:I28)</f>
        <v>10671451</v>
      </c>
      <c r="J29" s="61">
        <f t="shared" si="8"/>
        <v>0</v>
      </c>
      <c r="K29" s="39">
        <f t="shared" si="8"/>
        <v>0</v>
      </c>
      <c r="L29" s="61">
        <f t="shared" si="8"/>
        <v>5295736</v>
      </c>
      <c r="M29" s="39">
        <f t="shared" si="8"/>
        <v>10671451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10544159</v>
      </c>
      <c r="E39" s="60">
        <v>25341242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10544159</v>
      </c>
      <c r="I39" s="66">
        <f t="shared" si="12"/>
        <v>25341242</v>
      </c>
      <c r="J39" s="60"/>
      <c r="K39" s="38"/>
      <c r="L39" s="60">
        <f t="shared" ref="L39:M41" si="14">H39+J39</f>
        <v>10544159</v>
      </c>
      <c r="M39" s="38">
        <f t="shared" si="14"/>
        <v>25341242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-12580174</v>
      </c>
      <c r="E40" s="60">
        <v>-30100306</v>
      </c>
      <c r="F40" s="60">
        <f t="shared" si="13"/>
        <v>0</v>
      </c>
      <c r="G40" s="37">
        <f t="shared" si="13"/>
        <v>0</v>
      </c>
      <c r="H40" s="65">
        <f t="shared" si="12"/>
        <v>-12580174</v>
      </c>
      <c r="I40" s="66">
        <f t="shared" si="12"/>
        <v>-30100306</v>
      </c>
      <c r="J40" s="60"/>
      <c r="K40" s="38"/>
      <c r="L40" s="60">
        <f t="shared" si="14"/>
        <v>-12580174</v>
      </c>
      <c r="M40" s="38">
        <f t="shared" si="14"/>
        <v>-30100306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-12580174</v>
      </c>
      <c r="E42" s="39">
        <v>-30100306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-12580174</v>
      </c>
      <c r="I42" s="39">
        <f>SUM(I40:I41)</f>
        <v>-30100306</v>
      </c>
      <c r="J42" s="61">
        <f t="shared" si="15"/>
        <v>0</v>
      </c>
      <c r="K42" s="39">
        <f t="shared" si="15"/>
        <v>0</v>
      </c>
      <c r="L42" s="61">
        <f t="shared" si="15"/>
        <v>-12580174</v>
      </c>
      <c r="M42" s="39">
        <f t="shared" si="15"/>
        <v>-30100306</v>
      </c>
    </row>
    <row r="43" spans="1:13" ht="21" customHeight="1" x14ac:dyDescent="0.2">
      <c r="A43" s="9"/>
      <c r="B43" s="7" t="s">
        <v>49</v>
      </c>
      <c r="C43" s="6"/>
      <c r="D43" s="61">
        <v>-2036015</v>
      </c>
      <c r="E43" s="39">
        <v>-4759064</v>
      </c>
      <c r="F43" s="61">
        <f t="shared" ref="F43:M43" si="16">F42+F39</f>
        <v>0</v>
      </c>
      <c r="G43" s="39">
        <f t="shared" si="16"/>
        <v>0</v>
      </c>
      <c r="H43" s="61">
        <f>H42+H39</f>
        <v>-2036015</v>
      </c>
      <c r="I43" s="39">
        <f>I42+I39</f>
        <v>-4759064</v>
      </c>
      <c r="J43" s="61">
        <f t="shared" si="16"/>
        <v>0</v>
      </c>
      <c r="K43" s="39">
        <f t="shared" si="16"/>
        <v>0</v>
      </c>
      <c r="L43" s="61">
        <f t="shared" si="16"/>
        <v>-2036015</v>
      </c>
      <c r="M43" s="39">
        <f t="shared" si="16"/>
        <v>-4759064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8311946</v>
      </c>
      <c r="E49" s="60">
        <v>18894253.351663016</v>
      </c>
      <c r="F49" s="60">
        <f>H49-D49</f>
        <v>0</v>
      </c>
      <c r="G49" s="37">
        <f>I49-E49</f>
        <v>0</v>
      </c>
      <c r="H49" s="65">
        <f>D49</f>
        <v>8311946</v>
      </c>
      <c r="I49" s="66">
        <f>E49</f>
        <v>18894253.351663016</v>
      </c>
      <c r="J49" s="60"/>
      <c r="K49" s="38"/>
      <c r="L49" s="60">
        <f>H49+J49</f>
        <v>8311946</v>
      </c>
      <c r="M49" s="38">
        <f>I49+K49</f>
        <v>18894253.351663016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-1544388.7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-1544388.7</v>
      </c>
      <c r="J54" s="60"/>
      <c r="K54" s="38"/>
      <c r="L54" s="60">
        <f>H54+J54</f>
        <v>0</v>
      </c>
      <c r="M54" s="38">
        <f>I54+K54</f>
        <v>-1544388.7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-1544388.7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-1544388.7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-1544388.7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-2541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-2541</v>
      </c>
      <c r="J76" s="60"/>
      <c r="K76" s="38"/>
      <c r="L76" s="60">
        <f t="shared" si="22"/>
        <v>0</v>
      </c>
      <c r="M76" s="38">
        <f t="shared" si="22"/>
        <v>-2541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-55509.348336984171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-55509.348336984171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-55509.348336984171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55805474</v>
      </c>
      <c r="E11" s="38">
        <f>'TX-EGM-FLSH'!E11+'TX-HPLR-FLSH'!E11+'TX-HPLC-FLSH'!E11</f>
        <v>131644933</v>
      </c>
      <c r="F11" s="60">
        <f>H11-D11</f>
        <v>0</v>
      </c>
      <c r="G11" s="37">
        <f>I11-E11</f>
        <v>0</v>
      </c>
      <c r="H11" s="60">
        <f>'TX-EGM-FLSH'!H11+'TX-HPLR-FLSH'!H11+'TX-HPLC-FLSH'!H11</f>
        <v>55805474</v>
      </c>
      <c r="I11" s="38">
        <f>'TX-EGM-FLSH'!I11+'TX-HPLR-FLSH'!I11+'TX-HPLC-FLSH'!I11</f>
        <v>131644933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55805474</v>
      </c>
      <c r="M11" s="38">
        <f t="shared" si="0"/>
        <v>131644933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2942768</v>
      </c>
      <c r="E13" s="38">
        <f>'TX-EGM-FLSH'!E13+'TX-HPLR-FLSH'!E13+'TX-HPLC-FLSH'!E13</f>
        <v>7173548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2942768</v>
      </c>
      <c r="I13" s="38">
        <f>'TX-EGM-FLSH'!I13+'TX-HPLR-FLSH'!I13+'TX-HPLC-FLSH'!I13</f>
        <v>7173548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2942768</v>
      </c>
      <c r="M13" s="38">
        <f t="shared" si="0"/>
        <v>7173548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58748242</v>
      </c>
      <c r="E16" s="39">
        <f>SUM(E11:E15)</f>
        <v>138938481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58748242</v>
      </c>
      <c r="I16" s="39">
        <f t="shared" si="2"/>
        <v>138938481</v>
      </c>
      <c r="J16" s="61">
        <f t="shared" si="2"/>
        <v>0</v>
      </c>
      <c r="K16" s="39">
        <f t="shared" si="2"/>
        <v>0</v>
      </c>
      <c r="L16" s="61">
        <f t="shared" si="2"/>
        <v>58748242</v>
      </c>
      <c r="M16" s="39">
        <f t="shared" si="2"/>
        <v>138938481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-54862192</v>
      </c>
      <c r="E19" s="38">
        <f>'TX-EGM-FLSH'!E19+'TX-HPLR-FLSH'!E19+'TX-HPLC-FLSH'!E19</f>
        <v>-124710492</v>
      </c>
      <c r="F19" s="60">
        <f>H19-D19</f>
        <v>0</v>
      </c>
      <c r="G19" s="37">
        <f>I19-E19</f>
        <v>0</v>
      </c>
      <c r="H19" s="60">
        <f>'TX-EGM-FLSH'!H19+'TX-HPLR-FLSH'!H19+'TX-HPLC-FLSH'!H19</f>
        <v>-54862192</v>
      </c>
      <c r="I19" s="38">
        <f>'TX-EGM-FLSH'!I19+'TX-HPLR-FLSH'!I19+'TX-HPLC-FLSH'!I19</f>
        <v>-124710492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-54862192</v>
      </c>
      <c r="M19" s="38">
        <f t="shared" si="3"/>
        <v>-124710492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-1130013</v>
      </c>
      <c r="E21" s="38">
        <f>'TX-EGM-FLSH'!E21+'TX-HPLR-FLSH'!E21+'TX-HPLC-FLSH'!E21</f>
        <v>-2653363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-1130013</v>
      </c>
      <c r="I21" s="38">
        <f>'TX-EGM-FLSH'!I21+'TX-HPLR-FLSH'!I21+'TX-HPLC-FLSH'!I21</f>
        <v>-2653363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-1130013</v>
      </c>
      <c r="M21" s="38">
        <f t="shared" si="3"/>
        <v>-2653363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13363</v>
      </c>
      <c r="E23" s="38">
        <f>'TX-EGM-FLSH'!E23+'TX-HPLR-FLSH'!E23+'TX-HPLC-FLSH'!E23</f>
        <v>31448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13363</v>
      </c>
      <c r="I23" s="38">
        <f>'TX-EGM-FLSH'!I23+'TX-HPLR-FLSH'!I23+'TX-HPLC-FLSH'!I23</f>
        <v>31448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13363</v>
      </c>
      <c r="M23" s="38">
        <f t="shared" si="3"/>
        <v>31448</v>
      </c>
    </row>
    <row r="24" spans="1:13" x14ac:dyDescent="0.2">
      <c r="A24" s="9"/>
      <c r="B24" s="7" t="s">
        <v>33</v>
      </c>
      <c r="C24" s="6"/>
      <c r="D24" s="61">
        <f>SUM(D19:D23)</f>
        <v>-55978842</v>
      </c>
      <c r="E24" s="39">
        <f>SUM(E19:E23)</f>
        <v>-127332407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-55978842</v>
      </c>
      <c r="I24" s="39">
        <f t="shared" si="5"/>
        <v>-127332407</v>
      </c>
      <c r="J24" s="61">
        <f t="shared" si="5"/>
        <v>0</v>
      </c>
      <c r="K24" s="39">
        <f t="shared" si="5"/>
        <v>0</v>
      </c>
      <c r="L24" s="61">
        <f t="shared" si="5"/>
        <v>-55978842</v>
      </c>
      <c r="M24" s="39">
        <f t="shared" si="5"/>
        <v>-127332407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91862022</v>
      </c>
      <c r="E27" s="38">
        <f>'TX-EGM-FLSH'!E27+'TX-HPLR-FLSH'!E27+'TX-HPLC-FLSH'!E27</f>
        <v>215996358</v>
      </c>
      <c r="F27" s="60">
        <f>H27-D27</f>
        <v>0</v>
      </c>
      <c r="G27" s="37">
        <f>I27-E27</f>
        <v>0</v>
      </c>
      <c r="H27" s="60">
        <f>'TX-EGM-FLSH'!H27+'TX-HPLR-FLSH'!H27+'TX-HPLC-FLSH'!H27</f>
        <v>91862022</v>
      </c>
      <c r="I27" s="38">
        <f>'TX-EGM-FLSH'!I27+'TX-HPLR-FLSH'!I27+'TX-HPLC-FLSH'!I27</f>
        <v>215996358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91862022</v>
      </c>
      <c r="M27" s="38">
        <f>I27+K27</f>
        <v>215996358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-91086157</v>
      </c>
      <c r="E28" s="38">
        <f>'TX-EGM-FLSH'!E28+'TX-HPLR-FLSH'!E28+'TX-HPLC-FLSH'!E28</f>
        <v>-214181338</v>
      </c>
      <c r="F28" s="60">
        <f>H28-D28</f>
        <v>0</v>
      </c>
      <c r="G28" s="37">
        <f>I28-E28</f>
        <v>0</v>
      </c>
      <c r="H28" s="60">
        <f>'TX-EGM-FLSH'!H28+'TX-HPLR-FLSH'!H28+'TX-HPLC-FLSH'!H28</f>
        <v>-91086157</v>
      </c>
      <c r="I28" s="38">
        <f>'TX-EGM-FLSH'!I28+'TX-HPLR-FLSH'!I28+'TX-HPLC-FLSH'!I28</f>
        <v>-214181338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-91086157</v>
      </c>
      <c r="M28" s="38">
        <f>I28+K28</f>
        <v>-214181338</v>
      </c>
    </row>
    <row r="29" spans="1:13" x14ac:dyDescent="0.2">
      <c r="A29" s="9"/>
      <c r="B29" s="7" t="s">
        <v>37</v>
      </c>
      <c r="C29" s="6"/>
      <c r="D29" s="61">
        <f>SUM(D27:D28)</f>
        <v>775865</v>
      </c>
      <c r="E29" s="39">
        <f>SUM(E27:E28)</f>
        <v>1815020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775865</v>
      </c>
      <c r="I29" s="39">
        <f t="shared" si="6"/>
        <v>1815020</v>
      </c>
      <c r="J29" s="61">
        <f t="shared" si="6"/>
        <v>0</v>
      </c>
      <c r="K29" s="39">
        <f t="shared" si="6"/>
        <v>0</v>
      </c>
      <c r="L29" s="61">
        <f t="shared" si="6"/>
        <v>775865</v>
      </c>
      <c r="M29" s="39">
        <f t="shared" si="6"/>
        <v>1815020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10544159</v>
      </c>
      <c r="E39" s="38">
        <f>'TX-EGM-FLSH'!E39+'TX-HPLR-FLSH'!E39+'TX-HPLC-FLSH'!E39</f>
        <v>25341242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10544159</v>
      </c>
      <c r="I39" s="38">
        <f>'TX-EGM-FLSH'!I39+'TX-HPLR-FLSH'!I39+'TX-HPLC-FLSH'!I39</f>
        <v>25341242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10544159</v>
      </c>
      <c r="M39" s="38">
        <f t="shared" si="11"/>
        <v>25341242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-13434256</v>
      </c>
      <c r="E40" s="38">
        <f>'TX-EGM-FLSH'!E40+'TX-HPLR-FLSH'!E40+'TX-HPLC-FLSH'!E40</f>
        <v>-32074773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-13434256</v>
      </c>
      <c r="I40" s="38">
        <f>'TX-EGM-FLSH'!I40+'TX-HPLR-FLSH'!I40+'TX-HPLC-FLSH'!I40</f>
        <v>-32074773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-13434256</v>
      </c>
      <c r="M40" s="38">
        <f t="shared" si="11"/>
        <v>-32074773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-13434256</v>
      </c>
      <c r="E42" s="39">
        <f>SUM(E40:E41)</f>
        <v>-32074773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-13434256</v>
      </c>
      <c r="I42" s="39">
        <f t="shared" si="12"/>
        <v>-32074773</v>
      </c>
      <c r="J42" s="61">
        <f t="shared" si="12"/>
        <v>0</v>
      </c>
      <c r="K42" s="39">
        <f t="shared" si="12"/>
        <v>0</v>
      </c>
      <c r="L42" s="61">
        <f t="shared" si="12"/>
        <v>-13434256</v>
      </c>
      <c r="M42" s="39">
        <f t="shared" si="12"/>
        <v>-32074773</v>
      </c>
    </row>
    <row r="43" spans="1:13" ht="21" customHeight="1" x14ac:dyDescent="0.2">
      <c r="A43" s="9"/>
      <c r="B43" s="7" t="s">
        <v>49</v>
      </c>
      <c r="C43" s="6"/>
      <c r="D43" s="61">
        <f>D42+D39</f>
        <v>-2890097</v>
      </c>
      <c r="E43" s="39">
        <f>E42+E39</f>
        <v>-6733531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-2890097</v>
      </c>
      <c r="I43" s="39">
        <f t="shared" si="13"/>
        <v>-6733531</v>
      </c>
      <c r="J43" s="61">
        <f t="shared" si="13"/>
        <v>0</v>
      </c>
      <c r="K43" s="39">
        <f t="shared" si="13"/>
        <v>0</v>
      </c>
      <c r="L43" s="61">
        <f t="shared" si="13"/>
        <v>-2890097</v>
      </c>
      <c r="M43" s="39">
        <f t="shared" si="13"/>
        <v>-6733531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-655168</v>
      </c>
      <c r="E49" s="38">
        <f>'TX-EGM-FLSH'!E49+'TX-HPLR-FLSH'!E49+'TX-HPLC-FLSH'!E49</f>
        <v>-1489291.4583302587</v>
      </c>
      <c r="F49" s="60">
        <f>H49-D49</f>
        <v>0</v>
      </c>
      <c r="G49" s="37">
        <f>I49-E49</f>
        <v>0</v>
      </c>
      <c r="H49" s="60">
        <f>'TX-EGM-FLSH'!H49+'TX-HPLR-FLSH'!H49+'TX-HPLC-FLSH'!H49</f>
        <v>-655168</v>
      </c>
      <c r="I49" s="38">
        <f>'TX-EGM-FLSH'!I49+'TX-HPLR-FLSH'!I49+'TX-HPLC-FLSH'!I49</f>
        <v>-1489291.4583302587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-655168</v>
      </c>
      <c r="M49" s="38">
        <f>I49+K49</f>
        <v>-1489291.4583302587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-2019388.7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-2019388.7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-2019388.7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-2019388.7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-2019388.7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-2019388.7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-2639306.77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-2639306.77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-2639306.77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739519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739519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739519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-1899787.77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-1899787.77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-1899787.77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1778233.65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1778233.65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1778233.65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17704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17704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17704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-2541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-2541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-2541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-207047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-207047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-207047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2767144.7216697363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2767144.7216697363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2767144.7216697363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2822654.0700067473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9167000</v>
      </c>
      <c r="F86" s="148">
        <f>'TX-EGM-FLSH'!F86+'TX-HPLR-FLSH'!F86</f>
        <v>0</v>
      </c>
      <c r="G86" s="148">
        <f>'TX-EGM-FLSH'!G86+'TX-HPLR-FLSH'!G86</f>
        <v>-6519936</v>
      </c>
      <c r="H86" s="148">
        <f>'TX-EGM-FLSH'!H86+'TX-HPLR-FLSH'!H86+'TX-HPLC-FLSH'!H86</f>
        <v>0</v>
      </c>
      <c r="I86" s="148">
        <f>'TX-EGM-FLSH'!I86+'TX-HPLR-FLSH'!I86+'TX-HPLC-FLSH'!I86</f>
        <v>2647064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2647064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-2114953</v>
      </c>
      <c r="H88" s="150">
        <f>'TX-EGM-FLSH'!H88+'TX-HPLR-FLSH'!H88+'TX-HPLC-FLSH'!H88</f>
        <v>0</v>
      </c>
      <c r="I88" s="150">
        <f>'TX-EGM-FLSH'!I88+'TX-HPLR-FLSH'!I88+'TX-HPLC-FLSH'!I88</f>
        <v>-2114953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-2114953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9167000</v>
      </c>
      <c r="F89" s="155">
        <f t="shared" si="20"/>
        <v>0</v>
      </c>
      <c r="G89" s="155">
        <f t="shared" si="20"/>
        <v>-8634889</v>
      </c>
      <c r="H89" s="155">
        <f t="shared" si="20"/>
        <v>0</v>
      </c>
      <c r="I89" s="155">
        <f t="shared" si="20"/>
        <v>532111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11934144.721669737</v>
      </c>
      <c r="F91" s="155">
        <f t="shared" si="21"/>
        <v>0</v>
      </c>
      <c r="G91" s="155">
        <f t="shared" si="21"/>
        <v>-8634889</v>
      </c>
      <c r="H91" s="155">
        <f t="shared" si="21"/>
        <v>0</v>
      </c>
      <c r="I91" s="155">
        <f t="shared" si="21"/>
        <v>3299255.7216697363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3299255.7216697363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41773752</v>
      </c>
      <c r="E11" s="65">
        <v>96029433</v>
      </c>
      <c r="F11" s="60">
        <f>H11-D11</f>
        <v>0</v>
      </c>
      <c r="G11" s="37">
        <f>I11-E11</f>
        <v>0</v>
      </c>
      <c r="H11" s="65">
        <f>D11</f>
        <v>41773752</v>
      </c>
      <c r="I11" s="66">
        <f>E11</f>
        <v>96029433</v>
      </c>
      <c r="J11" s="60"/>
      <c r="K11" s="38"/>
      <c r="L11" s="60">
        <f t="shared" ref="L11:M15" si="0">H11+J11</f>
        <v>41773752</v>
      </c>
      <c r="M11" s="38">
        <f t="shared" si="0"/>
        <v>96029433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19330835</v>
      </c>
      <c r="E13" s="65">
        <v>45588342</v>
      </c>
      <c r="F13" s="60">
        <f t="shared" si="1"/>
        <v>0</v>
      </c>
      <c r="G13" s="37">
        <f t="shared" si="1"/>
        <v>0</v>
      </c>
      <c r="H13" s="65">
        <f t="shared" si="2"/>
        <v>19330835</v>
      </c>
      <c r="I13" s="66">
        <f t="shared" si="2"/>
        <v>45588342</v>
      </c>
      <c r="J13" s="60"/>
      <c r="K13" s="38"/>
      <c r="L13" s="60">
        <f t="shared" si="0"/>
        <v>19330835</v>
      </c>
      <c r="M13" s="38">
        <f t="shared" si="0"/>
        <v>45588342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61104587</v>
      </c>
      <c r="E16" s="39">
        <v>141617775</v>
      </c>
      <c r="F16" s="61">
        <f t="shared" ref="F16:M16" si="3">SUM(F11:F15)</f>
        <v>0</v>
      </c>
      <c r="G16" s="39">
        <f t="shared" si="3"/>
        <v>0</v>
      </c>
      <c r="H16" s="61">
        <f>SUM(H11:H15)</f>
        <v>61104587</v>
      </c>
      <c r="I16" s="39">
        <f>SUM(I11:I15)</f>
        <v>141617775</v>
      </c>
      <c r="J16" s="61">
        <f t="shared" si="3"/>
        <v>0</v>
      </c>
      <c r="K16" s="39">
        <f t="shared" si="3"/>
        <v>0</v>
      </c>
      <c r="L16" s="61">
        <f t="shared" si="3"/>
        <v>61104587</v>
      </c>
      <c r="M16" s="39">
        <f t="shared" si="3"/>
        <v>141617775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-42677322</v>
      </c>
      <c r="E19" s="65">
        <v>-95682634</v>
      </c>
      <c r="F19" s="60">
        <f>H19-D19</f>
        <v>0</v>
      </c>
      <c r="G19" s="37">
        <f>I19-E19</f>
        <v>0</v>
      </c>
      <c r="H19" s="65">
        <f t="shared" si="4"/>
        <v>-42677322</v>
      </c>
      <c r="I19" s="66">
        <f t="shared" si="4"/>
        <v>-95682634</v>
      </c>
      <c r="J19" s="60"/>
      <c r="K19" s="38"/>
      <c r="L19" s="60">
        <f t="shared" ref="L19:M23" si="5">H19+J19</f>
        <v>-42677322</v>
      </c>
      <c r="M19" s="38">
        <f t="shared" si="5"/>
        <v>-95682634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-19275990</v>
      </c>
      <c r="E21" s="65">
        <v>-45452981</v>
      </c>
      <c r="F21" s="60">
        <f t="shared" si="6"/>
        <v>0</v>
      </c>
      <c r="G21" s="37">
        <f t="shared" si="6"/>
        <v>0</v>
      </c>
      <c r="H21" s="65">
        <f t="shared" si="4"/>
        <v>-19275990</v>
      </c>
      <c r="I21" s="66">
        <f t="shared" si="4"/>
        <v>-45452981</v>
      </c>
      <c r="J21" s="60"/>
      <c r="K21" s="38"/>
      <c r="L21" s="60">
        <f t="shared" si="5"/>
        <v>-19275990</v>
      </c>
      <c r="M21" s="38">
        <f t="shared" si="5"/>
        <v>-45452981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637065</v>
      </c>
      <c r="E23" s="65">
        <v>1420180</v>
      </c>
      <c r="F23" s="60">
        <f t="shared" si="6"/>
        <v>0</v>
      </c>
      <c r="G23" s="37">
        <f t="shared" si="6"/>
        <v>0</v>
      </c>
      <c r="H23" s="65">
        <f t="shared" si="4"/>
        <v>637065</v>
      </c>
      <c r="I23" s="66">
        <f t="shared" si="4"/>
        <v>1420180</v>
      </c>
      <c r="J23" s="60"/>
      <c r="K23" s="38"/>
      <c r="L23" s="60">
        <f t="shared" si="5"/>
        <v>637065</v>
      </c>
      <c r="M23" s="38">
        <f t="shared" si="5"/>
        <v>1420180</v>
      </c>
    </row>
    <row r="24" spans="1:13" x14ac:dyDescent="0.2">
      <c r="A24" s="9"/>
      <c r="B24" s="7" t="s">
        <v>33</v>
      </c>
      <c r="C24" s="6"/>
      <c r="D24" s="61">
        <v>-61316247</v>
      </c>
      <c r="E24" s="39">
        <v>-139715435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-61316247</v>
      </c>
      <c r="I24" s="39">
        <f>SUM(I19:I23)</f>
        <v>-139715435</v>
      </c>
      <c r="J24" s="61">
        <f t="shared" si="7"/>
        <v>0</v>
      </c>
      <c r="K24" s="39">
        <f t="shared" si="7"/>
        <v>0</v>
      </c>
      <c r="L24" s="61">
        <f t="shared" si="7"/>
        <v>-61316247</v>
      </c>
      <c r="M24" s="39">
        <f t="shared" si="7"/>
        <v>-139715435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7309</v>
      </c>
      <c r="E32" s="65">
        <v>18379</v>
      </c>
      <c r="F32" s="60">
        <f>H32-D32</f>
        <v>0</v>
      </c>
      <c r="G32" s="37">
        <f>I32-E32</f>
        <v>0</v>
      </c>
      <c r="H32" s="65">
        <f t="shared" ref="H32:I35" si="9">D32</f>
        <v>7309</v>
      </c>
      <c r="I32" s="66">
        <f t="shared" si="9"/>
        <v>18379</v>
      </c>
      <c r="J32" s="60"/>
      <c r="K32" s="38"/>
      <c r="L32" s="60">
        <f t="shared" ref="L32:M35" si="10">H32+J32</f>
        <v>7309</v>
      </c>
      <c r="M32" s="38">
        <f t="shared" si="10"/>
        <v>18379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219316</v>
      </c>
      <c r="E35" s="65">
        <v>531059</v>
      </c>
      <c r="F35" s="60">
        <f t="shared" si="11"/>
        <v>0</v>
      </c>
      <c r="G35" s="37">
        <f t="shared" si="11"/>
        <v>0</v>
      </c>
      <c r="H35" s="65">
        <f t="shared" si="9"/>
        <v>219316</v>
      </c>
      <c r="I35" s="66">
        <f t="shared" si="9"/>
        <v>531059</v>
      </c>
      <c r="J35" s="60"/>
      <c r="K35" s="38"/>
      <c r="L35" s="60">
        <f t="shared" si="10"/>
        <v>219316</v>
      </c>
      <c r="M35" s="38">
        <f t="shared" si="10"/>
        <v>531059</v>
      </c>
    </row>
    <row r="36" spans="1:13" x14ac:dyDescent="0.2">
      <c r="A36" s="9"/>
      <c r="B36" s="7" t="s">
        <v>43</v>
      </c>
      <c r="C36" s="6"/>
      <c r="D36" s="61">
        <v>226625</v>
      </c>
      <c r="E36" s="39">
        <v>549438</v>
      </c>
      <c r="F36" s="61">
        <f>SUM(F32:F35)</f>
        <v>0</v>
      </c>
      <c r="G36" s="39">
        <f>SUM(G32:G35)</f>
        <v>0</v>
      </c>
      <c r="H36" s="61">
        <f>SUM(H32:H35)</f>
        <v>226625</v>
      </c>
      <c r="I36" s="39">
        <f>SUM(I32:I35)</f>
        <v>549438</v>
      </c>
      <c r="J36" s="61">
        <f>SUM(J32:J34)</f>
        <v>0</v>
      </c>
      <c r="K36" s="39">
        <f>SUM(K32:K34)</f>
        <v>0</v>
      </c>
      <c r="L36" s="61">
        <f>SUM(L32:L35)</f>
        <v>226625</v>
      </c>
      <c r="M36" s="39">
        <f>SUM(M32:M35)</f>
        <v>549438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9907</v>
      </c>
      <c r="E39" s="65">
        <v>20458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9907</v>
      </c>
      <c r="I39" s="66">
        <f t="shared" si="12"/>
        <v>20458</v>
      </c>
      <c r="J39" s="60"/>
      <c r="K39" s="38"/>
      <c r="L39" s="60">
        <f t="shared" ref="L39:M41" si="14">H39+J39</f>
        <v>9907</v>
      </c>
      <c r="M39" s="38">
        <f t="shared" si="14"/>
        <v>20458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-7621</v>
      </c>
      <c r="E40" s="65">
        <v>-17126</v>
      </c>
      <c r="F40" s="60">
        <f t="shared" si="13"/>
        <v>0</v>
      </c>
      <c r="G40" s="37">
        <f t="shared" si="13"/>
        <v>0</v>
      </c>
      <c r="H40" s="65">
        <f t="shared" si="12"/>
        <v>-7621</v>
      </c>
      <c r="I40" s="66">
        <f t="shared" si="12"/>
        <v>-17126</v>
      </c>
      <c r="J40" s="60"/>
      <c r="K40" s="38"/>
      <c r="L40" s="60">
        <f t="shared" si="14"/>
        <v>-7621</v>
      </c>
      <c r="M40" s="38">
        <f t="shared" si="14"/>
        <v>-17126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-7621</v>
      </c>
      <c r="E42" s="39">
        <v>-17126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-7621</v>
      </c>
      <c r="I42" s="39">
        <f>SUM(I40:I41)</f>
        <v>-17126</v>
      </c>
      <c r="J42" s="61">
        <f t="shared" si="15"/>
        <v>0</v>
      </c>
      <c r="K42" s="39">
        <f t="shared" si="15"/>
        <v>0</v>
      </c>
      <c r="L42" s="61">
        <f t="shared" si="15"/>
        <v>-7621</v>
      </c>
      <c r="M42" s="39">
        <f t="shared" si="15"/>
        <v>-17126</v>
      </c>
    </row>
    <row r="43" spans="1:13" ht="21" customHeight="1" x14ac:dyDescent="0.2">
      <c r="A43" s="9"/>
      <c r="B43" s="7" t="s">
        <v>49</v>
      </c>
      <c r="C43" s="6"/>
      <c r="D43" s="61">
        <v>2286</v>
      </c>
      <c r="E43" s="39">
        <v>3332</v>
      </c>
      <c r="F43" s="61">
        <f t="shared" ref="F43:M43" si="16">F42+F39</f>
        <v>0</v>
      </c>
      <c r="G43" s="39">
        <f t="shared" si="16"/>
        <v>0</v>
      </c>
      <c r="H43" s="61">
        <f>H42+H39</f>
        <v>2286</v>
      </c>
      <c r="I43" s="39">
        <f>I42+I39</f>
        <v>3332</v>
      </c>
      <c r="J43" s="61">
        <f t="shared" si="16"/>
        <v>0</v>
      </c>
      <c r="K43" s="39">
        <f t="shared" si="16"/>
        <v>0</v>
      </c>
      <c r="L43" s="61">
        <f t="shared" si="16"/>
        <v>2286</v>
      </c>
      <c r="M43" s="39">
        <f t="shared" si="16"/>
        <v>3332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-17251</v>
      </c>
      <c r="E49" s="65">
        <v>-38071.940757729382</v>
      </c>
      <c r="F49" s="60">
        <f>H49-D49</f>
        <v>0</v>
      </c>
      <c r="G49" s="37">
        <f>I49-E49</f>
        <v>0</v>
      </c>
      <c r="H49" s="65">
        <f>D49</f>
        <v>-17251</v>
      </c>
      <c r="I49" s="66">
        <f>E49</f>
        <v>-38071.940757729382</v>
      </c>
      <c r="J49" s="60"/>
      <c r="K49" s="38"/>
      <c r="L49" s="60">
        <f>H49+J49</f>
        <v>-17251</v>
      </c>
      <c r="M49" s="38">
        <f>I49+K49</f>
        <v>-38071.940757729382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-637065</v>
      </c>
      <c r="E51" s="65">
        <v>-1420180</v>
      </c>
      <c r="F51" s="60">
        <f>H51-D51</f>
        <v>0</v>
      </c>
      <c r="G51" s="37">
        <f>I51-E51</f>
        <v>0</v>
      </c>
      <c r="H51" s="65">
        <f>D51</f>
        <v>-637065</v>
      </c>
      <c r="I51" s="66">
        <f>E51</f>
        <v>-1420180</v>
      </c>
      <c r="J51" s="60"/>
      <c r="K51" s="38"/>
      <c r="L51" s="60">
        <f>H51+J51</f>
        <v>-637065</v>
      </c>
      <c r="M51" s="38">
        <f>I51+K51</f>
        <v>-1420180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-114015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-114015</v>
      </c>
      <c r="J54" s="60"/>
      <c r="K54" s="38"/>
      <c r="L54" s="60">
        <f>H54+J54</f>
        <v>0</v>
      </c>
      <c r="M54" s="38">
        <f>I54+K54</f>
        <v>-114015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-1113165.8400000001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-1113165.8400000001</v>
      </c>
      <c r="J55" s="60"/>
      <c r="K55" s="38"/>
      <c r="L55" s="60">
        <f>H55+J55</f>
        <v>0</v>
      </c>
      <c r="M55" s="38">
        <f>I55+K55</f>
        <v>-1113165.8400000001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-1227180.8400000001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-1227180.8400000001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-1227180.8400000001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6953222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6953222</v>
      </c>
      <c r="J70" s="60"/>
      <c r="K70" s="38"/>
      <c r="L70" s="60">
        <f>H70+J70</f>
        <v>0</v>
      </c>
      <c r="M70" s="38">
        <f>I70+K70</f>
        <v>6953222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-2053660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-2053660</v>
      </c>
      <c r="J71" s="60"/>
      <c r="K71" s="38"/>
      <c r="L71" s="60">
        <f>H71+J71</f>
        <v>0</v>
      </c>
      <c r="M71" s="38">
        <f>I71+K71</f>
        <v>-2053660</v>
      </c>
    </row>
    <row r="72" spans="1:13" x14ac:dyDescent="0.2">
      <c r="A72" s="9"/>
      <c r="B72" s="3"/>
      <c r="C72" s="55" t="s">
        <v>69</v>
      </c>
      <c r="D72" s="61">
        <v>0</v>
      </c>
      <c r="E72" s="39">
        <v>4899562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4899562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4899562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1250153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1250153</v>
      </c>
      <c r="J74" s="60"/>
      <c r="K74" s="38"/>
      <c r="L74" s="60">
        <f t="shared" si="22"/>
        <v>0</v>
      </c>
      <c r="M74" s="38">
        <f t="shared" si="22"/>
        <v>1250153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354788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354788</v>
      </c>
      <c r="J75" s="60"/>
      <c r="K75" s="38"/>
      <c r="L75" s="60">
        <f t="shared" si="22"/>
        <v>0</v>
      </c>
      <c r="M75" s="38">
        <f t="shared" si="22"/>
        <v>354788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-8676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-8676</v>
      </c>
      <c r="J76" s="60"/>
      <c r="K76" s="38"/>
      <c r="L76" s="60">
        <f t="shared" si="22"/>
        <v>0</v>
      </c>
      <c r="M76" s="38">
        <f t="shared" si="22"/>
        <v>-8676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-223008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-223008</v>
      </c>
      <c r="J81" s="60"/>
      <c r="K81" s="38"/>
      <c r="L81" s="60">
        <f t="shared" si="22"/>
        <v>0</v>
      </c>
      <c r="M81" s="38">
        <f t="shared" si="22"/>
        <v>-223008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6042496.219242271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6042496.219242271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6042496.219242271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6042496.219242271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6042496.219242271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6042496.219242271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I74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4265744</v>
      </c>
      <c r="E11" s="65">
        <v>9263351</v>
      </c>
      <c r="F11" s="60">
        <f>H11-D11</f>
        <v>0</v>
      </c>
      <c r="G11" s="37">
        <f>I11-E11</f>
        <v>0</v>
      </c>
      <c r="H11" s="65">
        <f>D11</f>
        <v>4265744</v>
      </c>
      <c r="I11" s="66">
        <f>E11</f>
        <v>9263351</v>
      </c>
      <c r="J11" s="60"/>
      <c r="K11" s="38"/>
      <c r="L11" s="60">
        <f t="shared" ref="L11:M15" si="0">H11+J11</f>
        <v>4265744</v>
      </c>
      <c r="M11" s="38">
        <f t="shared" si="0"/>
        <v>9263351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4105116</v>
      </c>
      <c r="E13" s="65">
        <v>9214231</v>
      </c>
      <c r="F13" s="60">
        <f t="shared" si="1"/>
        <v>0</v>
      </c>
      <c r="G13" s="37">
        <f t="shared" si="1"/>
        <v>0</v>
      </c>
      <c r="H13" s="65">
        <f t="shared" si="2"/>
        <v>4105116</v>
      </c>
      <c r="I13" s="66">
        <f t="shared" si="2"/>
        <v>9214231</v>
      </c>
      <c r="J13" s="60"/>
      <c r="K13" s="38"/>
      <c r="L13" s="60">
        <f t="shared" si="0"/>
        <v>4105116</v>
      </c>
      <c r="M13" s="38">
        <f t="shared" si="0"/>
        <v>9214231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8370860</v>
      </c>
      <c r="E16" s="39">
        <v>18477582</v>
      </c>
      <c r="F16" s="61">
        <f t="shared" ref="F16:M16" si="3">SUM(F11:F15)</f>
        <v>0</v>
      </c>
      <c r="G16" s="39">
        <f t="shared" si="3"/>
        <v>0</v>
      </c>
      <c r="H16" s="61">
        <f>SUM(H11:H15)</f>
        <v>8370860</v>
      </c>
      <c r="I16" s="39">
        <f>SUM(I11:I15)</f>
        <v>18477582</v>
      </c>
      <c r="J16" s="61">
        <f t="shared" si="3"/>
        <v>0</v>
      </c>
      <c r="K16" s="39">
        <f t="shared" si="3"/>
        <v>0</v>
      </c>
      <c r="L16" s="61">
        <f t="shared" si="3"/>
        <v>8370860</v>
      </c>
      <c r="M16" s="39">
        <f t="shared" si="3"/>
        <v>18477582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-5207531</v>
      </c>
      <c r="E19" s="65">
        <v>-11111817</v>
      </c>
      <c r="F19" s="60">
        <f>H19-D19</f>
        <v>0</v>
      </c>
      <c r="G19" s="37">
        <f>I19-E19</f>
        <v>0</v>
      </c>
      <c r="H19" s="65">
        <f t="shared" si="4"/>
        <v>-5207531</v>
      </c>
      <c r="I19" s="66">
        <f t="shared" si="4"/>
        <v>-11111817</v>
      </c>
      <c r="J19" s="60"/>
      <c r="K19" s="38"/>
      <c r="L19" s="60">
        <f t="shared" ref="L19:M23" si="5">H19+J19</f>
        <v>-5207531</v>
      </c>
      <c r="M19" s="38">
        <f t="shared" si="5"/>
        <v>-11111817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-3142564</v>
      </c>
      <c r="E21" s="65">
        <v>-7046526</v>
      </c>
      <c r="F21" s="60">
        <f t="shared" si="6"/>
        <v>0</v>
      </c>
      <c r="G21" s="37">
        <f t="shared" si="6"/>
        <v>0</v>
      </c>
      <c r="H21" s="65">
        <f t="shared" si="4"/>
        <v>-3142564</v>
      </c>
      <c r="I21" s="66">
        <f t="shared" si="4"/>
        <v>-7046526</v>
      </c>
      <c r="J21" s="60"/>
      <c r="K21" s="38"/>
      <c r="L21" s="60">
        <f t="shared" si="5"/>
        <v>-3142564</v>
      </c>
      <c r="M21" s="38">
        <f t="shared" si="5"/>
        <v>-7046526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13590</v>
      </c>
      <c r="E23" s="65">
        <v>28931</v>
      </c>
      <c r="F23" s="60">
        <f t="shared" si="6"/>
        <v>0</v>
      </c>
      <c r="G23" s="37">
        <f t="shared" si="6"/>
        <v>0</v>
      </c>
      <c r="H23" s="65">
        <f t="shared" si="4"/>
        <v>13590</v>
      </c>
      <c r="I23" s="66">
        <f t="shared" si="4"/>
        <v>28931</v>
      </c>
      <c r="J23" s="60"/>
      <c r="K23" s="38"/>
      <c r="L23" s="60">
        <f t="shared" si="5"/>
        <v>13590</v>
      </c>
      <c r="M23" s="38">
        <f t="shared" si="5"/>
        <v>28931</v>
      </c>
    </row>
    <row r="24" spans="1:13" x14ac:dyDescent="0.2">
      <c r="A24" s="9"/>
      <c r="B24" s="7" t="s">
        <v>33</v>
      </c>
      <c r="C24" s="6"/>
      <c r="D24" s="61">
        <v>-8336505</v>
      </c>
      <c r="E24" s="39">
        <v>-18129412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-8336505</v>
      </c>
      <c r="I24" s="39">
        <f>SUM(I19:I23)</f>
        <v>-18129412</v>
      </c>
      <c r="J24" s="61">
        <f t="shared" si="7"/>
        <v>0</v>
      </c>
      <c r="K24" s="39">
        <f t="shared" si="7"/>
        <v>0</v>
      </c>
      <c r="L24" s="61">
        <f t="shared" si="7"/>
        <v>-8336505</v>
      </c>
      <c r="M24" s="39">
        <f t="shared" si="7"/>
        <v>-18129412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14069</v>
      </c>
      <c r="E32" s="65">
        <v>31773</v>
      </c>
      <c r="F32" s="60">
        <f>H32-D32</f>
        <v>0</v>
      </c>
      <c r="G32" s="37">
        <f>I32-E32</f>
        <v>0</v>
      </c>
      <c r="H32" s="65">
        <f t="shared" ref="H32:I35" si="9">D32</f>
        <v>14069</v>
      </c>
      <c r="I32" s="66">
        <f t="shared" si="9"/>
        <v>31773</v>
      </c>
      <c r="J32" s="60"/>
      <c r="K32" s="38"/>
      <c r="L32" s="60">
        <f t="shared" ref="L32:M35" si="10">H32+J32</f>
        <v>14069</v>
      </c>
      <c r="M32" s="38">
        <f t="shared" si="10"/>
        <v>31773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14069</v>
      </c>
      <c r="E36" s="39">
        <v>31773</v>
      </c>
      <c r="F36" s="61">
        <f>SUM(F32:F35)</f>
        <v>0</v>
      </c>
      <c r="G36" s="39">
        <f>SUM(G32:G35)</f>
        <v>0</v>
      </c>
      <c r="H36" s="61">
        <f>SUM(H32:H35)</f>
        <v>14069</v>
      </c>
      <c r="I36" s="39">
        <f>SUM(I32:I35)</f>
        <v>31773</v>
      </c>
      <c r="J36" s="61">
        <f>SUM(J32:J34)</f>
        <v>0</v>
      </c>
      <c r="K36" s="39">
        <f>SUM(K32:K34)</f>
        <v>0</v>
      </c>
      <c r="L36" s="61">
        <f>SUM(L32:L35)</f>
        <v>14069</v>
      </c>
      <c r="M36" s="39">
        <f>SUM(M32:M35)</f>
        <v>31773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891</v>
      </c>
      <c r="E39" s="65">
        <v>2074</v>
      </c>
      <c r="F39" s="60">
        <f t="shared" ref="F39:G41" si="13">H39-D39</f>
        <v>0</v>
      </c>
      <c r="G39" s="37">
        <f t="shared" si="13"/>
        <v>0</v>
      </c>
      <c r="H39" s="65">
        <f t="shared" si="12"/>
        <v>891</v>
      </c>
      <c r="I39" s="66">
        <f t="shared" si="12"/>
        <v>2074</v>
      </c>
      <c r="J39" s="60"/>
      <c r="K39" s="38"/>
      <c r="L39" s="60">
        <f t="shared" ref="L39:M41" si="14">H39+J39</f>
        <v>891</v>
      </c>
      <c r="M39" s="38">
        <f t="shared" si="14"/>
        <v>2074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891</v>
      </c>
      <c r="E43" s="39">
        <v>2074</v>
      </c>
      <c r="F43" s="61">
        <f t="shared" ref="F43:M43" si="16">F42+F39</f>
        <v>0</v>
      </c>
      <c r="G43" s="39">
        <f t="shared" si="16"/>
        <v>0</v>
      </c>
      <c r="H43" s="61">
        <f>H42+H39</f>
        <v>891</v>
      </c>
      <c r="I43" s="39">
        <f>I42+I39</f>
        <v>2074</v>
      </c>
      <c r="J43" s="61">
        <f t="shared" si="16"/>
        <v>0</v>
      </c>
      <c r="K43" s="39">
        <f t="shared" si="16"/>
        <v>0</v>
      </c>
      <c r="L43" s="61">
        <f t="shared" si="16"/>
        <v>891</v>
      </c>
      <c r="M43" s="39">
        <f t="shared" si="16"/>
        <v>2074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-49315</v>
      </c>
      <c r="E49" s="65">
        <v>-106404.98028757867</v>
      </c>
      <c r="F49" s="60">
        <f>H49-D49</f>
        <v>0</v>
      </c>
      <c r="G49" s="37">
        <f>I49-E49</f>
        <v>0</v>
      </c>
      <c r="H49" s="65">
        <f>D49</f>
        <v>-49315</v>
      </c>
      <c r="I49" s="66">
        <f>E49</f>
        <v>-106404.98028757867</v>
      </c>
      <c r="J49" s="60"/>
      <c r="K49" s="38"/>
      <c r="L49" s="60">
        <f>H49+J49</f>
        <v>-49315</v>
      </c>
      <c r="M49" s="38">
        <f>I49+K49</f>
        <v>-106404.98028757867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-13590</v>
      </c>
      <c r="E51" s="65">
        <v>-28931</v>
      </c>
      <c r="F51" s="60">
        <f>H51-D51</f>
        <v>0</v>
      </c>
      <c r="G51" s="37">
        <f>I51-E51</f>
        <v>0</v>
      </c>
      <c r="H51" s="65">
        <f>D51</f>
        <v>-13590</v>
      </c>
      <c r="I51" s="66">
        <f>E51</f>
        <v>-28931</v>
      </c>
      <c r="J51" s="60"/>
      <c r="K51" s="38"/>
      <c r="L51" s="60">
        <f>H51+J51</f>
        <v>-13590</v>
      </c>
      <c r="M51" s="38">
        <f>I51+K51</f>
        <v>-28931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-114253.35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-114253.35</v>
      </c>
      <c r="J54" s="60"/>
      <c r="K54" s="38"/>
      <c r="L54" s="60">
        <f>H54+J54</f>
        <v>0</v>
      </c>
      <c r="M54" s="38">
        <f>I54+K54</f>
        <v>-114253.35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-355437.7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-355437.7</v>
      </c>
      <c r="J55" s="60"/>
      <c r="K55" s="38"/>
      <c r="L55" s="60">
        <f>H55+J55</f>
        <v>0</v>
      </c>
      <c r="M55" s="38">
        <f>I55+K55</f>
        <v>-355437.7</v>
      </c>
    </row>
    <row r="56" spans="1:15" x14ac:dyDescent="0.2">
      <c r="A56" s="9"/>
      <c r="B56" s="7" t="s">
        <v>57</v>
      </c>
      <c r="C56" s="6"/>
      <c r="D56" s="61">
        <v>0</v>
      </c>
      <c r="E56" s="39">
        <v>-469691.05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-469691.05000000005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-469691.05000000005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3.9999999804422259E-2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3.9999999804422259E-2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3.9999999804422259E-2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-223009.99028757954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-223009.9902875796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-223009.9902875796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215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-63196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-63196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-63196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-63196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-63196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-63196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-286205.99028757954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-286205.9902875796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-286205.9902875796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4964602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4964602</v>
      </c>
      <c r="J12" s="60"/>
      <c r="K12" s="38"/>
      <c r="L12" s="60">
        <f t="shared" si="0"/>
        <v>0</v>
      </c>
      <c r="M12" s="38">
        <f t="shared" si="0"/>
        <v>4964602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4964602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4964602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4964602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-4096579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-4096579</v>
      </c>
      <c r="J70" s="65"/>
      <c r="K70" s="38"/>
      <c r="L70" s="60">
        <f t="shared" si="20"/>
        <v>0</v>
      </c>
      <c r="M70" s="38">
        <f t="shared" si="20"/>
        <v>-4096579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-4096579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-4096579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-4096579</v>
      </c>
    </row>
    <row r="73" spans="1:13" x14ac:dyDescent="0.2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2331926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2331926</v>
      </c>
      <c r="J74" s="60"/>
      <c r="K74" s="38"/>
      <c r="L74" s="60">
        <f t="shared" si="23"/>
        <v>0</v>
      </c>
      <c r="M74" s="38">
        <f t="shared" si="23"/>
        <v>2331926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-9480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-9480</v>
      </c>
      <c r="J76" s="60"/>
      <c r="K76" s="38"/>
      <c r="L76" s="60">
        <f t="shared" si="23"/>
        <v>0</v>
      </c>
      <c r="M76" s="38">
        <f t="shared" si="23"/>
        <v>-9480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75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76</v>
      </c>
      <c r="D79" s="60"/>
      <c r="E79" s="38">
        <v>-503709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-503709</v>
      </c>
      <c r="J79" s="60"/>
      <c r="K79" s="38"/>
      <c r="L79" s="60">
        <f t="shared" si="23"/>
        <v>0</v>
      </c>
      <c r="M79" s="38">
        <f t="shared" si="23"/>
        <v>-503709</v>
      </c>
    </row>
    <row r="80" spans="1:13" x14ac:dyDescent="0.2">
      <c r="A80" s="9">
        <v>39</v>
      </c>
      <c r="B80" s="3"/>
      <c r="C80" s="10" t="s">
        <v>77</v>
      </c>
      <c r="D80" s="60"/>
      <c r="E80" s="38">
        <v>-455702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-455702</v>
      </c>
      <c r="J80" s="60"/>
      <c r="K80" s="38"/>
      <c r="L80" s="60">
        <f t="shared" si="23"/>
        <v>0</v>
      </c>
      <c r="M80" s="38">
        <f t="shared" si="23"/>
        <v>-455702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2718631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2718631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2718631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37751228</v>
      </c>
      <c r="E11" s="146">
        <v>91989334</v>
      </c>
      <c r="F11" s="60">
        <f>H11-D11</f>
        <v>0</v>
      </c>
      <c r="G11" s="37">
        <f>I11-E11</f>
        <v>0</v>
      </c>
      <c r="H11" s="65">
        <f>D11</f>
        <v>37751228</v>
      </c>
      <c r="I11" s="66">
        <f>E11</f>
        <v>91989334</v>
      </c>
      <c r="J11" s="60"/>
      <c r="K11" s="38"/>
      <c r="L11" s="60">
        <f t="shared" ref="L11:M15" si="0">H11+J11</f>
        <v>37751228</v>
      </c>
      <c r="M11" s="38">
        <f t="shared" si="0"/>
        <v>91989334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3709833</v>
      </c>
      <c r="E13" s="146">
        <v>9157794</v>
      </c>
      <c r="F13" s="60">
        <f t="shared" si="1"/>
        <v>0</v>
      </c>
      <c r="G13" s="37">
        <f t="shared" si="1"/>
        <v>0</v>
      </c>
      <c r="H13" s="65">
        <f t="shared" si="2"/>
        <v>3709833</v>
      </c>
      <c r="I13" s="66">
        <f t="shared" si="2"/>
        <v>9157794</v>
      </c>
      <c r="J13" s="60"/>
      <c r="K13" s="38"/>
      <c r="L13" s="60">
        <f t="shared" si="0"/>
        <v>3709833</v>
      </c>
      <c r="M13" s="38">
        <f t="shared" si="0"/>
        <v>9157794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41461061</v>
      </c>
      <c r="E16" s="166">
        <v>101147128</v>
      </c>
      <c r="F16" s="61">
        <f t="shared" ref="F16:M16" si="3">SUM(F11:F15)</f>
        <v>0</v>
      </c>
      <c r="G16" s="39">
        <f t="shared" si="3"/>
        <v>0</v>
      </c>
      <c r="H16" s="61">
        <f>SUM(H11:H15)</f>
        <v>41461061</v>
      </c>
      <c r="I16" s="39">
        <f>SUM(I11:I15)</f>
        <v>101147128</v>
      </c>
      <c r="J16" s="61">
        <f t="shared" si="3"/>
        <v>0</v>
      </c>
      <c r="K16" s="39">
        <f t="shared" si="3"/>
        <v>0</v>
      </c>
      <c r="L16" s="61">
        <f t="shared" si="3"/>
        <v>41461061</v>
      </c>
      <c r="M16" s="39">
        <f t="shared" si="3"/>
        <v>101147128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-41087127</v>
      </c>
      <c r="E19" s="146">
        <v>-100082949</v>
      </c>
      <c r="F19" s="60">
        <f>H19-D19</f>
        <v>0</v>
      </c>
      <c r="G19" s="37">
        <f>I19-E19</f>
        <v>0</v>
      </c>
      <c r="H19" s="65">
        <f t="shared" si="4"/>
        <v>-41087127</v>
      </c>
      <c r="I19" s="66">
        <f t="shared" si="4"/>
        <v>-100082949</v>
      </c>
      <c r="J19" s="60"/>
      <c r="K19" s="38"/>
      <c r="L19" s="60">
        <f t="shared" ref="L19:M23" si="5">H19+J19</f>
        <v>-41087127</v>
      </c>
      <c r="M19" s="38">
        <f t="shared" si="5"/>
        <v>-100082949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-414182</v>
      </c>
      <c r="E21" s="146">
        <v>-997711</v>
      </c>
      <c r="F21" s="60">
        <f t="shared" si="6"/>
        <v>0</v>
      </c>
      <c r="G21" s="37">
        <f t="shared" si="6"/>
        <v>0</v>
      </c>
      <c r="H21" s="65">
        <f t="shared" si="4"/>
        <v>-414182</v>
      </c>
      <c r="I21" s="66">
        <f t="shared" si="4"/>
        <v>-997711</v>
      </c>
      <c r="J21" s="60"/>
      <c r="K21" s="38"/>
      <c r="L21" s="60">
        <f t="shared" si="5"/>
        <v>-414182</v>
      </c>
      <c r="M21" s="38">
        <f t="shared" si="5"/>
        <v>-997711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-41501309</v>
      </c>
      <c r="E24" s="166">
        <v>-101080660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-41501309</v>
      </c>
      <c r="I24" s="39">
        <f>SUM(I19:I23)</f>
        <v>-101080660</v>
      </c>
      <c r="J24" s="61">
        <f t="shared" si="7"/>
        <v>0</v>
      </c>
      <c r="K24" s="39">
        <f t="shared" si="7"/>
        <v>0</v>
      </c>
      <c r="L24" s="61">
        <f t="shared" si="7"/>
        <v>-41501309</v>
      </c>
      <c r="M24" s="39">
        <f t="shared" si="7"/>
        <v>-101080660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40248</v>
      </c>
      <c r="E49" s="146">
        <v>108669.6</v>
      </c>
      <c r="F49" s="60">
        <f>H49-D49</f>
        <v>0</v>
      </c>
      <c r="G49" s="37">
        <f>I49-E49</f>
        <v>0</v>
      </c>
      <c r="H49" s="65">
        <f>D49</f>
        <v>40248</v>
      </c>
      <c r="I49" s="66">
        <f>E49</f>
        <v>108669.6</v>
      </c>
      <c r="J49" s="60"/>
      <c r="K49" s="38"/>
      <c r="L49" s="60">
        <f>H49+J49</f>
        <v>40248</v>
      </c>
      <c r="M49" s="38">
        <f>I49+K49</f>
        <v>108669.6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-50000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-50000</v>
      </c>
      <c r="J54" s="60"/>
      <c r="K54" s="38"/>
      <c r="L54" s="60">
        <f>H54+J54</f>
        <v>0</v>
      </c>
      <c r="M54" s="38">
        <f>I54+K54</f>
        <v>-50000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-50000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-50000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1508208.5228982903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1508208.5228982903</v>
      </c>
      <c r="J70" s="65"/>
      <c r="K70" s="38"/>
      <c r="L70" s="60">
        <f t="shared" si="20"/>
        <v>0</v>
      </c>
      <c r="M70" s="38">
        <f t="shared" si="20"/>
        <v>1508208.5228982903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-708912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-708912</v>
      </c>
      <c r="J71" s="65"/>
      <c r="K71" s="38"/>
      <c r="L71" s="60">
        <f t="shared" si="20"/>
        <v>0</v>
      </c>
      <c r="M71" s="38">
        <f t="shared" si="20"/>
        <v>-708912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799296.52289829031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799296.52289829031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799296.52289829031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-324192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-324192</v>
      </c>
      <c r="J74" s="60"/>
      <c r="K74" s="38"/>
      <c r="L74" s="60">
        <f t="shared" si="23"/>
        <v>0</v>
      </c>
      <c r="M74" s="38">
        <f t="shared" si="23"/>
        <v>-324192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-343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-343</v>
      </c>
      <c r="J76" s="60"/>
      <c r="K76" s="38"/>
      <c r="L76" s="60">
        <f t="shared" si="23"/>
        <v>0</v>
      </c>
      <c r="M76" s="38">
        <f t="shared" si="23"/>
        <v>-343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66067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66067</v>
      </c>
      <c r="J81" s="60"/>
      <c r="K81" s="38"/>
      <c r="L81" s="60">
        <f t="shared" si="23"/>
        <v>0</v>
      </c>
      <c r="M81" s="38">
        <f t="shared" si="23"/>
        <v>66067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665966.12289828656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665966.12289828656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665966.12289828656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-244880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-244880</v>
      </c>
      <c r="J86" s="148"/>
      <c r="K86" s="148"/>
      <c r="L86" s="148">
        <f t="shared" ref="L86:M88" si="27">H86+J86</f>
        <v>0</v>
      </c>
      <c r="M86" s="148">
        <f t="shared" si="27"/>
        <v>-244880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-244880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-244880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-244880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421086.12289828656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421086.12289828656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421086.12289828656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23281203</v>
      </c>
      <c r="E11" s="65">
        <v>40096055</v>
      </c>
      <c r="F11" s="60">
        <f>H11-D11</f>
        <v>0</v>
      </c>
      <c r="G11" s="37">
        <f>I11-E11</f>
        <v>0</v>
      </c>
      <c r="H11" s="65">
        <f>D11</f>
        <v>23281203</v>
      </c>
      <c r="I11" s="66">
        <f>E11</f>
        <v>40096055</v>
      </c>
      <c r="J11" s="60"/>
      <c r="K11" s="38"/>
      <c r="L11" s="60">
        <f t="shared" ref="L11:M15" si="0">H11+J11</f>
        <v>23281203</v>
      </c>
      <c r="M11" s="38">
        <f t="shared" si="0"/>
        <v>40096055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53673045</v>
      </c>
      <c r="E13" s="65">
        <v>204754459</v>
      </c>
      <c r="F13" s="60">
        <f t="shared" si="1"/>
        <v>0</v>
      </c>
      <c r="G13" s="37">
        <f t="shared" si="1"/>
        <v>0</v>
      </c>
      <c r="H13" s="65">
        <f t="shared" si="2"/>
        <v>53673045</v>
      </c>
      <c r="I13" s="66">
        <f t="shared" si="2"/>
        <v>204754459</v>
      </c>
      <c r="J13" s="60"/>
      <c r="K13" s="38"/>
      <c r="L13" s="60">
        <f t="shared" si="0"/>
        <v>53673045</v>
      </c>
      <c r="M13" s="38">
        <f t="shared" si="0"/>
        <v>204754459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10490859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10490859</v>
      </c>
      <c r="J15" s="60"/>
      <c r="K15" s="38"/>
      <c r="L15" s="60">
        <f t="shared" si="0"/>
        <v>0</v>
      </c>
      <c r="M15" s="38">
        <f t="shared" si="0"/>
        <v>10490859</v>
      </c>
    </row>
    <row r="16" spans="1:26" x14ac:dyDescent="0.2">
      <c r="A16" s="9"/>
      <c r="B16" s="7" t="s">
        <v>30</v>
      </c>
      <c r="C16" s="6"/>
      <c r="D16" s="61">
        <v>76954248</v>
      </c>
      <c r="E16" s="39">
        <v>255341373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76954248</v>
      </c>
      <c r="I16" s="39">
        <f>SUM(I11:I15)</f>
        <v>255341373</v>
      </c>
      <c r="J16" s="61">
        <f t="shared" si="3"/>
        <v>0</v>
      </c>
      <c r="K16" s="39">
        <f t="shared" si="3"/>
        <v>0</v>
      </c>
      <c r="L16" s="61">
        <f t="shared" si="3"/>
        <v>76954248</v>
      </c>
      <c r="M16" s="39">
        <f t="shared" si="3"/>
        <v>255341373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-7057755</v>
      </c>
      <c r="E19" s="65">
        <v>-15351473</v>
      </c>
      <c r="F19" s="60">
        <f>H19-D19</f>
        <v>0</v>
      </c>
      <c r="G19" s="37">
        <f>I19-E19</f>
        <v>0</v>
      </c>
      <c r="H19" s="65">
        <f t="shared" si="4"/>
        <v>-7057755</v>
      </c>
      <c r="I19" s="66">
        <f t="shared" si="4"/>
        <v>-15351473</v>
      </c>
      <c r="J19" s="60"/>
      <c r="K19" s="38"/>
      <c r="L19" s="60">
        <f t="shared" ref="L19:M23" si="5">H19+J19</f>
        <v>-7057755</v>
      </c>
      <c r="M19" s="38">
        <f t="shared" si="5"/>
        <v>-15351473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-56862831</v>
      </c>
      <c r="E21" s="65">
        <v>-209309089</v>
      </c>
      <c r="F21" s="60">
        <f t="shared" si="6"/>
        <v>0</v>
      </c>
      <c r="G21" s="37">
        <f t="shared" si="6"/>
        <v>0</v>
      </c>
      <c r="H21" s="65">
        <f t="shared" si="4"/>
        <v>-56862831</v>
      </c>
      <c r="I21" s="66">
        <f t="shared" si="4"/>
        <v>-209309089</v>
      </c>
      <c r="J21" s="60"/>
      <c r="K21" s="38"/>
      <c r="L21" s="60">
        <f t="shared" si="5"/>
        <v>-56862831</v>
      </c>
      <c r="M21" s="38">
        <f t="shared" si="5"/>
        <v>-209309089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841381</v>
      </c>
      <c r="E23" s="65">
        <v>2424814</v>
      </c>
      <c r="F23" s="60">
        <f t="shared" si="6"/>
        <v>0</v>
      </c>
      <c r="G23" s="37">
        <f t="shared" si="6"/>
        <v>0</v>
      </c>
      <c r="H23" s="65">
        <f t="shared" si="4"/>
        <v>841381</v>
      </c>
      <c r="I23" s="66">
        <f t="shared" si="4"/>
        <v>2424814</v>
      </c>
      <c r="J23" s="60"/>
      <c r="K23" s="38"/>
      <c r="L23" s="60">
        <f t="shared" si="5"/>
        <v>841381</v>
      </c>
      <c r="M23" s="38">
        <f t="shared" si="5"/>
        <v>2424814</v>
      </c>
    </row>
    <row r="24" spans="1:13" x14ac:dyDescent="0.2">
      <c r="A24" s="9"/>
      <c r="B24" s="7" t="s">
        <v>33</v>
      </c>
      <c r="C24" s="6"/>
      <c r="D24" s="61">
        <v>-63079205</v>
      </c>
      <c r="E24" s="39">
        <v>-222235748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-63079205</v>
      </c>
      <c r="I24" s="39">
        <f>SUM(I19:I23)</f>
        <v>-222235748</v>
      </c>
      <c r="J24" s="61">
        <f t="shared" si="7"/>
        <v>0</v>
      </c>
      <c r="K24" s="39">
        <f t="shared" si="7"/>
        <v>0</v>
      </c>
      <c r="L24" s="61">
        <f t="shared" si="7"/>
        <v>-63079205</v>
      </c>
      <c r="M24" s="39">
        <f t="shared" si="7"/>
        <v>-222235748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-4</v>
      </c>
      <c r="E32" s="65">
        <v>-10</v>
      </c>
      <c r="F32" s="60">
        <f>H32-D32</f>
        <v>0</v>
      </c>
      <c r="G32" s="37">
        <f>I32-E32</f>
        <v>0</v>
      </c>
      <c r="H32" s="65">
        <f t="shared" ref="H32:I35" si="9">D32</f>
        <v>-4</v>
      </c>
      <c r="I32" s="66">
        <f t="shared" si="9"/>
        <v>-10</v>
      </c>
      <c r="J32" s="60"/>
      <c r="K32" s="38"/>
      <c r="L32" s="60">
        <f t="shared" ref="L32:M35" si="10">H32+J32</f>
        <v>-4</v>
      </c>
      <c r="M32" s="38">
        <f t="shared" si="10"/>
        <v>-10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-55131</v>
      </c>
      <c r="E35" s="65">
        <v>-236790</v>
      </c>
      <c r="F35" s="60">
        <f t="shared" si="11"/>
        <v>0</v>
      </c>
      <c r="G35" s="37">
        <f t="shared" si="11"/>
        <v>0</v>
      </c>
      <c r="H35" s="65">
        <f t="shared" si="9"/>
        <v>-55131</v>
      </c>
      <c r="I35" s="66">
        <f t="shared" si="9"/>
        <v>-236790</v>
      </c>
      <c r="J35" s="60"/>
      <c r="K35" s="38"/>
      <c r="L35" s="60">
        <f t="shared" si="10"/>
        <v>-55131</v>
      </c>
      <c r="M35" s="38">
        <f t="shared" si="10"/>
        <v>-236790</v>
      </c>
    </row>
    <row r="36" spans="1:13" x14ac:dyDescent="0.2">
      <c r="A36" s="9"/>
      <c r="B36" s="7" t="s">
        <v>43</v>
      </c>
      <c r="C36" s="6"/>
      <c r="D36" s="61">
        <v>-55135</v>
      </c>
      <c r="E36" s="39">
        <v>-236800</v>
      </c>
      <c r="F36" s="61">
        <f>SUM(F32:F35)</f>
        <v>0</v>
      </c>
      <c r="G36" s="39">
        <f>SUM(G32:G35)</f>
        <v>0</v>
      </c>
      <c r="H36" s="61">
        <f>SUM(H32:H35)</f>
        <v>-55135</v>
      </c>
      <c r="I36" s="39">
        <f>SUM(I32:I35)</f>
        <v>-236800</v>
      </c>
      <c r="J36" s="61">
        <f>SUM(J32:J34)</f>
        <v>0</v>
      </c>
      <c r="K36" s="39">
        <f>SUM(K32:K34)</f>
        <v>0</v>
      </c>
      <c r="L36" s="61">
        <f>SUM(L32:L35)</f>
        <v>-55135</v>
      </c>
      <c r="M36" s="39">
        <f>SUM(M32:M35)</f>
        <v>-236800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310315</v>
      </c>
      <c r="E39" s="65">
        <v>1222163</v>
      </c>
      <c r="F39" s="60">
        <f t="shared" ref="F39:G41" si="13">H39-D39</f>
        <v>0</v>
      </c>
      <c r="G39" s="37">
        <f t="shared" si="13"/>
        <v>0</v>
      </c>
      <c r="H39" s="65">
        <f t="shared" si="12"/>
        <v>310315</v>
      </c>
      <c r="I39" s="66">
        <f t="shared" si="12"/>
        <v>1222163</v>
      </c>
      <c r="J39" s="60"/>
      <c r="K39" s="38"/>
      <c r="L39" s="60">
        <f t="shared" ref="L39:M41" si="14">H39+J39</f>
        <v>310315</v>
      </c>
      <c r="M39" s="38">
        <f t="shared" si="14"/>
        <v>1222163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-15906963</v>
      </c>
      <c r="E40" s="65">
        <v>-18576342</v>
      </c>
      <c r="F40" s="60">
        <f t="shared" si="13"/>
        <v>0</v>
      </c>
      <c r="G40" s="37">
        <f t="shared" si="13"/>
        <v>0</v>
      </c>
      <c r="H40" s="65">
        <f t="shared" si="12"/>
        <v>-15906963</v>
      </c>
      <c r="I40" s="66">
        <f t="shared" si="12"/>
        <v>-18576342</v>
      </c>
      <c r="J40" s="65"/>
      <c r="K40" s="38"/>
      <c r="L40" s="60">
        <f t="shared" si="14"/>
        <v>-15906963</v>
      </c>
      <c r="M40" s="38">
        <f t="shared" si="14"/>
        <v>-18576342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-15906963</v>
      </c>
      <c r="E42" s="39">
        <v>-18576342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-15906963</v>
      </c>
      <c r="I42" s="39">
        <f>SUM(I40:I41)</f>
        <v>-18576342</v>
      </c>
      <c r="J42" s="69">
        <f t="shared" si="15"/>
        <v>0</v>
      </c>
      <c r="K42" s="39">
        <f t="shared" si="15"/>
        <v>0</v>
      </c>
      <c r="L42" s="69">
        <f t="shared" si="15"/>
        <v>-15906963</v>
      </c>
      <c r="M42" s="39">
        <f t="shared" si="15"/>
        <v>-18576342</v>
      </c>
    </row>
    <row r="43" spans="1:13" ht="21" customHeight="1" x14ac:dyDescent="0.2">
      <c r="A43" s="9"/>
      <c r="B43" s="7" t="s">
        <v>49</v>
      </c>
      <c r="C43" s="6"/>
      <c r="D43" s="61">
        <v>-15596648</v>
      </c>
      <c r="E43" s="39">
        <v>-17354179</v>
      </c>
      <c r="F43" s="61">
        <f t="shared" ref="F43:M43" si="16">F42+F39</f>
        <v>0</v>
      </c>
      <c r="G43" s="39">
        <f t="shared" si="16"/>
        <v>0</v>
      </c>
      <c r="H43" s="61">
        <f>H42+H39</f>
        <v>-15596648</v>
      </c>
      <c r="I43" s="39">
        <f>I42+I39</f>
        <v>-17354179</v>
      </c>
      <c r="J43" s="61">
        <f t="shared" si="16"/>
        <v>0</v>
      </c>
      <c r="K43" s="39">
        <f t="shared" si="16"/>
        <v>0</v>
      </c>
      <c r="L43" s="61">
        <f t="shared" si="16"/>
        <v>-15596648</v>
      </c>
      <c r="M43" s="39">
        <f t="shared" si="16"/>
        <v>-17354179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1776740</v>
      </c>
      <c r="E49" s="65">
        <v>4392101.28</v>
      </c>
      <c r="F49" s="60">
        <f>H49-D49</f>
        <v>0</v>
      </c>
      <c r="G49" s="37">
        <f>I49-E49</f>
        <v>0</v>
      </c>
      <c r="H49" s="65">
        <f>D49</f>
        <v>1776740</v>
      </c>
      <c r="I49" s="66">
        <f>E49</f>
        <v>4392101.28</v>
      </c>
      <c r="J49" s="60"/>
      <c r="K49" s="38"/>
      <c r="L49" s="60">
        <f>H49+J49</f>
        <v>1776740</v>
      </c>
      <c r="M49" s="38">
        <f>I49+K49</f>
        <v>4392101.28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-841381</v>
      </c>
      <c r="E51" s="65">
        <v>-2424814</v>
      </c>
      <c r="F51" s="60">
        <f>H51-D51</f>
        <v>0</v>
      </c>
      <c r="G51" s="37">
        <f>I51-E51</f>
        <v>0</v>
      </c>
      <c r="H51" s="65">
        <f>D51</f>
        <v>-841381</v>
      </c>
      <c r="I51" s="66">
        <f>E51</f>
        <v>-2424814</v>
      </c>
      <c r="J51" s="60"/>
      <c r="K51" s="38"/>
      <c r="L51" s="60">
        <f>H51+J51</f>
        <v>-841381</v>
      </c>
      <c r="M51" s="38">
        <f>I51+K51</f>
        <v>-2424814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-772877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-772877</v>
      </c>
      <c r="J54" s="60"/>
      <c r="K54" s="38"/>
      <c r="L54" s="60">
        <f>H54+J54</f>
        <v>0</v>
      </c>
      <c r="M54" s="38">
        <f>I54+K54</f>
        <v>-772877</v>
      </c>
    </row>
    <row r="55" spans="1:15" x14ac:dyDescent="0.2">
      <c r="A55" s="9">
        <v>25</v>
      </c>
      <c r="B55" s="7"/>
      <c r="C55" s="18" t="s">
        <v>56</v>
      </c>
      <c r="D55" s="65">
        <v>16</v>
      </c>
      <c r="E55" s="65">
        <v>-10490859</v>
      </c>
      <c r="F55" s="60">
        <f>H55-D55</f>
        <v>0</v>
      </c>
      <c r="G55" s="37">
        <f>I55-E55</f>
        <v>0</v>
      </c>
      <c r="H55" s="65">
        <f>D55</f>
        <v>16</v>
      </c>
      <c r="I55" s="66">
        <f>E55</f>
        <v>-10490859</v>
      </c>
      <c r="J55" s="60"/>
      <c r="K55" s="38"/>
      <c r="L55" s="60">
        <f>H55+J55</f>
        <v>16</v>
      </c>
      <c r="M55" s="38">
        <f>I55+K55</f>
        <v>-10490859</v>
      </c>
    </row>
    <row r="56" spans="1:15" x14ac:dyDescent="0.2">
      <c r="A56" s="9"/>
      <c r="B56" s="7" t="s">
        <v>57</v>
      </c>
      <c r="C56" s="6"/>
      <c r="D56" s="61">
        <v>16</v>
      </c>
      <c r="E56" s="39">
        <v>-11263736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16</v>
      </c>
      <c r="I56" s="39">
        <f>SUM(I54:I55)</f>
        <v>-11263736</v>
      </c>
      <c r="J56" s="61">
        <f t="shared" si="17"/>
        <v>0</v>
      </c>
      <c r="K56" s="39">
        <f t="shared" si="17"/>
        <v>0</v>
      </c>
      <c r="L56" s="61">
        <f t="shared" si="17"/>
        <v>16</v>
      </c>
      <c r="M56" s="39">
        <f t="shared" si="17"/>
        <v>-11263736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5937115.1586007997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5937115.1586007997</v>
      </c>
      <c r="J70" s="65"/>
      <c r="K70" s="38"/>
      <c r="L70" s="60">
        <f t="shared" si="20"/>
        <v>0</v>
      </c>
      <c r="M70" s="38">
        <f t="shared" si="20"/>
        <v>5937115.1586007997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-6350125.9190000035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-6350125.9190000035</v>
      </c>
      <c r="J71" s="65"/>
      <c r="K71" s="38"/>
      <c r="L71" s="60">
        <f t="shared" si="20"/>
        <v>0</v>
      </c>
      <c r="M71" s="38">
        <f t="shared" si="20"/>
        <v>-6350125.9190000035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-413010.76039920375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-413010.76039920375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-413010.76039920375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-2403584.4093999993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-2403584.4093999993</v>
      </c>
      <c r="J74" s="60"/>
      <c r="K74" s="38"/>
      <c r="L74" s="60">
        <f t="shared" si="23"/>
        <v>0</v>
      </c>
      <c r="M74" s="38">
        <f t="shared" si="23"/>
        <v>-2403584.4093999993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72668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72668</v>
      </c>
      <c r="J81" s="60"/>
      <c r="K81" s="38"/>
      <c r="L81" s="60">
        <f t="shared" si="23"/>
        <v>0</v>
      </c>
      <c r="M81" s="38">
        <f t="shared" si="23"/>
        <v>72668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3474270.1102007926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3474270.1102007926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3474270.1102007926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J10" activePane="bottomRight" state="frozen"/>
      <selection activeCell="D10" sqref="D10"/>
      <selection pane="topRight" activeCell="D10" sqref="D10"/>
      <selection pane="bottomLeft" activeCell="D10" sqref="D10"/>
      <selection pane="bottomRight" activeCell="O12" sqref="O1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86279798</v>
      </c>
      <c r="E11" s="38">
        <f>SUM(G11,I11,K11,M11,O11,Q11,S11,U11,W11,Y11,AA11,AC11,AE11)</f>
        <v>201066632.95000002</v>
      </c>
      <c r="F11" s="60">
        <f>'TIE-OUT'!F11+RECLASS!F11</f>
        <v>0</v>
      </c>
      <c r="G11" s="38">
        <f>'TIE-OUT'!G11+RECLASS!G11</f>
        <v>0</v>
      </c>
      <c r="H11" s="118">
        <f>+Actuals!E164</f>
        <v>86078748</v>
      </c>
      <c r="I11" s="119">
        <f>+Actuals!F164</f>
        <v>202360835.04000002</v>
      </c>
      <c r="J11" s="118">
        <f>+Actuals!G164</f>
        <v>673291</v>
      </c>
      <c r="K11" s="119">
        <f>+Actuals!H164</f>
        <v>-233132.46</v>
      </c>
      <c r="L11" s="118">
        <f>+Actuals!I164</f>
        <v>-472241</v>
      </c>
      <c r="M11" s="119">
        <f>+Actuals!J164</f>
        <v>-1045546.73</v>
      </c>
      <c r="N11" s="118">
        <f>+Actuals!K164</f>
        <v>0</v>
      </c>
      <c r="O11" s="119">
        <f>+Actuals!L164</f>
        <v>-15522.9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5424924.2400000002</v>
      </c>
      <c r="F12" s="60">
        <f>'TIE-OUT'!F12+RECLASS!F12</f>
        <v>0</v>
      </c>
      <c r="G12" s="38">
        <f>'TIE-OUT'!G12+RECLASS!G12</f>
        <v>3950820.88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f>+Actuals!H165+33089</f>
        <v>33089</v>
      </c>
      <c r="L12" s="118">
        <f>+Actuals!I165</f>
        <v>0</v>
      </c>
      <c r="M12" s="215">
        <f>+Actuals!J165+41014.36</f>
        <v>41014.36</v>
      </c>
      <c r="N12" s="118">
        <f>+Actuals!K165</f>
        <v>0</v>
      </c>
      <c r="O12" s="215">
        <v>1400000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19727875</v>
      </c>
      <c r="E13" s="38">
        <f t="shared" si="0"/>
        <v>46844900</v>
      </c>
      <c r="F13" s="60">
        <f>'TIE-OUT'!F13+RECLASS!F13</f>
        <v>0</v>
      </c>
      <c r="G13" s="38">
        <f>'TIE-OUT'!G13+RECLASS!G13</f>
        <v>0</v>
      </c>
      <c r="H13" s="118">
        <f>+Actuals!E166</f>
        <v>41011971</v>
      </c>
      <c r="I13" s="119">
        <f>+Actuals!F166</f>
        <v>97311530</v>
      </c>
      <c r="J13" s="118">
        <f>+Actuals!G166</f>
        <v>-21241576</v>
      </c>
      <c r="K13" s="119">
        <f>+Actuals!H166</f>
        <v>-50373718</v>
      </c>
      <c r="L13" s="118">
        <f>+Actuals!I166</f>
        <v>-39502</v>
      </c>
      <c r="M13" s="119">
        <f>+Actuals!J166</f>
        <v>-86115</v>
      </c>
      <c r="N13" s="118">
        <f>+Actuals!K166</f>
        <v>-3018</v>
      </c>
      <c r="O13" s="119">
        <f>+Actuals!L166</f>
        <v>-6797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2952125.18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3301469.18</v>
      </c>
      <c r="J15" s="118">
        <f>+Actuals!G168</f>
        <v>0</v>
      </c>
      <c r="K15" s="119">
        <f>+Actuals!H168</f>
        <v>-351055</v>
      </c>
      <c r="L15" s="118">
        <f>+Actuals!I168</f>
        <v>0</v>
      </c>
      <c r="M15" s="119">
        <f>+Actuals!J168</f>
        <v>1711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106007673</v>
      </c>
      <c r="E16" s="39">
        <f t="shared" si="1"/>
        <v>256288582.37000003</v>
      </c>
      <c r="F16" s="61">
        <f t="shared" si="1"/>
        <v>0</v>
      </c>
      <c r="G16" s="39">
        <f t="shared" si="1"/>
        <v>3950820.88</v>
      </c>
      <c r="H16" s="61">
        <f t="shared" si="1"/>
        <v>127090719</v>
      </c>
      <c r="I16" s="39">
        <f t="shared" si="1"/>
        <v>302973834.22000003</v>
      </c>
      <c r="J16" s="61">
        <f t="shared" ref="J16:AO16" si="2">SUM(J11:J15)</f>
        <v>-20568285</v>
      </c>
      <c r="K16" s="39">
        <f t="shared" si="2"/>
        <v>-50924816.460000001</v>
      </c>
      <c r="L16" s="61">
        <f t="shared" si="2"/>
        <v>-511743</v>
      </c>
      <c r="M16" s="39">
        <f t="shared" si="2"/>
        <v>-1088936.3700000001</v>
      </c>
      <c r="N16" s="61">
        <f>SUM(N11:N15)</f>
        <v>-3018</v>
      </c>
      <c r="O16" s="39">
        <f>SUM(O11:O15)</f>
        <v>1377680.1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-96232149</v>
      </c>
      <c r="E19" s="38">
        <f t="shared" si="3"/>
        <v>-227994485.46999997</v>
      </c>
      <c r="F19" s="64">
        <f>'TIE-OUT'!F19+RECLASS!F19</f>
        <v>0</v>
      </c>
      <c r="G19" s="68">
        <f>'TIE-OUT'!G19+RECLASS!G19</f>
        <v>0</v>
      </c>
      <c r="H19" s="118">
        <f>+Actuals!E169</f>
        <v>-95111952</v>
      </c>
      <c r="I19" s="119">
        <f>+Actuals!F169</f>
        <v>-225959083.73999998</v>
      </c>
      <c r="J19" s="118">
        <f>+Actuals!G169</f>
        <v>-7081861</v>
      </c>
      <c r="K19" s="119">
        <f>+Actuals!H169</f>
        <v>-15854578.98</v>
      </c>
      <c r="L19" s="118">
        <f>+Actuals!I169</f>
        <v>7139069</v>
      </c>
      <c r="M19" s="119">
        <f>+Actuals!J169</f>
        <v>16453478.619999999</v>
      </c>
      <c r="N19" s="118">
        <f>+Actuals!K169</f>
        <v>-1177405</v>
      </c>
      <c r="O19" s="119">
        <f>+Actuals!L169</f>
        <v>-2634301.37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-36885.989999999991</v>
      </c>
      <c r="F20" s="60">
        <f>'TIE-OUT'!F20+RECLASS!F20</f>
        <v>0</v>
      </c>
      <c r="G20" s="38">
        <f>'TIE-OUT'!G20+RECLASS!G20</f>
        <v>985339.05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215">
        <f>+Actuals!J170-1069500+64015-16740.04</f>
        <v>-1022225.04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-11470390</v>
      </c>
      <c r="E21" s="38">
        <f t="shared" si="3"/>
        <v>-27188862</v>
      </c>
      <c r="F21" s="60">
        <f>'TIE-OUT'!F21+RECLASS!F21</f>
        <v>0</v>
      </c>
      <c r="G21" s="38">
        <f>'TIE-OUT'!G21+RECLASS!G21</f>
        <v>0</v>
      </c>
      <c r="H21" s="118">
        <f>+Actuals!E171</f>
        <v>-32019356</v>
      </c>
      <c r="I21" s="119">
        <f>+Actuals!F171</f>
        <v>-76398505</v>
      </c>
      <c r="J21" s="118">
        <f>+Actuals!G171</f>
        <v>20524645</v>
      </c>
      <c r="K21" s="119">
        <f>+Actuals!H171</f>
        <v>49151111</v>
      </c>
      <c r="L21" s="118">
        <f>+Actuals!I171</f>
        <v>20324</v>
      </c>
      <c r="M21" s="119">
        <f>+Actuals!J171</f>
        <v>49834</v>
      </c>
      <c r="N21" s="118">
        <f>+Actuals!K171</f>
        <v>3997</v>
      </c>
      <c r="O21" s="119">
        <f>+Actuals!L171</f>
        <v>8698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811540</v>
      </c>
      <c r="E23" s="38">
        <f t="shared" si="3"/>
        <v>1884395.8800000001</v>
      </c>
      <c r="F23" s="81">
        <f>'TIE-OUT'!F23+RECLASS!F23</f>
        <v>0</v>
      </c>
      <c r="G23" s="82">
        <f>'TIE-OUT'!G23+RECLASS!G23</f>
        <v>0</v>
      </c>
      <c r="H23" s="118">
        <f>+Actuals!E173</f>
        <v>808041</v>
      </c>
      <c r="I23" s="119">
        <f>+Actuals!F173</f>
        <v>1876271.202</v>
      </c>
      <c r="J23" s="118">
        <f>+Actuals!G173</f>
        <v>3138</v>
      </c>
      <c r="K23" s="119">
        <f>+Actuals!H173</f>
        <v>7286.4359999999997</v>
      </c>
      <c r="L23" s="118">
        <f>+Actuals!I173</f>
        <v>361</v>
      </c>
      <c r="M23" s="119">
        <f>+Actuals!J173</f>
        <v>838.24199999999996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-106890999</v>
      </c>
      <c r="E24" s="39">
        <f t="shared" si="4"/>
        <v>-253335837.57999998</v>
      </c>
      <c r="F24" s="61">
        <f t="shared" si="4"/>
        <v>0</v>
      </c>
      <c r="G24" s="39">
        <f t="shared" si="4"/>
        <v>985339.05</v>
      </c>
      <c r="H24" s="61">
        <f t="shared" si="4"/>
        <v>-126323267</v>
      </c>
      <c r="I24" s="39">
        <f t="shared" si="4"/>
        <v>-300481317.53799999</v>
      </c>
      <c r="J24" s="61">
        <f t="shared" ref="J24:AO24" si="5">SUM(J19:J23)</f>
        <v>13445922</v>
      </c>
      <c r="K24" s="39">
        <f t="shared" si="5"/>
        <v>33303818.456</v>
      </c>
      <c r="L24" s="61">
        <f t="shared" si="5"/>
        <v>7159754</v>
      </c>
      <c r="M24" s="39">
        <f t="shared" si="5"/>
        <v>15481925.821999999</v>
      </c>
      <c r="N24" s="61">
        <f>SUM(N19:N23)</f>
        <v>-1173408</v>
      </c>
      <c r="O24" s="39">
        <f>SUM(O19:O23)</f>
        <v>-2625603.37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156898</v>
      </c>
      <c r="E27" s="38">
        <f>SUM(G27,I27,K27,M27,O27,Q27,S27,U27,W27,Y27,AA27,AC27,AE27)</f>
        <v>360096.24</v>
      </c>
      <c r="F27" s="64">
        <f>'TIE-OUT'!F27+RECLASS!F27</f>
        <v>0</v>
      </c>
      <c r="G27" s="68">
        <f>'TIE-OUT'!G27+RECLASS!G27</f>
        <v>0</v>
      </c>
      <c r="H27" s="118">
        <f>+Actuals!E174</f>
        <v>156898</v>
      </c>
      <c r="I27" s="119">
        <f>+Actuals!F174</f>
        <v>360096.24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-108664</v>
      </c>
      <c r="E28" s="38">
        <f>SUM(G28,I28,K28,M28,O28,Q28,S28,U28,W28,Y28,AA28,AC28,AE28)</f>
        <v>-275999.67</v>
      </c>
      <c r="F28" s="81">
        <f>'TIE-OUT'!F28+RECLASS!F28</f>
        <v>0</v>
      </c>
      <c r="G28" s="82">
        <f>'TIE-OUT'!G28+RECLASS!G28</f>
        <v>0</v>
      </c>
      <c r="H28" s="118">
        <f>+Actuals!E175</f>
        <v>-108664</v>
      </c>
      <c r="I28" s="119">
        <f>+Actuals!F175</f>
        <v>-275999.67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48234</v>
      </c>
      <c r="E29" s="39">
        <f t="shared" si="6"/>
        <v>84096.57</v>
      </c>
      <c r="F29" s="61">
        <f t="shared" si="6"/>
        <v>0</v>
      </c>
      <c r="G29" s="39">
        <f t="shared" si="6"/>
        <v>0</v>
      </c>
      <c r="H29" s="61">
        <f t="shared" si="6"/>
        <v>48234</v>
      </c>
      <c r="I29" s="39">
        <f t="shared" si="6"/>
        <v>84096.57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-243898</v>
      </c>
      <c r="E32" s="38">
        <f t="shared" si="8"/>
        <v>-566331.15599999961</v>
      </c>
      <c r="F32" s="64">
        <f>'TIE-OUT'!F32+RECLASS!F32</f>
        <v>0</v>
      </c>
      <c r="G32" s="68">
        <f>'TIE-OUT'!G32+RECLASS!G32</f>
        <v>0</v>
      </c>
      <c r="H32" s="118">
        <f>+Actuals!E176</f>
        <v>2513996</v>
      </c>
      <c r="I32" s="119">
        <f>+Actuals!F176</f>
        <v>5837498.7120000003</v>
      </c>
      <c r="J32" s="118">
        <f>+Actuals!G176</f>
        <v>-2793778</v>
      </c>
      <c r="K32" s="119">
        <f>+Actuals!H176</f>
        <v>-6487152.5159999998</v>
      </c>
      <c r="L32" s="118">
        <f>+Actuals!I176</f>
        <v>-19251</v>
      </c>
      <c r="M32" s="119">
        <f>+Actuals!J176</f>
        <v>-44700.822</v>
      </c>
      <c r="N32" s="118">
        <f>+Actuals!K176</f>
        <v>55135</v>
      </c>
      <c r="O32" s="119">
        <f>+Actuals!L176</f>
        <v>128023.47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-83544</v>
      </c>
      <c r="E33" s="38">
        <f t="shared" si="8"/>
        <v>-202085.82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-69488</v>
      </c>
      <c r="K33" s="119">
        <f>+Actuals!H177</f>
        <v>-167230.47</v>
      </c>
      <c r="L33" s="118">
        <f>+Actuals!I177</f>
        <v>-13756</v>
      </c>
      <c r="M33" s="119">
        <f>+Actuals!J177</f>
        <v>-34162.620000000003</v>
      </c>
      <c r="N33" s="118">
        <f>+Actuals!K177</f>
        <v>-300</v>
      </c>
      <c r="O33" s="119">
        <f>+Actuals!L177</f>
        <v>-692.73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60535</v>
      </c>
      <c r="E34" s="38">
        <f t="shared" si="8"/>
        <v>135006.99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29637</v>
      </c>
      <c r="K34" s="119">
        <f>+Actuals!H178</f>
        <v>73280.08</v>
      </c>
      <c r="L34" s="118">
        <f>+Actuals!I178</f>
        <v>30898</v>
      </c>
      <c r="M34" s="119">
        <f>+Actuals!J178</f>
        <v>61726.91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-266907</v>
      </c>
      <c r="E36" s="39">
        <f t="shared" si="9"/>
        <v>-633409.98599999957</v>
      </c>
      <c r="F36" s="61">
        <f t="shared" si="9"/>
        <v>0</v>
      </c>
      <c r="G36" s="39">
        <f t="shared" si="9"/>
        <v>0</v>
      </c>
      <c r="H36" s="61">
        <f t="shared" si="9"/>
        <v>2513996</v>
      </c>
      <c r="I36" s="39">
        <f t="shared" si="9"/>
        <v>5837498.7120000003</v>
      </c>
      <c r="J36" s="61">
        <f t="shared" ref="J36:AO36" si="10">SUM(J32:J35)</f>
        <v>-2833629</v>
      </c>
      <c r="K36" s="39">
        <f t="shared" si="10"/>
        <v>-6581102.9059999995</v>
      </c>
      <c r="L36" s="61">
        <f t="shared" si="10"/>
        <v>-2109</v>
      </c>
      <c r="M36" s="39">
        <f t="shared" si="10"/>
        <v>-17136.532000000007</v>
      </c>
      <c r="N36" s="61">
        <f>SUM(N32:N35)</f>
        <v>54835</v>
      </c>
      <c r="O36" s="39">
        <f>SUM(O32:O35)</f>
        <v>127330.74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521888</v>
      </c>
      <c r="E39" s="38">
        <f t="shared" si="11"/>
        <v>1211823.93</v>
      </c>
      <c r="F39" s="64">
        <f>'TIE-OUT'!F39+RECLASS!F39</f>
        <v>0</v>
      </c>
      <c r="G39" s="68">
        <f>'TIE-OUT'!G39+RECLASS!G39</f>
        <v>0</v>
      </c>
      <c r="H39" s="118">
        <f>+Actuals!E180</f>
        <v>4906</v>
      </c>
      <c r="I39" s="119">
        <f>+Actuals!F180</f>
        <v>11391.73</v>
      </c>
      <c r="J39" s="118">
        <f>+Actuals!G180</f>
        <v>516982</v>
      </c>
      <c r="K39" s="119">
        <f>+Actuals!H180</f>
        <v>1200432.2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-645126</v>
      </c>
      <c r="E40" s="38">
        <f t="shared" si="11"/>
        <v>-1401722.22</v>
      </c>
      <c r="F40" s="60">
        <f>'TIE-OUT'!F40+RECLASS!F40</f>
        <v>0</v>
      </c>
      <c r="G40" s="38">
        <f>'TIE-OUT'!G40+RECLASS!G40</f>
        <v>0</v>
      </c>
      <c r="H40" s="118">
        <f>+Actuals!E181</f>
        <v>-461755</v>
      </c>
      <c r="I40" s="119">
        <f>+Actuals!F181</f>
        <v>-942186.99</v>
      </c>
      <c r="J40" s="118">
        <f>+Actuals!G181</f>
        <v>-181659</v>
      </c>
      <c r="K40" s="119">
        <f>+Actuals!H181</f>
        <v>-455933.31</v>
      </c>
      <c r="L40" s="118">
        <f>+Actuals!I181</f>
        <v>-1712</v>
      </c>
      <c r="M40" s="119">
        <f>+Actuals!J181</f>
        <v>-3601.92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-645126</v>
      </c>
      <c r="E42" s="39">
        <f t="shared" si="12"/>
        <v>-1401722.22</v>
      </c>
      <c r="F42" s="61">
        <f t="shared" si="12"/>
        <v>0</v>
      </c>
      <c r="G42" s="39">
        <f t="shared" si="12"/>
        <v>0</v>
      </c>
      <c r="H42" s="61">
        <f t="shared" si="12"/>
        <v>-461755</v>
      </c>
      <c r="I42" s="39">
        <f t="shared" si="12"/>
        <v>-942186.99</v>
      </c>
      <c r="J42" s="61">
        <f t="shared" ref="J42:AO42" si="13">SUM(J40:J41)</f>
        <v>-181659</v>
      </c>
      <c r="K42" s="39">
        <f t="shared" si="13"/>
        <v>-455933.31</v>
      </c>
      <c r="L42" s="61">
        <f t="shared" si="13"/>
        <v>-1712</v>
      </c>
      <c r="M42" s="39">
        <f t="shared" si="13"/>
        <v>-3601.92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-123238</v>
      </c>
      <c r="E43" s="39">
        <f t="shared" si="14"/>
        <v>-189898.29000000004</v>
      </c>
      <c r="F43" s="61">
        <f t="shared" si="14"/>
        <v>0</v>
      </c>
      <c r="G43" s="39">
        <f t="shared" si="14"/>
        <v>0</v>
      </c>
      <c r="H43" s="61">
        <f t="shared" si="14"/>
        <v>-456849</v>
      </c>
      <c r="I43" s="39">
        <f t="shared" si="14"/>
        <v>-930795.26</v>
      </c>
      <c r="J43" s="61">
        <f t="shared" ref="J43:AO43" si="15">J42+J39</f>
        <v>335323</v>
      </c>
      <c r="K43" s="39">
        <f t="shared" si="15"/>
        <v>744498.8899999999</v>
      </c>
      <c r="L43" s="61">
        <f t="shared" si="15"/>
        <v>-1712</v>
      </c>
      <c r="M43" s="39">
        <f t="shared" si="15"/>
        <v>-3601.92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1225237</v>
      </c>
      <c r="E49" s="38">
        <f>SUM(G49,I49,K49,M49,O49,Q49,S49,U49,W49,Y49,AA49,AC49,AE49)</f>
        <v>2845000.3139999984</v>
      </c>
      <c r="F49" s="60">
        <f>'TIE-OUT'!F49+RECLASS!F49</f>
        <v>0</v>
      </c>
      <c r="G49" s="38">
        <f>'TIE-OUT'!G49+RECLASS!G49</f>
        <v>0</v>
      </c>
      <c r="H49" s="118">
        <f>+Actuals!E185</f>
        <v>-2872833</v>
      </c>
      <c r="I49" s="119">
        <f>+Actuals!F185</f>
        <v>-6670718.2259999998</v>
      </c>
      <c r="J49" s="118">
        <f>+Actuals!G185</f>
        <v>9620669</v>
      </c>
      <c r="K49" s="119">
        <f>+Actuals!H185</f>
        <v>22339193.417999998</v>
      </c>
      <c r="L49" s="118">
        <f>+Actuals!I185</f>
        <v>-6644190</v>
      </c>
      <c r="M49" s="119">
        <f>+Actuals!J185</f>
        <v>-15427809.18</v>
      </c>
      <c r="N49" s="118">
        <f>+Actuals!K185</f>
        <v>1121591</v>
      </c>
      <c r="O49" s="119">
        <f>+Actuals!L185</f>
        <v>2604334.3020000001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-811540</v>
      </c>
      <c r="E51" s="38">
        <f>SUM(G51,I51,K51,M51,O51,Q51,S51,U51,W51,Y51,AA51,AC51,AE51)</f>
        <v>-1884395.8800000001</v>
      </c>
      <c r="F51" s="60">
        <f>'TIE-OUT'!F51+RECLASS!F51</f>
        <v>0</v>
      </c>
      <c r="G51" s="38">
        <f>'TIE-OUT'!G51+RECLASS!G51</f>
        <v>0</v>
      </c>
      <c r="H51" s="118">
        <f>+Actuals!E186</f>
        <v>-808041</v>
      </c>
      <c r="I51" s="119">
        <f>+Actuals!F186</f>
        <v>-1876271.202</v>
      </c>
      <c r="J51" s="118">
        <f>+Actuals!G186</f>
        <v>-3138</v>
      </c>
      <c r="K51" s="119">
        <f>+Actuals!H186</f>
        <v>-7286.4359999999997</v>
      </c>
      <c r="L51" s="118">
        <f>+Actuals!I186</f>
        <v>-361</v>
      </c>
      <c r="M51" s="119">
        <f>+Actuals!J186</f>
        <v>-838.24199999999996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-62477450</v>
      </c>
      <c r="E54" s="38">
        <f>SUM(G54,I54,K54,M54,O54,Q54,S54,U54,W54,Y54,AA54,AC54,AE54)</f>
        <v>-538391.08000000007</v>
      </c>
      <c r="F54" s="64">
        <f>'TIE-OUT'!F54+RECLASS!F54</f>
        <v>0</v>
      </c>
      <c r="G54" s="68">
        <f>'TIE-OUT'!G54+RECLASS!G54</f>
        <v>0</v>
      </c>
      <c r="H54" s="118">
        <f>+Actuals!E187</f>
        <v>-61042926</v>
      </c>
      <c r="I54" s="119">
        <f>+Actuals!F187</f>
        <v>68650.179999999993</v>
      </c>
      <c r="J54" s="118">
        <f>+Actuals!G187</f>
        <v>1001693</v>
      </c>
      <c r="K54" s="119">
        <f>+Actuals!H187</f>
        <v>-393789</v>
      </c>
      <c r="L54" s="118">
        <f>+Actuals!I187</f>
        <v>-12780</v>
      </c>
      <c r="M54" s="119">
        <f>+Actuals!J187</f>
        <v>-229969.01</v>
      </c>
      <c r="N54" s="118">
        <f>+Actuals!K187</f>
        <v>-2423437</v>
      </c>
      <c r="O54" s="119">
        <f>+Actuals!L187</f>
        <v>16716.75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-2144478.8000000003</v>
      </c>
      <c r="F55" s="81">
        <f>'TIE-OUT'!F55+RECLASS!F55</f>
        <v>0</v>
      </c>
      <c r="G55" s="82">
        <f>'TIE-OUT'!G55+RECLASS!G55</f>
        <v>97061</v>
      </c>
      <c r="H55" s="118">
        <f>+Actuals!E188</f>
        <v>0</v>
      </c>
      <c r="I55" s="119">
        <f>+Actuals!F188</f>
        <v>-2620911.2200000002</v>
      </c>
      <c r="J55" s="118">
        <f>+Actuals!G188</f>
        <v>0</v>
      </c>
      <c r="K55" s="119">
        <f>+Actuals!H188</f>
        <v>-91043.31</v>
      </c>
      <c r="L55" s="118">
        <f>+Actuals!I188</f>
        <v>0</v>
      </c>
      <c r="M55" s="119">
        <f>+Actuals!J188</f>
        <v>-76293</v>
      </c>
      <c r="N55" s="118">
        <f>+Actuals!K188</f>
        <v>0</v>
      </c>
      <c r="O55" s="119">
        <f>+Actuals!L188</f>
        <v>546707.73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-62477450</v>
      </c>
      <c r="E56" s="39">
        <f t="shared" si="16"/>
        <v>-2682869.8800000004</v>
      </c>
      <c r="F56" s="61">
        <f t="shared" si="16"/>
        <v>0</v>
      </c>
      <c r="G56" s="39">
        <f t="shared" si="16"/>
        <v>97061</v>
      </c>
      <c r="H56" s="61">
        <f t="shared" si="16"/>
        <v>-61042926</v>
      </c>
      <c r="I56" s="39">
        <f t="shared" si="16"/>
        <v>-2552261.04</v>
      </c>
      <c r="J56" s="61">
        <f t="shared" ref="J56:AO56" si="17">SUM(J54:J55)</f>
        <v>1001693</v>
      </c>
      <c r="K56" s="39">
        <f t="shared" si="17"/>
        <v>-484832.31</v>
      </c>
      <c r="L56" s="61">
        <f t="shared" si="17"/>
        <v>-12780</v>
      </c>
      <c r="M56" s="39">
        <f t="shared" si="17"/>
        <v>-306262.01</v>
      </c>
      <c r="N56" s="61">
        <f>SUM(N54:N55)</f>
        <v>-2423437</v>
      </c>
      <c r="O56" s="39">
        <f>SUM(O54:O55)</f>
        <v>563424.48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7591856.8799999999</v>
      </c>
      <c r="F70" s="64">
        <f>'TIE-OUT'!F70+RECLASS!F70</f>
        <v>0</v>
      </c>
      <c r="G70" s="68">
        <f>'TIE-OUT'!G70+RECLASS!G70</f>
        <v>7591856.8799999999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-1768212</v>
      </c>
      <c r="F71" s="81">
        <f>'TIE-OUT'!F71+RECLASS!F71</f>
        <v>0</v>
      </c>
      <c r="G71" s="82">
        <f>'TIE-OUT'!G71+RECLASS!G71</f>
        <v>-1768212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5823644.8799999999</v>
      </c>
      <c r="F72" s="61">
        <f t="shared" si="22"/>
        <v>0</v>
      </c>
      <c r="G72" s="39">
        <f t="shared" si="22"/>
        <v>5823644.8799999999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934514.08999999985</v>
      </c>
      <c r="F74" s="60">
        <f>'TIE-OUT'!F74+RECLASS!F74</f>
        <v>0</v>
      </c>
      <c r="G74" s="60">
        <f>'TIE-OUT'!G74+RECLASS!G74</f>
        <v>-2085653.23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215">
        <f>+Actuals!J196+3058087+2088.76</f>
        <v>3060175.76</v>
      </c>
      <c r="N74" s="118">
        <f>+Actuals!K196</f>
        <v>0</v>
      </c>
      <c r="O74" s="119">
        <f>+Actuals!L196+-38303.9+26195.46-27900</f>
        <v>-40008.44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51500</v>
      </c>
      <c r="F75" s="60">
        <f>'TIE-OUT'!F75+RECLASS!F75</f>
        <v>0</v>
      </c>
      <c r="G75" s="60">
        <f>'TIE-OUT'!G75+RECLASS!G75</f>
        <v>51500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-12463.66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-13639.36</v>
      </c>
      <c r="J76" s="118">
        <f>+Actuals!G198</f>
        <v>0</v>
      </c>
      <c r="K76" s="119">
        <f>+Actuals!H198</f>
        <v>1175.7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7288462.9480000511</v>
      </c>
      <c r="F82" s="91">
        <f>F16+F24+F29+F36+F43+F45+F47+F49</f>
        <v>0</v>
      </c>
      <c r="G82" s="92">
        <f>SUM(G72:G81)+G16+G24+G29+G36+G43+G45+G47+G49+G51+G56+G61+G66</f>
        <v>8822712.5800000001</v>
      </c>
      <c r="H82" s="91">
        <f>H16+H24+H29+H36+H43+H45+H47+H49</f>
        <v>0</v>
      </c>
      <c r="I82" s="137">
        <f>SUM(I72:I81)+I16+I24+I29+I36+I43+I45+I47+I49+I51+I56+I61+I66</f>
        <v>-3629573.1239999733</v>
      </c>
      <c r="J82" s="91">
        <f>J16+J24+J29+J36+J43+J45+J47+J49</f>
        <v>0</v>
      </c>
      <c r="K82" s="137">
        <f>SUM(K72:K81)+K16+K24+K29+K36+K43+K45+K47+K49+K51+K56+K61+K66</f>
        <v>-1609351.6479999989</v>
      </c>
      <c r="L82" s="91">
        <f>L16+L24+L29+L36+L43+L45+L47+L49</f>
        <v>0</v>
      </c>
      <c r="M82" s="92">
        <f>SUM(M72:M81)+M16+M24+M29+M36+M43+M45+M47+M49+M51+M56+M61+M66</f>
        <v>1697517.3279999944</v>
      </c>
      <c r="N82" s="91">
        <f>N16+N24+N29+N36+N43+N45+N47+N49</f>
        <v>0</v>
      </c>
      <c r="O82" s="92">
        <f>SUM(O72:O81)+O16+O24+O29+O36+O43+O45+O47+O49+O51+O56+O61+O66</f>
        <v>2007157.8120000002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I46" activePane="bottomRight" state="frozen"/>
      <selection activeCell="N31" sqref="N31"/>
      <selection pane="topRight" activeCell="N31" sqref="N31"/>
      <selection pane="bottomLeft" activeCell="N31" sqref="N31"/>
      <selection pane="bottomRight" activeCell="AR59" sqref="AR5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7555752</v>
      </c>
      <c r="E11" s="38">
        <f>SUM(G11,I11,K11,M11,O11,Q11,S11,U11,W11,Y11,AA11,AC11,AE11)</f>
        <v>18913657.91</v>
      </c>
      <c r="F11" s="60">
        <f>'TIE-OUT'!AD11+RECLASS!AD11</f>
        <v>0</v>
      </c>
      <c r="G11" s="38">
        <f>'TIE-OUT'!AE11+RECLASS!AE11</f>
        <v>0</v>
      </c>
      <c r="H11" s="118">
        <f>+Actuals!E404</f>
        <v>4966961</v>
      </c>
      <c r="I11" s="118">
        <f>+Actuals!F404</f>
        <v>15842036.24</v>
      </c>
      <c r="J11" s="118">
        <f>+Actuals!G404</f>
        <v>2588791</v>
      </c>
      <c r="K11" s="118">
        <f>+Actuals!H404</f>
        <v>3065537.33</v>
      </c>
      <c r="L11" s="118">
        <f>+Actuals!I404</f>
        <v>0</v>
      </c>
      <c r="M11" s="118">
        <f>+Actuals!J404</f>
        <v>6084.34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-694586.38</v>
      </c>
      <c r="F12" s="60">
        <f>'TIE-OUT'!AD12+RECLASS!AD12</f>
        <v>0</v>
      </c>
      <c r="G12" s="38">
        <f>'TIE-OUT'!AE12+RECLASS!AE12</f>
        <v>-694586.38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97419</v>
      </c>
      <c r="E13" s="38">
        <f t="shared" si="0"/>
        <v>275844</v>
      </c>
      <c r="F13" s="60">
        <f>'TIE-OUT'!AD13+RECLASS!AD13</f>
        <v>0</v>
      </c>
      <c r="G13" s="38">
        <f>'TIE-OUT'!AE13+RECLASS!AE13</f>
        <v>0</v>
      </c>
      <c r="H13" s="118">
        <f>+Actuals!E406</f>
        <v>3922553</v>
      </c>
      <c r="I13" s="118">
        <f>+Actuals!F406</f>
        <v>9491043</v>
      </c>
      <c r="J13" s="118">
        <f>+Actuals!G406</f>
        <v>-3825134</v>
      </c>
      <c r="K13" s="118">
        <f>+Actuals!H406</f>
        <v>-9215199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7653171</v>
      </c>
      <c r="E16" s="39">
        <f t="shared" si="1"/>
        <v>18494915.530000001</v>
      </c>
      <c r="F16" s="61">
        <f t="shared" si="1"/>
        <v>0</v>
      </c>
      <c r="G16" s="39">
        <f t="shared" si="1"/>
        <v>-694586.38</v>
      </c>
      <c r="H16" s="61">
        <f t="shared" si="1"/>
        <v>8889514</v>
      </c>
      <c r="I16" s="61">
        <f t="shared" si="1"/>
        <v>25333079.240000002</v>
      </c>
      <c r="J16" s="61">
        <f t="shared" si="1"/>
        <v>-1236343</v>
      </c>
      <c r="K16" s="61">
        <f t="shared" si="1"/>
        <v>-6149661.6699999999</v>
      </c>
      <c r="L16" s="61">
        <f t="shared" si="1"/>
        <v>0</v>
      </c>
      <c r="M16" s="61">
        <f t="shared" si="1"/>
        <v>6084.34</v>
      </c>
      <c r="N16" s="61">
        <f>SUM(N11:N15)</f>
        <v>0</v>
      </c>
      <c r="O16" s="61">
        <f>SUM(O11:O15)</f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-1123774</v>
      </c>
      <c r="E19" s="38">
        <f t="shared" si="2"/>
        <v>-3106881.2600000002</v>
      </c>
      <c r="F19" s="64">
        <f>'TIE-OUT'!AD19+RECLASS!AD19</f>
        <v>0</v>
      </c>
      <c r="G19" s="68">
        <f>'TIE-OUT'!AE19+RECLASS!AE19</f>
        <v>0</v>
      </c>
      <c r="H19" s="118">
        <f>+Actuals!E409</f>
        <v>-1123774</v>
      </c>
      <c r="I19" s="118">
        <f>+Actuals!F409</f>
        <v>-3054405.16</v>
      </c>
      <c r="J19" s="118">
        <f>+Actuals!G409</f>
        <v>0</v>
      </c>
      <c r="K19" s="118">
        <f>+Actuals!H409</f>
        <v>-52476.1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-6889.5</v>
      </c>
      <c r="F20" s="60">
        <f>'TIE-OUT'!AD20+RECLASS!AD20</f>
        <v>0</v>
      </c>
      <c r="G20" s="38">
        <f>'TIE-OUT'!AE20+RECLASS!AE20</f>
        <v>-6889.5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-3635325</v>
      </c>
      <c r="E21" s="38">
        <f t="shared" si="2"/>
        <v>-8726513</v>
      </c>
      <c r="F21" s="60">
        <f>'TIE-OUT'!AD21+RECLASS!AD21</f>
        <v>0</v>
      </c>
      <c r="G21" s="38">
        <f>'TIE-OUT'!AE21+RECLASS!AE21</f>
        <v>0</v>
      </c>
      <c r="H21" s="118">
        <f>+Actuals!E411</f>
        <v>-10332504</v>
      </c>
      <c r="I21" s="118">
        <f>+Actuals!F411</f>
        <v>-24454050</v>
      </c>
      <c r="J21" s="118">
        <f>+Actuals!G411</f>
        <v>6697179</v>
      </c>
      <c r="K21" s="118">
        <f>+Actuals!H411</f>
        <v>15727537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-4759099</v>
      </c>
      <c r="E24" s="39">
        <f t="shared" si="3"/>
        <v>-11840283.76</v>
      </c>
      <c r="F24" s="61">
        <f t="shared" si="3"/>
        <v>0</v>
      </c>
      <c r="G24" s="39">
        <f t="shared" si="3"/>
        <v>-6889.5</v>
      </c>
      <c r="H24" s="61">
        <f t="shared" si="3"/>
        <v>-11456278</v>
      </c>
      <c r="I24" s="61">
        <f t="shared" si="3"/>
        <v>-27508455.16</v>
      </c>
      <c r="J24" s="61">
        <f t="shared" si="3"/>
        <v>6697179</v>
      </c>
      <c r="K24" s="61">
        <f t="shared" si="3"/>
        <v>15675060.9</v>
      </c>
      <c r="L24" s="61">
        <f t="shared" si="3"/>
        <v>0</v>
      </c>
      <c r="M24" s="61">
        <f t="shared" si="3"/>
        <v>0</v>
      </c>
      <c r="N24" s="61">
        <f>SUM(N19:N23)</f>
        <v>0</v>
      </c>
      <c r="O24" s="61">
        <f>SUM(O19:O23)</f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-2894072</v>
      </c>
      <c r="E49" s="38">
        <f>SUM(G49,I49,K49,M49,O49,Q49,S49,U49,W49,Y49,AA49,AC49,AE49)</f>
        <v>-6618742.6639999999</v>
      </c>
      <c r="F49" s="60">
        <f>'TIE-OUT'!AD49+RECLASS!AD49</f>
        <v>0</v>
      </c>
      <c r="G49" s="38">
        <f>'TIE-OUT'!AE49+RECLASS!AE49</f>
        <v>0</v>
      </c>
      <c r="H49" s="118">
        <f>+Actuals!E425</f>
        <v>2566764</v>
      </c>
      <c r="I49" s="118">
        <f>+Actuals!F425</f>
        <v>5870189.2680000002</v>
      </c>
      <c r="J49" s="118">
        <f>+Actuals!G425</f>
        <v>-5460836</v>
      </c>
      <c r="K49" s="118">
        <f>+Actuals!H425</f>
        <v>-12488931.932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-400747</v>
      </c>
      <c r="F70" s="64">
        <f>'TIE-OUT'!AD70+RECLASS!AD70</f>
        <v>0</v>
      </c>
      <c r="G70" s="68">
        <f>'TIE-OUT'!AE70+RECLASS!AE70</f>
        <v>-400747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'TIE-OUT'!AD71+RECLASS!AD71</f>
        <v>0</v>
      </c>
      <c r="G71" s="82">
        <f>'TIE-OUT'!AE71+RECLASS!AE71</f>
        <v>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-400747</v>
      </c>
      <c r="F72" s="61">
        <f t="shared" si="13"/>
        <v>0</v>
      </c>
      <c r="G72" s="39">
        <f t="shared" si="13"/>
        <v>-400747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451953.34</v>
      </c>
      <c r="F74" s="60">
        <f>'TIE-OUT'!AD74+RECLASS!AD74</f>
        <v>0</v>
      </c>
      <c r="G74" s="60">
        <f>'TIE-OUT'!AE74+RECLASS!AE74</f>
        <v>451953.34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153274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216">
        <f>+Actuals!J443+153274</f>
        <v>153274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240369.44600000139</v>
      </c>
      <c r="F82" s="91">
        <f>F16+F24+F29+F36+F43+F45+F47+F49</f>
        <v>0</v>
      </c>
      <c r="G82" s="92">
        <f>SUM(G72:G81)+G16+G24+G29+G36+G43+G45+G47+G49+G51+G56+G61+G66</f>
        <v>-650269.54</v>
      </c>
      <c r="H82" s="91">
        <f>H16+H24+H29+H36+H43+H45+H47+H49</f>
        <v>0</v>
      </c>
      <c r="I82" s="91">
        <f>I16+I24+I29+I36+I43+I45+I47+I49</f>
        <v>3694813.3480000021</v>
      </c>
      <c r="J82" s="91">
        <f>J16+J24+J29+J36+J43+J45+J47+J49</f>
        <v>0</v>
      </c>
      <c r="K82" s="137">
        <f>K16+K24+K29+K36+K43+K45+K47+K49</f>
        <v>-2963532.7019999996</v>
      </c>
      <c r="L82" s="91">
        <f>L16+L24+L29+L36+L43+L45+L47+L49</f>
        <v>0</v>
      </c>
      <c r="M82" s="92">
        <f>SUM(M72:M81)+M16+M24+M29+M36+M43+M45+M47+M49+M51+M56+M61+M66</f>
        <v>159358.34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selection activeCell="N31" sqref="N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16539748</v>
      </c>
      <c r="E11" s="38">
        <f>SUM(G11,I11,K11,M11,O11,Q11,S11,U11,W11,Y11,AA11,AC11,AE11)</f>
        <v>39841775.309999995</v>
      </c>
      <c r="F11" s="60">
        <f>'TIE-OUT'!H11+RECLASS!AB11</f>
        <v>0</v>
      </c>
      <c r="G11" s="38">
        <f>'TIE-OUT'!I11+RECLASS!AC11</f>
        <v>0</v>
      </c>
      <c r="H11" s="118">
        <f>+Actuals!E324</f>
        <v>16545855</v>
      </c>
      <c r="I11" s="119">
        <f>+Actuals!F324</f>
        <v>39857789</v>
      </c>
      <c r="J11" s="118">
        <f>+Actuals!G324</f>
        <v>-6107</v>
      </c>
      <c r="K11" s="119">
        <f>+Actuals!H324</f>
        <v>-14536.34</v>
      </c>
      <c r="L11" s="118">
        <f>+Actuals!I324</f>
        <v>0</v>
      </c>
      <c r="M11" s="119">
        <f>+Actuals!J324</f>
        <v>-1477.35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497314.76</v>
      </c>
      <c r="F12" s="60">
        <f>'TIE-OUT'!H12+RECLASS!AB12</f>
        <v>0</v>
      </c>
      <c r="G12" s="38">
        <f>'TIE-OUT'!I12+RECLASS!AC12</f>
        <v>497314.76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9052758</v>
      </c>
      <c r="E13" s="38">
        <f t="shared" si="0"/>
        <v>21609190</v>
      </c>
      <c r="F13" s="60">
        <f>'TIE-OUT'!H13+RECLASS!AB13</f>
        <v>0</v>
      </c>
      <c r="G13" s="38">
        <f>'TIE-OUT'!I13+RECLASS!AC13</f>
        <v>0</v>
      </c>
      <c r="H13" s="118">
        <f>+Actuals!E326</f>
        <v>25646524</v>
      </c>
      <c r="I13" s="119">
        <f>+Actuals!F326</f>
        <v>62333419</v>
      </c>
      <c r="J13" s="118">
        <f>+Actuals!G326</f>
        <v>-16593766</v>
      </c>
      <c r="K13" s="119">
        <f>+Actuals!H326</f>
        <v>-40724229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3058363.5</v>
      </c>
      <c r="F15" s="81">
        <f>'TIE-OUT'!H15+RECLASS!AB15</f>
        <v>0</v>
      </c>
      <c r="G15" s="82">
        <f>'TIE-OUT'!I15+RECLASS!AC15</f>
        <v>0</v>
      </c>
      <c r="H15" s="118">
        <f>+Actuals!E328</f>
        <v>0</v>
      </c>
      <c r="I15" s="119">
        <f>+Actuals!F328</f>
        <v>2781866.5</v>
      </c>
      <c r="J15" s="118">
        <f>+Actuals!G328</f>
        <v>0</v>
      </c>
      <c r="K15" s="119">
        <f>+Actuals!H328</f>
        <v>276497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25592506</v>
      </c>
      <c r="E16" s="39">
        <f t="shared" si="1"/>
        <v>65006643.569999993</v>
      </c>
      <c r="F16" s="61">
        <f t="shared" si="1"/>
        <v>0</v>
      </c>
      <c r="G16" s="39">
        <f t="shared" si="1"/>
        <v>497314.76</v>
      </c>
      <c r="H16" s="61">
        <f t="shared" si="1"/>
        <v>42192379</v>
      </c>
      <c r="I16" s="39">
        <f t="shared" si="1"/>
        <v>104973074.5</v>
      </c>
      <c r="J16" s="61">
        <f t="shared" ref="J16:AO16" si="2">SUM(J11:J15)</f>
        <v>-16599873</v>
      </c>
      <c r="K16" s="39">
        <f t="shared" si="2"/>
        <v>-40462268.340000004</v>
      </c>
      <c r="L16" s="61">
        <f t="shared" si="2"/>
        <v>0</v>
      </c>
      <c r="M16" s="39">
        <f t="shared" si="2"/>
        <v>-1477.35</v>
      </c>
      <c r="N16" s="61">
        <f>SUM(N11:N15)</f>
        <v>0</v>
      </c>
      <c r="O16" s="39">
        <f>SUM(O11:O15)</f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-11681017</v>
      </c>
      <c r="E19" s="38">
        <f t="shared" si="3"/>
        <v>-27284908.069999997</v>
      </c>
      <c r="F19" s="64">
        <f>'TIE-OUT'!H19+RECLASS!AB19</f>
        <v>0</v>
      </c>
      <c r="G19" s="68">
        <f>'TIE-OUT'!I19+RECLASS!AC19</f>
        <v>0</v>
      </c>
      <c r="H19" s="118">
        <f>+Actuals!E329</f>
        <v>-11681391</v>
      </c>
      <c r="I19" s="119">
        <f>+Actuals!F329</f>
        <v>-27284907.579999998</v>
      </c>
      <c r="J19" s="118">
        <f>+Actuals!G329</f>
        <v>388</v>
      </c>
      <c r="K19" s="119">
        <f>+Actuals!H329</f>
        <v>-0.49</v>
      </c>
      <c r="L19" s="118">
        <f>+Actuals!I329</f>
        <v>-13</v>
      </c>
      <c r="M19" s="119">
        <f>+Actuals!J329</f>
        <v>2.35</v>
      </c>
      <c r="N19" s="118">
        <f>+Actuals!K329</f>
        <v>-1</v>
      </c>
      <c r="O19" s="119">
        <f>+Actuals!L329</f>
        <v>-2.35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-336602.09</v>
      </c>
      <c r="F20" s="60">
        <f>'TIE-OUT'!H20+RECLASS!AB20</f>
        <v>0</v>
      </c>
      <c r="G20" s="38">
        <f>'TIE-OUT'!I20+RECLASS!AC20</f>
        <v>-336602.09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119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-14244885</v>
      </c>
      <c r="E21" s="38">
        <f t="shared" si="3"/>
        <v>-33815447</v>
      </c>
      <c r="F21" s="60">
        <f>'TIE-OUT'!H21+RECLASS!AB21</f>
        <v>0</v>
      </c>
      <c r="G21" s="38">
        <f>'TIE-OUT'!I21+RECLASS!AC21</f>
        <v>0</v>
      </c>
      <c r="H21" s="118">
        <f>+Actuals!E331</f>
        <v>-30848646</v>
      </c>
      <c r="I21" s="119">
        <f>+Actuals!F331</f>
        <v>-74567387</v>
      </c>
      <c r="J21" s="118">
        <f>+Actuals!G331</f>
        <v>16603761</v>
      </c>
      <c r="K21" s="119">
        <f>+Actuals!H331</f>
        <v>40751940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'TIE-OUT'!H23+RECLASS!AB23</f>
        <v>0</v>
      </c>
      <c r="G23" s="82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-25925902</v>
      </c>
      <c r="E24" s="39">
        <f t="shared" si="4"/>
        <v>-61436957.159999996</v>
      </c>
      <c r="F24" s="61">
        <f t="shared" si="4"/>
        <v>0</v>
      </c>
      <c r="G24" s="39">
        <f t="shared" si="4"/>
        <v>-336602.09</v>
      </c>
      <c r="H24" s="61">
        <f t="shared" si="4"/>
        <v>-42530037</v>
      </c>
      <c r="I24" s="39">
        <f t="shared" si="4"/>
        <v>-101852294.58</v>
      </c>
      <c r="J24" s="61">
        <f t="shared" ref="J24:AO24" si="5">SUM(J19:J23)</f>
        <v>16604149</v>
      </c>
      <c r="K24" s="39">
        <f t="shared" si="5"/>
        <v>40751939.509999998</v>
      </c>
      <c r="L24" s="61">
        <f t="shared" si="5"/>
        <v>-13</v>
      </c>
      <c r="M24" s="39">
        <f t="shared" si="5"/>
        <v>2.35</v>
      </c>
      <c r="N24" s="61">
        <f>SUM(N19:N23)</f>
        <v>-1</v>
      </c>
      <c r="O24" s="39">
        <f>SUM(O19:O23)</f>
        <v>-2.35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'TIE-OUT'!H27+RECLASS!AB27</f>
        <v>0</v>
      </c>
      <c r="G27" s="6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'TIE-OUT'!H28+RECLASS!AB28</f>
        <v>0</v>
      </c>
      <c r="G28" s="82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'TIE-OUT'!H32+RECLASS!AB32</f>
        <v>0</v>
      </c>
      <c r="G32" s="6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'TIE-OUT'!H35+RECLASS!AB35</f>
        <v>0</v>
      </c>
      <c r="G35" s="82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'TIE-OUT'!H39+RECLASS!AB39</f>
        <v>0</v>
      </c>
      <c r="G39" s="6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'TIE-OUT'!H41+RECLASS!AB41</f>
        <v>0</v>
      </c>
      <c r="G41" s="82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'TIE-OUT'!H45+RECLASS!AB45</f>
        <v>0</v>
      </c>
      <c r="G45" s="6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333396</v>
      </c>
      <c r="E49" s="38">
        <f>SUM(G49,I49,K49,M49,O49,Q49,S49,U49,W49,Y49,AA49,AC49,AE49)</f>
        <v>789481.728</v>
      </c>
      <c r="F49" s="60">
        <f>'TIE-OUT'!H49+RECLASS!AB49</f>
        <v>0</v>
      </c>
      <c r="G49" s="38">
        <f>'TIE-OUT'!I49+RECLASS!AC49</f>
        <v>0</v>
      </c>
      <c r="H49" s="118">
        <f>+Actuals!E345</f>
        <v>337658</v>
      </c>
      <c r="I49" s="119">
        <f>+Actuals!F345</f>
        <v>799574.14399999997</v>
      </c>
      <c r="J49" s="118">
        <f>+Actuals!G345</f>
        <v>-4276</v>
      </c>
      <c r="K49" s="119">
        <f>+Actuals!H345</f>
        <v>-10125.56799999997</v>
      </c>
      <c r="L49" s="118">
        <f>+Actuals!I345</f>
        <v>13</v>
      </c>
      <c r="M49" s="119">
        <f>+Actuals!J345</f>
        <v>30.783999999999999</v>
      </c>
      <c r="N49" s="118">
        <f>+Actuals!K345</f>
        <v>1</v>
      </c>
      <c r="O49" s="119">
        <f>+Actuals!L345</f>
        <v>2.3679999999999999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-7936514</v>
      </c>
      <c r="E54" s="38">
        <f>SUM(G54,I54,K54,M54,O54,Q54,S54,U54,W54,Y54,AA54,AC54,AE54)</f>
        <v>-142054.03</v>
      </c>
      <c r="F54" s="64">
        <f>'TIE-OUT'!H54+RECLASS!AB54</f>
        <v>0</v>
      </c>
      <c r="G54" s="68">
        <f>'TIE-OUT'!I54+RECLASS!AC54</f>
        <v>0</v>
      </c>
      <c r="H54" s="118">
        <f>+Actuals!E347</f>
        <v>-7943431</v>
      </c>
      <c r="I54" s="119">
        <f>+Actuals!F347</f>
        <v>-142074.26999999999</v>
      </c>
      <c r="J54" s="118">
        <f>+Actuals!G347</f>
        <v>6888</v>
      </c>
      <c r="K54" s="119">
        <f>+Actuals!H347</f>
        <v>20.239999999999998</v>
      </c>
      <c r="L54" s="118">
        <f>+Actuals!I347</f>
        <v>29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-3576629.01</v>
      </c>
      <c r="F55" s="81">
        <f>'TIE-OUT'!H55+RECLASS!AB55</f>
        <v>0</v>
      </c>
      <c r="G55" s="82">
        <f>'TIE-OUT'!I55+RECLASS!AC55</f>
        <v>0</v>
      </c>
      <c r="H55" s="118">
        <f>+Actuals!E348</f>
        <v>0</v>
      </c>
      <c r="I55" s="119">
        <f>+Actuals!F348</f>
        <v>-771631.76</v>
      </c>
      <c r="J55" s="118">
        <f>+Actuals!G348</f>
        <v>0</v>
      </c>
      <c r="K55" s="119">
        <f>+Actuals!H348</f>
        <v>-2257950.34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-547046.91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-7936514</v>
      </c>
      <c r="E56" s="39">
        <f t="shared" si="16"/>
        <v>-3718683.0399999996</v>
      </c>
      <c r="F56" s="61">
        <f t="shared" si="16"/>
        <v>0</v>
      </c>
      <c r="G56" s="39">
        <f t="shared" si="16"/>
        <v>0</v>
      </c>
      <c r="H56" s="61">
        <f t="shared" si="16"/>
        <v>-7943431</v>
      </c>
      <c r="I56" s="39">
        <f t="shared" si="16"/>
        <v>-913706.03</v>
      </c>
      <c r="J56" s="61">
        <f t="shared" ref="J56:AO56" si="17">SUM(J54:J55)</f>
        <v>6888</v>
      </c>
      <c r="K56" s="39">
        <f t="shared" si="17"/>
        <v>-2257930.0999999996</v>
      </c>
      <c r="L56" s="61">
        <f t="shared" si="17"/>
        <v>29</v>
      </c>
      <c r="M56" s="39">
        <f t="shared" si="17"/>
        <v>0</v>
      </c>
      <c r="N56" s="61">
        <f>SUM(N54:N55)</f>
        <v>0</v>
      </c>
      <c r="O56" s="39">
        <f>SUM(O54:O55)</f>
        <v>-547046.91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'TIE-OUT'!H59+RECLASS!AB59</f>
        <v>0</v>
      </c>
      <c r="G59" s="6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'TIE-OUT'!H60+RECLASS!AB60</f>
        <v>0</v>
      </c>
      <c r="G60" s="82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'TIE-OUT'!H64+RECLASS!AB64</f>
        <v>0</v>
      </c>
      <c r="G64" s="6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'TIE-OUT'!H65+RECLASS!AB65</f>
        <v>0</v>
      </c>
      <c r="G65" s="82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12261468.49</v>
      </c>
      <c r="F70" s="64">
        <f>'TIE-OUT'!H70+RECLASS!AB70</f>
        <v>0</v>
      </c>
      <c r="G70" s="68">
        <f>'TIE-OUT'!I70+RECLASS!AC70</f>
        <v>12261468.49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-14085867</v>
      </c>
      <c r="F71" s="81">
        <f>'TIE-OUT'!H71+RECLASS!AB71</f>
        <v>0</v>
      </c>
      <c r="G71" s="82">
        <f>'TIE-OUT'!I71+RECLASS!AC71</f>
        <v>-14085867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-1824398.5099999998</v>
      </c>
      <c r="F72" s="61">
        <f t="shared" si="22"/>
        <v>0</v>
      </c>
      <c r="G72" s="39">
        <f t="shared" si="22"/>
        <v>-1824398.5099999998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60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683322.53</v>
      </c>
      <c r="F74" s="60">
        <f>'TIE-OUT'!H74+RECLASS!AB74</f>
        <v>0</v>
      </c>
      <c r="G74" s="60">
        <f>'TIE-OUT'!I74+RECLASS!AC74</f>
        <v>683322.53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60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60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60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60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60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60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60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-500590.88199999975</v>
      </c>
      <c r="F82" s="91">
        <f>F16+F24+F29+F36+F43+F45+F47+F49</f>
        <v>0</v>
      </c>
      <c r="G82" s="92">
        <f>SUM(G72:G81)+G16+G24+G29+G36+G43+G45+G47+G49+G51+G56+G61+G66</f>
        <v>-980363.30999999982</v>
      </c>
      <c r="H82" s="91">
        <f>H16+H24+H29+H36+H43+H45+H47+H49</f>
        <v>0</v>
      </c>
      <c r="I82" s="137">
        <f>SUM(I72:I81)+I16+I24+I29+I36+I43+I45+I47+I49+I51+I56+I61+I66</f>
        <v>3006648.0340000018</v>
      </c>
      <c r="J82" s="91">
        <f>J16+J24+J29+J36+J43+J45+J47+J49</f>
        <v>0</v>
      </c>
      <c r="K82" s="137">
        <f>SUM(K72:K81)+K16+K24+K29+K36+K43+K45+K47+K49+K51+K56+K61+K66</f>
        <v>-1978384.4980000053</v>
      </c>
      <c r="L82" s="91">
        <f>L16+L24+L29+L36+L43+L45+L47+L49</f>
        <v>0</v>
      </c>
      <c r="M82" s="92">
        <f>SUM(M72:M81)+M16+M24+M29+M36+M43+M45+M47+M49+M51+M56+M61+M66</f>
        <v>-1444.2159999999999</v>
      </c>
      <c r="N82" s="91">
        <f>N16+N24+N29+N36+N43+N45+N47+N49</f>
        <v>0</v>
      </c>
      <c r="O82" s="92">
        <f>SUM(O72:O81)+O16+O24+O29+O36+O43+O45+O47+O49+O51+O56+O61+O66</f>
        <v>-547046.89199999999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I54" activePane="bottomRight" state="frozen"/>
      <selection activeCell="N31" sqref="N31"/>
      <selection pane="topRight" activeCell="N31" sqref="N31"/>
      <selection pane="bottomLeft" activeCell="N31" sqref="N31"/>
      <selection pane="bottomRight" activeCell="AQ66" sqref="AQ6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193051117</v>
      </c>
      <c r="E11" s="38">
        <f>SUM(G11,I11,K11,M11,O11,Q11,S11,U11,W11,Y11,AA11,AC11,AE11)</f>
        <v>487071650.59999996</v>
      </c>
      <c r="F11" s="60">
        <f>'TIE-OUT'!J11+RECLASS!H11</f>
        <v>0</v>
      </c>
      <c r="G11" s="38">
        <f>'TIE-OUT'!K11+RECLASS!I11</f>
        <v>5844055</v>
      </c>
      <c r="H11" s="118">
        <f>+Actuals!E244</f>
        <v>189746325</v>
      </c>
      <c r="I11" s="119">
        <f>+Actuals!F244</f>
        <v>467815212.26999998</v>
      </c>
      <c r="J11" s="118">
        <f>+Actuals!G244</f>
        <v>7253637</v>
      </c>
      <c r="K11" s="119">
        <f>+Actuals!H244</f>
        <v>21651971.629999999</v>
      </c>
      <c r="L11" s="118">
        <f>+Actuals!I244</f>
        <v>-5507898</v>
      </c>
      <c r="M11" s="119">
        <f>+Actuals!J244</f>
        <v>-12207516.93</v>
      </c>
      <c r="N11" s="118">
        <f>+Actuals!K244</f>
        <v>1559053</v>
      </c>
      <c r="O11" s="119">
        <f>+Actuals!L244</f>
        <v>3967928.63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-3880244.07</v>
      </c>
      <c r="F12" s="60">
        <f>'TIE-OUT'!J12+RECLASS!H12</f>
        <v>0</v>
      </c>
      <c r="G12" s="38">
        <f>'TIE-OUT'!K12+RECLASS!I12</f>
        <v>-3883840.07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f>+Actuals!H245+3596</f>
        <v>3596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20295362</v>
      </c>
      <c r="E13" s="38">
        <f t="shared" si="0"/>
        <v>51966198</v>
      </c>
      <c r="F13" s="60">
        <f>'TIE-OUT'!J13+RECLASS!H13</f>
        <v>0</v>
      </c>
      <c r="G13" s="38">
        <f>'TIE-OUT'!K13+RECLASS!I13</f>
        <v>0</v>
      </c>
      <c r="H13" s="118">
        <f>+Actuals!E246</f>
        <v>71628606</v>
      </c>
      <c r="I13" s="119">
        <f>+Actuals!F246</f>
        <v>185895133</v>
      </c>
      <c r="J13" s="118">
        <f>+Actuals!G246</f>
        <v>-51333347</v>
      </c>
      <c r="K13" s="119">
        <f>+Actuals!H246</f>
        <v>-133933759</v>
      </c>
      <c r="L13" s="118">
        <f>+Actuals!I246</f>
        <v>4403</v>
      </c>
      <c r="M13" s="119">
        <f>+Actuals!J246</f>
        <v>14283</v>
      </c>
      <c r="N13" s="118">
        <f>+Actuals!K246</f>
        <v>-4300</v>
      </c>
      <c r="O13" s="119">
        <f>+Actuals!L246</f>
        <v>-9459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5733061.2600000007</v>
      </c>
      <c r="F15" s="81">
        <f>'TIE-OUT'!J15+RECLASS!H15</f>
        <v>0</v>
      </c>
      <c r="G15" s="82">
        <f>'TIE-OUT'!K15+RECLASS!I15</f>
        <v>-11326633</v>
      </c>
      <c r="H15" s="118">
        <f>+Actuals!E248</f>
        <v>0</v>
      </c>
      <c r="I15" s="119">
        <f>+Actuals!F248</f>
        <v>14932935.800000001</v>
      </c>
      <c r="J15" s="118">
        <f>+Actuals!G248</f>
        <v>0</v>
      </c>
      <c r="K15" s="119">
        <f>+Actuals!H248</f>
        <v>254808.88</v>
      </c>
      <c r="L15" s="118">
        <f>+Actuals!I248</f>
        <v>0</v>
      </c>
      <c r="M15" s="119">
        <f>+Actuals!J248</f>
        <v>1901257.24</v>
      </c>
      <c r="N15" s="118">
        <f>+Actuals!K248</f>
        <v>0</v>
      </c>
      <c r="O15" s="119">
        <f>+Actuals!L248</f>
        <v>-29307.66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213346479</v>
      </c>
      <c r="E16" s="39">
        <f t="shared" si="1"/>
        <v>540890665.78999996</v>
      </c>
      <c r="F16" s="61">
        <f t="shared" si="1"/>
        <v>0</v>
      </c>
      <c r="G16" s="39">
        <f t="shared" si="1"/>
        <v>-9366418.0700000003</v>
      </c>
      <c r="H16" s="61">
        <f t="shared" si="1"/>
        <v>261374931</v>
      </c>
      <c r="I16" s="39">
        <f t="shared" si="1"/>
        <v>668643281.06999993</v>
      </c>
      <c r="J16" s="61">
        <f t="shared" ref="J16:AO16" si="2">SUM(J11:J15)</f>
        <v>-44079710</v>
      </c>
      <c r="K16" s="39">
        <f t="shared" si="2"/>
        <v>-112023382.49000001</v>
      </c>
      <c r="L16" s="61">
        <f t="shared" si="2"/>
        <v>-5503495</v>
      </c>
      <c r="M16" s="39">
        <f t="shared" si="2"/>
        <v>-10291976.689999999</v>
      </c>
      <c r="N16" s="61">
        <f>SUM(N11:N15)</f>
        <v>1554753</v>
      </c>
      <c r="O16" s="39">
        <f>SUM(O11:O15)</f>
        <v>3929161.9699999997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-188888571</v>
      </c>
      <c r="E19" s="38">
        <f t="shared" si="3"/>
        <v>-446824810.43000001</v>
      </c>
      <c r="F19" s="64">
        <f>'TIE-OUT'!J19+RECLASS!H19</f>
        <v>0</v>
      </c>
      <c r="G19" s="68">
        <f>'TIE-OUT'!K19+RECLASS!I19</f>
        <v>2539443</v>
      </c>
      <c r="H19" s="118">
        <f>+Actuals!E249</f>
        <v>-187210283</v>
      </c>
      <c r="I19" s="119">
        <f>+Actuals!F249</f>
        <v>-450026772.61000001</v>
      </c>
      <c r="J19" s="118">
        <f>+Actuals!G249</f>
        <v>-2313451</v>
      </c>
      <c r="K19" s="119">
        <f>+Actuals!H249</f>
        <v>-5902770.2499999991</v>
      </c>
      <c r="L19" s="118">
        <f>+Actuals!I249</f>
        <v>1907676</v>
      </c>
      <c r="M19" s="119">
        <f>+Actuals!J249</f>
        <v>3057392.04</v>
      </c>
      <c r="N19" s="118">
        <f>+Actuals!K249</f>
        <v>-1272513</v>
      </c>
      <c r="O19" s="119">
        <f>+Actuals!L249</f>
        <v>3507897.39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-9201555.1899999995</v>
      </c>
      <c r="F20" s="60">
        <f>'TIE-OUT'!J20+RECLASS!H20</f>
        <v>0</v>
      </c>
      <c r="G20" s="38">
        <f>'TIE-OUT'!K20+RECLASS!I20</f>
        <v>-9176533.7799999993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215">
        <f>+Actuals!J250-25021.41</f>
        <v>-25021.41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-19756732</v>
      </c>
      <c r="E21" s="38">
        <f t="shared" si="3"/>
        <v>-54147992</v>
      </c>
      <c r="F21" s="60">
        <f>'TIE-OUT'!J21+RECLASS!H21</f>
        <v>0</v>
      </c>
      <c r="G21" s="38">
        <f>'TIE-OUT'!K21+RECLASS!I21</f>
        <v>0</v>
      </c>
      <c r="H21" s="118">
        <f>+Actuals!E251</f>
        <v>-71003668</v>
      </c>
      <c r="I21" s="119">
        <f>+Actuals!F251</f>
        <v>-187641099</v>
      </c>
      <c r="J21" s="118">
        <f>+Actuals!G251</f>
        <v>51204961</v>
      </c>
      <c r="K21" s="119">
        <f>+Actuals!H251</f>
        <v>133403760</v>
      </c>
      <c r="L21" s="118">
        <f>+Actuals!I251</f>
        <v>39502</v>
      </c>
      <c r="M21" s="119">
        <f>+Actuals!J251</f>
        <v>86114</v>
      </c>
      <c r="N21" s="118">
        <f>+Actuals!K251</f>
        <v>2473</v>
      </c>
      <c r="O21" s="119">
        <f>+Actuals!L251</f>
        <v>3233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1438618</v>
      </c>
      <c r="E23" s="38">
        <f t="shared" si="3"/>
        <v>3284934.946</v>
      </c>
      <c r="F23" s="81">
        <f>'TIE-OUT'!J23+RECLASS!H23</f>
        <v>0</v>
      </c>
      <c r="G23" s="82">
        <f>'TIE-OUT'!K23+RECLASS!I23</f>
        <v>0</v>
      </c>
      <c r="H23" s="118">
        <f>+Actuals!E253</f>
        <v>1597692</v>
      </c>
      <c r="I23" s="119">
        <f>+Actuals!F253</f>
        <v>3749783.1239999998</v>
      </c>
      <c r="J23" s="118">
        <f>+Actuals!G253</f>
        <v>80718</v>
      </c>
      <c r="K23" s="119">
        <f>+Actuals!H253</f>
        <v>189445.14600000001</v>
      </c>
      <c r="L23" s="118">
        <f>+Actuals!I253</f>
        <v>-28325</v>
      </c>
      <c r="M23" s="119">
        <f>+Actuals!J253</f>
        <v>-66478.774999999994</v>
      </c>
      <c r="N23" s="118">
        <f>+Actuals!K253</f>
        <v>-211467</v>
      </c>
      <c r="O23" s="119">
        <f>+Actuals!L253</f>
        <v>-587814.549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-207206685</v>
      </c>
      <c r="E24" s="39">
        <f t="shared" si="4"/>
        <v>-506889422.67400002</v>
      </c>
      <c r="F24" s="61">
        <f t="shared" si="4"/>
        <v>0</v>
      </c>
      <c r="G24" s="39">
        <f t="shared" si="4"/>
        <v>-6637090.7799999993</v>
      </c>
      <c r="H24" s="61">
        <f t="shared" si="4"/>
        <v>-256616259</v>
      </c>
      <c r="I24" s="39">
        <f t="shared" si="4"/>
        <v>-633918088.48600006</v>
      </c>
      <c r="J24" s="61">
        <f t="shared" ref="J24:AO24" si="5">SUM(J19:J23)</f>
        <v>48972228</v>
      </c>
      <c r="K24" s="39">
        <f t="shared" si="5"/>
        <v>127690434.896</v>
      </c>
      <c r="L24" s="61">
        <f t="shared" si="5"/>
        <v>1918853</v>
      </c>
      <c r="M24" s="39">
        <f t="shared" si="5"/>
        <v>3052005.855</v>
      </c>
      <c r="N24" s="61">
        <f>SUM(N19:N23)</f>
        <v>-1481507</v>
      </c>
      <c r="O24" s="39">
        <f>SUM(O19:O23)</f>
        <v>2923315.841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11337226</v>
      </c>
      <c r="E27" s="38">
        <f>SUM(G27,I27,K27,M27,O27,Q27,S27,U27,W27,Y27,AA27,AC27,AE27)</f>
        <v>27276734.16</v>
      </c>
      <c r="F27" s="64">
        <f>'TIE-OUT'!J27+RECLASS!H27</f>
        <v>0</v>
      </c>
      <c r="G27" s="68">
        <f>'TIE-OUT'!K27+RECLASS!I27</f>
        <v>0</v>
      </c>
      <c r="H27" s="118">
        <f>+Actuals!E254</f>
        <v>11333350</v>
      </c>
      <c r="I27" s="119">
        <f>+Actuals!F254</f>
        <v>27144101</v>
      </c>
      <c r="J27" s="118">
        <f>+Actuals!G254</f>
        <v>0</v>
      </c>
      <c r="K27" s="119">
        <f>+Actuals!H254</f>
        <v>111625.23</v>
      </c>
      <c r="L27" s="118">
        <f>+Actuals!I254</f>
        <v>3876</v>
      </c>
      <c r="M27" s="119">
        <f>+Actuals!J254</f>
        <v>21007.93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-7952335</v>
      </c>
      <c r="E28" s="38">
        <f>SUM(G28,I28,K28,M28,O28,Q28,S28,U28,W28,Y28,AA28,AC28,AE28)</f>
        <v>-19480700.919999998</v>
      </c>
      <c r="F28" s="81">
        <f>'TIE-OUT'!J28+RECLASS!H28</f>
        <v>0</v>
      </c>
      <c r="G28" s="82">
        <f>'TIE-OUT'!K28+RECLASS!I28</f>
        <v>0</v>
      </c>
      <c r="H28" s="118">
        <f>+Actuals!E255</f>
        <v>-7755552</v>
      </c>
      <c r="I28" s="119">
        <f>+Actuals!F255</f>
        <v>-19018931.719999999</v>
      </c>
      <c r="J28" s="118">
        <f>+Actuals!G255</f>
        <v>-196782</v>
      </c>
      <c r="K28" s="119">
        <f>+Actuals!H255</f>
        <v>-462998.91</v>
      </c>
      <c r="L28" s="118">
        <f>+Actuals!I255</f>
        <v>-1</v>
      </c>
      <c r="M28" s="119">
        <f>+Actuals!J255</f>
        <v>1229.71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3384891</v>
      </c>
      <c r="E29" s="39">
        <f t="shared" si="6"/>
        <v>7796033.2400000021</v>
      </c>
      <c r="F29" s="61">
        <f t="shared" si="6"/>
        <v>0</v>
      </c>
      <c r="G29" s="39">
        <f t="shared" si="6"/>
        <v>0</v>
      </c>
      <c r="H29" s="61">
        <f t="shared" si="6"/>
        <v>3577798</v>
      </c>
      <c r="I29" s="39">
        <f t="shared" si="6"/>
        <v>8125169.2800000012</v>
      </c>
      <c r="J29" s="61">
        <f t="shared" ref="J29:AO29" si="7">SUM(J27:J28)</f>
        <v>-196782</v>
      </c>
      <c r="K29" s="39">
        <f t="shared" si="7"/>
        <v>-351373.68</v>
      </c>
      <c r="L29" s="61">
        <f t="shared" si="7"/>
        <v>3875</v>
      </c>
      <c r="M29" s="39">
        <f t="shared" si="7"/>
        <v>22237.64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-1726201</v>
      </c>
      <c r="E32" s="38">
        <f t="shared" si="8"/>
        <v>-4051393.7470000004</v>
      </c>
      <c r="F32" s="64">
        <f>'TIE-OUT'!J32+RECLASS!H32</f>
        <v>0</v>
      </c>
      <c r="G32" s="68">
        <f>'TIE-OUT'!K32+RECLASS!I32</f>
        <v>0</v>
      </c>
      <c r="H32" s="118">
        <f>+Actuals!E256</f>
        <v>-947426</v>
      </c>
      <c r="I32" s="119">
        <f>+Actuals!F256</f>
        <v>-2223608.8220000002</v>
      </c>
      <c r="J32" s="118">
        <f>+Actuals!G256</f>
        <v>1573714</v>
      </c>
      <c r="K32" s="119">
        <f>+Actuals!H256</f>
        <v>3693506.7579999999</v>
      </c>
      <c r="L32" s="118">
        <f>+Actuals!I256</f>
        <v>-3912142</v>
      </c>
      <c r="M32" s="119">
        <f>+Actuals!J256</f>
        <v>-9181797.2740000002</v>
      </c>
      <c r="N32" s="118">
        <f>+Actuals!K256</f>
        <v>1559653</v>
      </c>
      <c r="O32" s="119">
        <f>+Actuals!L256</f>
        <v>3660505.591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-3106022</v>
      </c>
      <c r="E33" s="38">
        <f t="shared" si="8"/>
        <v>-2207237.5699999998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-554147</v>
      </c>
      <c r="K33" s="119">
        <f>+Actuals!H257</f>
        <v>-1606345.77</v>
      </c>
      <c r="L33" s="118">
        <f>+Actuals!I257</f>
        <v>-2315616</v>
      </c>
      <c r="M33" s="119">
        <f>+Actuals!J257</f>
        <v>-5865.47</v>
      </c>
      <c r="N33" s="118">
        <f>+Actuals!K257</f>
        <v>-236259</v>
      </c>
      <c r="O33" s="119">
        <f>+Actuals!L257</f>
        <v>-595026.32999999996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2533309</v>
      </c>
      <c r="E34" s="38">
        <f t="shared" si="8"/>
        <v>1039877.84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45566</v>
      </c>
      <c r="K34" s="119">
        <f>+Actuals!H258</f>
        <v>159040.41</v>
      </c>
      <c r="L34" s="118">
        <f>+Actuals!I258</f>
        <v>2392518</v>
      </c>
      <c r="M34" s="119">
        <f>+Actuals!J258</f>
        <v>151691.6</v>
      </c>
      <c r="N34" s="118">
        <f>+Actuals!K258</f>
        <v>95225</v>
      </c>
      <c r="O34" s="119">
        <f>+Actuals!L258</f>
        <v>729145.83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-1460000</v>
      </c>
      <c r="E35" s="38">
        <f t="shared" si="8"/>
        <v>-4392333.01</v>
      </c>
      <c r="F35" s="81">
        <f>'TIE-OUT'!J35+RECLASS!H35</f>
        <v>-730000</v>
      </c>
      <c r="G35" s="82">
        <f>'TIE-OUT'!K35+RECLASS!I35</f>
        <v>-4392333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-730000</v>
      </c>
      <c r="M35" s="119">
        <f>+Actuals!J259</f>
        <v>-0.01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-3758914</v>
      </c>
      <c r="E36" s="39">
        <f t="shared" si="9"/>
        <v>-9611086.4869999997</v>
      </c>
      <c r="F36" s="61">
        <f t="shared" si="9"/>
        <v>-730000</v>
      </c>
      <c r="G36" s="39">
        <f t="shared" si="9"/>
        <v>-4392333</v>
      </c>
      <c r="H36" s="61">
        <f t="shared" si="9"/>
        <v>-947426</v>
      </c>
      <c r="I36" s="39">
        <f t="shared" si="9"/>
        <v>-2223608.8220000002</v>
      </c>
      <c r="J36" s="61">
        <f t="shared" ref="J36:AO36" si="10">SUM(J32:J35)</f>
        <v>1065133</v>
      </c>
      <c r="K36" s="39">
        <f t="shared" si="10"/>
        <v>2246201.398</v>
      </c>
      <c r="L36" s="61">
        <f t="shared" si="10"/>
        <v>-4565240</v>
      </c>
      <c r="M36" s="39">
        <f t="shared" si="10"/>
        <v>-9035971.154000001</v>
      </c>
      <c r="N36" s="61">
        <f>SUM(N32:N35)</f>
        <v>1418619</v>
      </c>
      <c r="O36" s="39">
        <f>SUM(O32:O35)</f>
        <v>3794625.091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</v>
      </c>
      <c r="E39" s="38">
        <f t="shared" si="11"/>
        <v>-9.4000000000014552</v>
      </c>
      <c r="F39" s="64">
        <f>'TIE-OUT'!J39+RECLASS!H39</f>
        <v>0</v>
      </c>
      <c r="G39" s="68">
        <f>'TIE-OUT'!K39+RECLASS!I39</f>
        <v>0</v>
      </c>
      <c r="H39" s="118">
        <f>+Actuals!E260</f>
        <v>4</v>
      </c>
      <c r="I39" s="119">
        <f>+Actuals!F260</f>
        <v>9.39</v>
      </c>
      <c r="J39" s="118">
        <f>+Actuals!G260</f>
        <v>20073</v>
      </c>
      <c r="K39" s="119">
        <f>+Actuals!H260</f>
        <v>47111.33</v>
      </c>
      <c r="L39" s="118">
        <f>+Actuals!I260</f>
        <v>-20081</v>
      </c>
      <c r="M39" s="119">
        <f>+Actuals!J260</f>
        <v>-47130.12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-3374806</v>
      </c>
      <c r="E40" s="38">
        <f t="shared" si="11"/>
        <v>-8076129.7299999995</v>
      </c>
      <c r="F40" s="60">
        <f>'TIE-OUT'!J40+RECLASS!H40</f>
        <v>730000</v>
      </c>
      <c r="G40" s="38">
        <f>'TIE-OUT'!K40+RECLASS!I40</f>
        <v>1854200</v>
      </c>
      <c r="H40" s="118">
        <f>+Actuals!E261</f>
        <v>-3453689</v>
      </c>
      <c r="I40" s="119">
        <f>+Actuals!F261</f>
        <v>-8713594.5299999993</v>
      </c>
      <c r="J40" s="118">
        <f>+Actuals!G261</f>
        <v>90257</v>
      </c>
      <c r="K40" s="119">
        <f>+Actuals!H261</f>
        <v>226424.36</v>
      </c>
      <c r="L40" s="118">
        <f>+Actuals!I261</f>
        <v>-472988</v>
      </c>
      <c r="M40" s="119">
        <f>+Actuals!J261</f>
        <v>-761114.41</v>
      </c>
      <c r="N40" s="118">
        <f>+Actuals!K261</f>
        <v>-268386</v>
      </c>
      <c r="O40" s="119">
        <f>+Actuals!L261</f>
        <v>-682045.15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-3374806</v>
      </c>
      <c r="E42" s="39">
        <f t="shared" si="12"/>
        <v>-8076129.7299999995</v>
      </c>
      <c r="F42" s="61">
        <f t="shared" si="12"/>
        <v>730000</v>
      </c>
      <c r="G42" s="39">
        <f t="shared" si="12"/>
        <v>1854200</v>
      </c>
      <c r="H42" s="61">
        <f t="shared" si="12"/>
        <v>-3453689</v>
      </c>
      <c r="I42" s="39">
        <f t="shared" si="12"/>
        <v>-8713594.5299999993</v>
      </c>
      <c r="J42" s="61">
        <f t="shared" ref="J42:AO42" si="13">SUM(J40:J41)</f>
        <v>90257</v>
      </c>
      <c r="K42" s="39">
        <f t="shared" si="13"/>
        <v>226424.36</v>
      </c>
      <c r="L42" s="61">
        <f t="shared" si="13"/>
        <v>-472988</v>
      </c>
      <c r="M42" s="39">
        <f t="shared" si="13"/>
        <v>-761114.41</v>
      </c>
      <c r="N42" s="61">
        <f>SUM(N40:N41)</f>
        <v>-268386</v>
      </c>
      <c r="O42" s="39">
        <f>SUM(O40:O41)</f>
        <v>-682045.15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-3374810</v>
      </c>
      <c r="E43" s="39">
        <f t="shared" si="14"/>
        <v>-8076139.1299999999</v>
      </c>
      <c r="F43" s="61">
        <f t="shared" si="14"/>
        <v>730000</v>
      </c>
      <c r="G43" s="39">
        <f t="shared" si="14"/>
        <v>1854200</v>
      </c>
      <c r="H43" s="61">
        <f t="shared" si="14"/>
        <v>-3453685</v>
      </c>
      <c r="I43" s="39">
        <f t="shared" si="14"/>
        <v>-8713585.1399999987</v>
      </c>
      <c r="J43" s="61">
        <f t="shared" ref="J43:AO43" si="15">J42+J39</f>
        <v>110330</v>
      </c>
      <c r="K43" s="39">
        <f t="shared" si="15"/>
        <v>273535.69</v>
      </c>
      <c r="L43" s="61">
        <f t="shared" si="15"/>
        <v>-493069</v>
      </c>
      <c r="M43" s="39">
        <f t="shared" si="15"/>
        <v>-808244.53</v>
      </c>
      <c r="N43" s="61">
        <f>N42+N39</f>
        <v>-268386</v>
      </c>
      <c r="O43" s="39">
        <f>O42+O39</f>
        <v>-682045.15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-2390961</v>
      </c>
      <c r="E49" s="38">
        <f>SUM(G49,I49,K49,M49,O49,Q49,S49,U49,W49,Y49,AA49,AC49,AE49)</f>
        <v>-5611585.4669999965</v>
      </c>
      <c r="F49" s="60">
        <f>'TIE-OUT'!J49+RECLASS!H49</f>
        <v>0</v>
      </c>
      <c r="G49" s="38">
        <f>'TIE-OUT'!K49+RECLASS!I49</f>
        <v>0</v>
      </c>
      <c r="H49" s="118">
        <f>+Actuals!E265</f>
        <v>-3935359</v>
      </c>
      <c r="I49" s="119">
        <f>+Actuals!F265</f>
        <v>-9236287.5730000008</v>
      </c>
      <c r="J49" s="118">
        <f>+Actuals!G265</f>
        <v>-5871199</v>
      </c>
      <c r="K49" s="119">
        <f>+Actuals!H265</f>
        <v>-13779704.052999998</v>
      </c>
      <c r="L49" s="118">
        <f>+Actuals!I265</f>
        <v>8639076</v>
      </c>
      <c r="M49" s="119">
        <f>+Actuals!J265</f>
        <v>20275911.372000001</v>
      </c>
      <c r="N49" s="118">
        <f>+Actuals!K265</f>
        <v>-1223479</v>
      </c>
      <c r="O49" s="119">
        <f>+Actuals!L265</f>
        <v>-2871505.213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-2170630</v>
      </c>
      <c r="E51" s="38">
        <f>SUM(G51,I51,K51,M51,O51,Q51,S51,U51,W51,Y51,AA51,AC51,AE51)</f>
        <v>-5094468.6100000003</v>
      </c>
      <c r="F51" s="60">
        <f>'TIE-OUT'!J51+RECLASS!H51</f>
        <v>0</v>
      </c>
      <c r="G51" s="38">
        <f>'TIE-OUT'!K51+RECLASS!I51</f>
        <v>0</v>
      </c>
      <c r="H51" s="118">
        <f>+Actuals!E266</f>
        <v>-1597692</v>
      </c>
      <c r="I51" s="119">
        <f>+Actuals!F266</f>
        <v>-3749783.1239999998</v>
      </c>
      <c r="J51" s="118">
        <f>+Actuals!G266</f>
        <v>-80718</v>
      </c>
      <c r="K51" s="119">
        <f>+Actuals!H266</f>
        <v>-189445.14600000001</v>
      </c>
      <c r="L51" s="118">
        <f>+Actuals!I266</f>
        <v>28325</v>
      </c>
      <c r="M51" s="119">
        <f>+Actuals!J266</f>
        <v>66478.774999999994</v>
      </c>
      <c r="N51" s="118">
        <f>+Actuals!K266</f>
        <v>-520545</v>
      </c>
      <c r="O51" s="119">
        <f>+Actuals!L266</f>
        <v>-1221719.115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-131780752</v>
      </c>
      <c r="E54" s="38">
        <f>SUM(G54,I54,K54,M54,O54,Q54,S54,U54,W54,Y54,AA54,AC54,AE54)</f>
        <v>-2971354.58</v>
      </c>
      <c r="F54" s="64">
        <f>'TIE-OUT'!J54+RECLASS!H54</f>
        <v>0</v>
      </c>
      <c r="G54" s="68">
        <f>'TIE-OUT'!K54+RECLASS!I54</f>
        <v>55940</v>
      </c>
      <c r="H54" s="118">
        <f>+Actuals!E267</f>
        <v>-157687723</v>
      </c>
      <c r="I54" s="119">
        <f>+Actuals!F267</f>
        <v>-2362930</v>
      </c>
      <c r="J54" s="118">
        <f>+Actuals!G267</f>
        <v>28139750</v>
      </c>
      <c r="K54" s="119">
        <f>+Actuals!H267</f>
        <v>1049202.02</v>
      </c>
      <c r="L54" s="118">
        <f>+Actuals!I267</f>
        <v>-1173052</v>
      </c>
      <c r="M54" s="119">
        <f>+Actuals!J267</f>
        <v>-1656853.35</v>
      </c>
      <c r="N54" s="118">
        <f>+Actuals!K267</f>
        <v>-1059727</v>
      </c>
      <c r="O54" s="119">
        <f>+Actuals!L267</f>
        <v>-56713.25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-6962042.2200000007</v>
      </c>
      <c r="F55" s="81">
        <f>'TIE-OUT'!J55+RECLASS!H55</f>
        <v>0</v>
      </c>
      <c r="G55" s="82">
        <f>'TIE-OUT'!K55+RECLASS!I55</f>
        <v>37782</v>
      </c>
      <c r="H55" s="118">
        <f>+Actuals!E268</f>
        <v>0</v>
      </c>
      <c r="I55" s="119">
        <f>+Actuals!F268</f>
        <v>-6131068.8900000006</v>
      </c>
      <c r="J55" s="118">
        <f>+Actuals!G268</f>
        <v>0</v>
      </c>
      <c r="K55" s="119">
        <f>+Actuals!H268</f>
        <v>-608301.96</v>
      </c>
      <c r="L55" s="118">
        <f>+Actuals!I268</f>
        <v>0</v>
      </c>
      <c r="M55" s="119">
        <f>+Actuals!J268</f>
        <v>-265948.82</v>
      </c>
      <c r="N55" s="118">
        <f>+Actuals!K268</f>
        <v>0</v>
      </c>
      <c r="O55" s="119">
        <f>+Actuals!L268</f>
        <v>5495.45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-131780752</v>
      </c>
      <c r="E56" s="39">
        <f t="shared" si="16"/>
        <v>-9933396.8000000007</v>
      </c>
      <c r="F56" s="61">
        <f t="shared" si="16"/>
        <v>0</v>
      </c>
      <c r="G56" s="39">
        <f t="shared" si="16"/>
        <v>93722</v>
      </c>
      <c r="H56" s="61">
        <f t="shared" si="16"/>
        <v>-157687723</v>
      </c>
      <c r="I56" s="39">
        <f t="shared" si="16"/>
        <v>-8493998.8900000006</v>
      </c>
      <c r="J56" s="61">
        <f t="shared" ref="J56:AO56" si="17">SUM(J54:J55)</f>
        <v>28139750</v>
      </c>
      <c r="K56" s="39">
        <f t="shared" si="17"/>
        <v>440900.06000000006</v>
      </c>
      <c r="L56" s="61">
        <f t="shared" si="17"/>
        <v>-1173052</v>
      </c>
      <c r="M56" s="39">
        <f t="shared" si="17"/>
        <v>-1922802.1700000002</v>
      </c>
      <c r="N56" s="61">
        <f>SUM(N54:N55)</f>
        <v>-1059727</v>
      </c>
      <c r="O56" s="39">
        <f>SUM(O54:O55)</f>
        <v>-51217.8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65182.55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66216</v>
      </c>
      <c r="J59" s="118">
        <f>+Actuals!G269</f>
        <v>0</v>
      </c>
      <c r="K59" s="119">
        <f>+Actuals!H269</f>
        <v>-19359.169999999998</v>
      </c>
      <c r="L59" s="118">
        <f>+Actuals!I269</f>
        <v>0</v>
      </c>
      <c r="M59" s="119">
        <f>+Actuals!J269</f>
        <v>18325.72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65182.55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66216</v>
      </c>
      <c r="J61" s="61">
        <f t="shared" ref="J61:AO61" si="19">SUM(J59:J60)</f>
        <v>0</v>
      </c>
      <c r="K61" s="39">
        <f t="shared" si="19"/>
        <v>-19359.169999999998</v>
      </c>
      <c r="L61" s="61">
        <f t="shared" si="19"/>
        <v>0</v>
      </c>
      <c r="M61" s="39">
        <f t="shared" si="19"/>
        <v>18325.72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'TIE-OUT'!J70+RECLASS!H70</f>
        <v>0</v>
      </c>
      <c r="G70" s="68">
        <f>'TIE-OUT'!K70+RECLASS!I70</f>
        <v>13133657.73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'TIE-OUT'!J71+RECLASS!H71</f>
        <v>0</v>
      </c>
      <c r="G71" s="82">
        <f>'TIE-OUT'!K71+RECLASS!I71</f>
        <v>-5194257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7939400.7300000004</v>
      </c>
      <c r="F72" s="61">
        <f t="shared" si="22"/>
        <v>0</v>
      </c>
      <c r="G72" s="39">
        <f t="shared" si="22"/>
        <v>7939400.7300000004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-6928831.620000001</v>
      </c>
      <c r="F74" s="60">
        <f>'TIE-OUT'!J74+RECLASS!H74</f>
        <v>0</v>
      </c>
      <c r="G74" s="60">
        <f>'TIE-OUT'!K74+RECLASS!I74</f>
        <v>-25387118.350000001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119">
        <f>+Actuals!H276</f>
        <v>0</v>
      </c>
      <c r="L74" s="118">
        <f>+Actuals!I276</f>
        <v>0</v>
      </c>
      <c r="M74" s="215">
        <f>+Actuals!J276+3305202+1370683+3043953+4117207.5+6056175+3881.28+625394.11</f>
        <v>18522495.890000001</v>
      </c>
      <c r="N74" s="118">
        <f>+Actuals!K276</f>
        <v>0</v>
      </c>
      <c r="O74" s="119">
        <f>+Actuals!L276-1479.16-115938+53208</f>
        <v>-64209.16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323400</v>
      </c>
      <c r="F75" s="60">
        <f>'TIE-OUT'!J75+RECLASS!H75</f>
        <v>0</v>
      </c>
      <c r="G75" s="60">
        <f>'TIE-OUT'!K75+RECLASS!I75</f>
        <v>323400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-5528.49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-8979.5400000000009</v>
      </c>
      <c r="J76" s="118">
        <f>+Actuals!G278</f>
        <v>0</v>
      </c>
      <c r="K76" s="119">
        <f>+Actuals!H278</f>
        <v>-3678.71</v>
      </c>
      <c r="L76" s="118">
        <f>+Actuals!I278</f>
        <v>0</v>
      </c>
      <c r="M76" s="119">
        <f>+Actuals!J278</f>
        <v>7129.76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-2658334</v>
      </c>
      <c r="F77" s="60">
        <f>'TIE-OUT'!J77+RECLASS!H77</f>
        <v>0</v>
      </c>
      <c r="G77" s="60">
        <f>'TIE-OUT'!K77+RECLASS!I77</f>
        <v>-2658334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25279</v>
      </c>
      <c r="F78" s="60">
        <f>'TIE-OUT'!J78+RECLASS!H78</f>
        <v>0</v>
      </c>
      <c r="G78" s="60">
        <f>'TIE-OUT'!K78+RECLASS!I78</f>
        <v>25279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-0.41000000000349246</v>
      </c>
      <c r="F81" s="60">
        <f>'TIE-OUT'!J81+RECLASS!H81</f>
        <v>0</v>
      </c>
      <c r="G81" s="60">
        <f>'TIE-OUT'!K81+RECLASS!I81</f>
        <v>-226414</v>
      </c>
      <c r="H81" s="118">
        <f>+Actuals!E283</f>
        <v>0</v>
      </c>
      <c r="I81" s="119">
        <f>+Actuals!F283</f>
        <v>201134.56</v>
      </c>
      <c r="J81" s="118">
        <f>+Actuals!G283</f>
        <v>0</v>
      </c>
      <c r="K81" s="119">
        <f>+Actuals!H283</f>
        <v>25279.03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2231167.6219999818</v>
      </c>
      <c r="F82" s="91">
        <f>F16+F24+F29+F36+F43+F45+F47+F49</f>
        <v>0</v>
      </c>
      <c r="G82" s="92">
        <f>SUM(G72:G81)+G16+G24+G29+G36+G43+G45+G47+G49+G51+G56+G61+G66</f>
        <v>-38431706.469999999</v>
      </c>
      <c r="H82" s="91">
        <f>H16+H24+H29+H36+H43+H45+H47+H49</f>
        <v>0</v>
      </c>
      <c r="I82" s="92">
        <f>SUM(I72:I81)+I16+I24+I29+I36+I43+I45+I47+I49+I51+I56+I61+I66</f>
        <v>10691469.334999859</v>
      </c>
      <c r="J82" s="91">
        <f>J16+J24+J29+J36+J43+J45+J47+J49</f>
        <v>0</v>
      </c>
      <c r="K82" s="137">
        <f>SUM(K72:K81)+K16+K24+K29+K36+K43+K45+K47+K49+K51+K56+K61+K66</f>
        <v>4309407.8249999871</v>
      </c>
      <c r="L82" s="91">
        <f>L16+L24+L29+L36+L43+L45+L47+L49</f>
        <v>0</v>
      </c>
      <c r="M82" s="92">
        <f>SUM(M72:M81)+M16+M24+M29+M36+M43+M45+M47+M49+M51+M56+M61+M66</f>
        <v>19905590.467999998</v>
      </c>
      <c r="N82" s="91">
        <f>N16+N24+N29+N36+N43+N45+N47+N49</f>
        <v>0</v>
      </c>
      <c r="O82" s="92">
        <f>SUM(O72:O81)+O16+O24+O29+O36+O43+O45+O47+O49+O51+O56+O61+O66</f>
        <v>5756406.4639999988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477103</v>
      </c>
      <c r="F86" s="145">
        <f>'TIE-OUT'!J86+RECLASS!H86</f>
        <v>0</v>
      </c>
      <c r="G86" s="145">
        <f>'TIE-OUT'!K86+RECLASS!I86</f>
        <v>477103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477103</v>
      </c>
      <c r="F89" s="160">
        <f t="shared" si="26"/>
        <v>0</v>
      </c>
      <c r="G89" s="160">
        <f t="shared" si="26"/>
        <v>477103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2708270.6219999818</v>
      </c>
      <c r="F91" s="160">
        <f t="shared" si="29"/>
        <v>0</v>
      </c>
      <c r="G91" s="160">
        <f t="shared" si="29"/>
        <v>-37954603.469999999</v>
      </c>
      <c r="H91" s="160">
        <f t="shared" si="29"/>
        <v>0</v>
      </c>
      <c r="I91" s="160">
        <f t="shared" si="29"/>
        <v>10691469.334999859</v>
      </c>
      <c r="J91" s="160">
        <f t="shared" si="29"/>
        <v>0</v>
      </c>
      <c r="K91" s="160">
        <f t="shared" si="29"/>
        <v>4309407.8249999871</v>
      </c>
      <c r="L91" s="160">
        <f t="shared" si="29"/>
        <v>0</v>
      </c>
      <c r="M91" s="160">
        <f t="shared" si="29"/>
        <v>19905590.467999998</v>
      </c>
      <c r="N91" s="160">
        <f t="shared" ref="N91:AE91" si="30">+N82+N89</f>
        <v>0</v>
      </c>
      <c r="O91" s="160">
        <f t="shared" si="30"/>
        <v>5756406.4639999988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I43" activePane="bottomRight" state="frozen"/>
      <selection activeCell="N31" sqref="N31"/>
      <selection pane="topRight" activeCell="N31" sqref="N31"/>
      <selection pane="bottomLeft" activeCell="N31" sqref="N31"/>
      <selection pane="bottomRight" activeCell="O52" sqref="O5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8645984</v>
      </c>
      <c r="E11" s="15">
        <f>G11+I11+K11+M11+O11</f>
        <v>21017318.75</v>
      </c>
      <c r="F11" s="58">
        <f>'TIE-OUT'!L11+RECLASS!J11</f>
        <v>0</v>
      </c>
      <c r="G11" s="15">
        <f>'TIE-OUT'!M11+RECLASS!K11</f>
        <v>0</v>
      </c>
      <c r="H11" s="118">
        <f>+Actuals!E44</f>
        <v>8693022</v>
      </c>
      <c r="I11" s="119">
        <f>+Actuals!F44</f>
        <v>21002770.84</v>
      </c>
      <c r="J11" s="118">
        <f>+Actuals!G44</f>
        <v>-54467</v>
      </c>
      <c r="K11" s="119">
        <f>+Actuals!H44</f>
        <v>10689.76</v>
      </c>
      <c r="L11" s="118">
        <f>+Actuals!I44+6952</f>
        <v>7463</v>
      </c>
      <c r="M11" s="119">
        <f>+Actuals!J44+16533</f>
        <v>3941.7900000000009</v>
      </c>
      <c r="N11" s="118">
        <f>+Actuals!K44</f>
        <v>-34</v>
      </c>
      <c r="O11" s="119">
        <f>+Actuals!L44</f>
        <v>-83.64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11664.26999999999</v>
      </c>
      <c r="F12" s="58">
        <f>'TIE-OUT'!L12+RECLASS!J12</f>
        <v>0</v>
      </c>
      <c r="G12" s="15">
        <f>'TIE-OUT'!M12+RECLASS!K12</f>
        <v>11664.26999999999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8645984</v>
      </c>
      <c r="E16" s="23">
        <f t="shared" si="1"/>
        <v>21028983.02</v>
      </c>
      <c r="F16" s="59">
        <f t="shared" si="1"/>
        <v>0</v>
      </c>
      <c r="G16" s="23">
        <f t="shared" si="1"/>
        <v>11664.26999999999</v>
      </c>
      <c r="H16" s="61">
        <f t="shared" si="1"/>
        <v>8693022</v>
      </c>
      <c r="I16" s="39">
        <f t="shared" si="1"/>
        <v>21002770.84</v>
      </c>
      <c r="J16" s="61">
        <f t="shared" ref="J16:AO16" si="2">SUM(J11:J15)</f>
        <v>-54467</v>
      </c>
      <c r="K16" s="39">
        <f t="shared" si="2"/>
        <v>10689.76</v>
      </c>
      <c r="L16" s="61">
        <f t="shared" si="2"/>
        <v>7463</v>
      </c>
      <c r="M16" s="39">
        <f t="shared" si="2"/>
        <v>3941.7900000000009</v>
      </c>
      <c r="N16" s="61">
        <f>SUM(N11:N15)</f>
        <v>-34</v>
      </c>
      <c r="O16" s="39">
        <f>SUM(O11:O15)</f>
        <v>-83.64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-1378521</v>
      </c>
      <c r="E19" s="15">
        <f t="shared" si="3"/>
        <v>-3264588.6900000004</v>
      </c>
      <c r="F19" s="84">
        <f>'TIE-OUT'!L19+RECLASS!J19</f>
        <v>0</v>
      </c>
      <c r="G19" s="85">
        <f>'TIE-OUT'!M19+RECLASS!K19</f>
        <v>0</v>
      </c>
      <c r="H19" s="118">
        <f>+Actuals!E49</f>
        <v>-3770769</v>
      </c>
      <c r="I19" s="119">
        <f>+Actuals!F49</f>
        <v>-8869097.4100000001</v>
      </c>
      <c r="J19" s="118">
        <f>+Actuals!G49+6700</f>
        <v>2399322</v>
      </c>
      <c r="K19" s="119">
        <f>+Actuals!H49+15945</f>
        <v>5622066.1099999994</v>
      </c>
      <c r="L19" s="118">
        <f>+Actuals!I49</f>
        <v>-280</v>
      </c>
      <c r="M19" s="119">
        <f>+Actuals!J49</f>
        <v>-1396.13</v>
      </c>
      <c r="N19" s="118">
        <f>+Actuals!K49-6700</f>
        <v>-6794</v>
      </c>
      <c r="O19" s="119">
        <f>+Actuals!L49-15946</f>
        <v>-16161.26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-26393</v>
      </c>
      <c r="E23" s="15">
        <f t="shared" si="3"/>
        <v>-57693.76999999999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42131</v>
      </c>
      <c r="K23" s="119">
        <f>+Actuals!H53</f>
        <v>101281.61</v>
      </c>
      <c r="L23" s="118">
        <f>+Actuals!I53</f>
        <v>42121</v>
      </c>
      <c r="M23" s="119">
        <f>+Actuals!J53</f>
        <v>101258.71</v>
      </c>
      <c r="N23" s="118">
        <f>+Actuals!K53</f>
        <v>-110645</v>
      </c>
      <c r="O23" s="119">
        <f>+Actuals!L53</f>
        <v>-260234.09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-1404914</v>
      </c>
      <c r="E24" s="23">
        <f t="shared" si="4"/>
        <v>-3322282.4600000004</v>
      </c>
      <c r="F24" s="59">
        <f t="shared" si="4"/>
        <v>0</v>
      </c>
      <c r="G24" s="23">
        <f t="shared" si="4"/>
        <v>0</v>
      </c>
      <c r="H24" s="61">
        <f t="shared" si="4"/>
        <v>-3770769</v>
      </c>
      <c r="I24" s="39">
        <f t="shared" si="4"/>
        <v>-8869097.4100000001</v>
      </c>
      <c r="J24" s="61">
        <f t="shared" ref="J24:AO24" si="5">SUM(J19:J23)</f>
        <v>2441453</v>
      </c>
      <c r="K24" s="39">
        <f t="shared" si="5"/>
        <v>5723347.7199999997</v>
      </c>
      <c r="L24" s="61">
        <f t="shared" si="5"/>
        <v>41841</v>
      </c>
      <c r="M24" s="39">
        <f t="shared" si="5"/>
        <v>99862.58</v>
      </c>
      <c r="N24" s="61">
        <f>SUM(N19:N23)</f>
        <v>-117439</v>
      </c>
      <c r="O24" s="39">
        <f>SUM(O19:O23)</f>
        <v>-276395.34999999998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6733256</v>
      </c>
      <c r="E27" s="15">
        <f>G27+I27+K27+M27+O27</f>
        <v>16330556.539999999</v>
      </c>
      <c r="F27" s="84">
        <f>'TIE-OUT'!L27+RECLASS!J27</f>
        <v>0</v>
      </c>
      <c r="G27" s="85">
        <f>'TIE-OUT'!M27+RECLASS!K27</f>
        <v>0</v>
      </c>
      <c r="H27" s="118">
        <f>+Actuals!E54+5287</f>
        <v>7742898</v>
      </c>
      <c r="I27" s="119">
        <f>+Actuals!F54+12229</f>
        <v>18892642.34</v>
      </c>
      <c r="J27" s="118">
        <f>+Actuals!G54-780</f>
        <v>-479710</v>
      </c>
      <c r="K27" s="119">
        <f>+Actuals!H54-1138</f>
        <v>-1279188.73</v>
      </c>
      <c r="L27" s="118">
        <f>+Actuals!I54-4507</f>
        <v>-543542</v>
      </c>
      <c r="M27" s="119">
        <f>+Actuals!J54-11091</f>
        <v>-1338376.26</v>
      </c>
      <c r="N27" s="118">
        <f>+Actuals!K54</f>
        <v>13610</v>
      </c>
      <c r="O27" s="119">
        <f>+Actuals!L54</f>
        <v>55479.19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-11489709</v>
      </c>
      <c r="E28" s="15">
        <f>G28+I28+K28+M28+O28</f>
        <v>-27606880</v>
      </c>
      <c r="F28" s="97">
        <f>'TIE-OUT'!L28+RECLASS!J28</f>
        <v>0</v>
      </c>
      <c r="G28" s="98">
        <f>'TIE-OUT'!M28+RECLASS!K28</f>
        <v>0</v>
      </c>
      <c r="H28" s="118">
        <f>+Actuals!E55-5287</f>
        <v>-12490031</v>
      </c>
      <c r="I28" s="119">
        <f>+Actuals!F55-12229</f>
        <v>-30084137</v>
      </c>
      <c r="J28" s="118">
        <f>+Actuals!G55-5920</f>
        <v>437502</v>
      </c>
      <c r="K28" s="119">
        <f>+Actuals!H55-14807</f>
        <v>1101283.1399999999</v>
      </c>
      <c r="L28" s="118">
        <f>+Actuals!I55-2445</f>
        <v>534027</v>
      </c>
      <c r="M28" s="119">
        <f>+Actuals!J55-5442</f>
        <v>1322454.8799999999</v>
      </c>
      <c r="N28" s="118">
        <f>+Actuals!K55+6700</f>
        <v>28793</v>
      </c>
      <c r="O28" s="119">
        <f>+Actuals!L55+15946</f>
        <v>53518.98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-4756453</v>
      </c>
      <c r="E29" s="23">
        <f t="shared" si="6"/>
        <v>-11276323.460000001</v>
      </c>
      <c r="F29" s="59">
        <f t="shared" si="6"/>
        <v>0</v>
      </c>
      <c r="G29" s="23">
        <f t="shared" si="6"/>
        <v>0</v>
      </c>
      <c r="H29" s="61">
        <f t="shared" si="6"/>
        <v>-4747133</v>
      </c>
      <c r="I29" s="39">
        <f t="shared" si="6"/>
        <v>-11191494.66</v>
      </c>
      <c r="J29" s="61">
        <f t="shared" ref="J29:AO29" si="7">SUM(J27:J28)</f>
        <v>-42208</v>
      </c>
      <c r="K29" s="39">
        <f t="shared" si="7"/>
        <v>-177905.59000000008</v>
      </c>
      <c r="L29" s="61">
        <f t="shared" si="7"/>
        <v>-9515</v>
      </c>
      <c r="M29" s="39">
        <f t="shared" si="7"/>
        <v>-15921.380000000121</v>
      </c>
      <c r="N29" s="61">
        <f>SUM(N27:N28)</f>
        <v>42403</v>
      </c>
      <c r="O29" s="39">
        <f>SUM(O27:O28)</f>
        <v>108998.17000000001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-134742</v>
      </c>
      <c r="E32" s="15">
        <f>G32+I32+K32+M32+O32</f>
        <v>-316239.46899999998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-176357</v>
      </c>
      <c r="K32" s="119">
        <f>+Actuals!H56</f>
        <v>-413909.87599999999</v>
      </c>
      <c r="L32" s="118">
        <f>+Actuals!I56</f>
        <v>-26899</v>
      </c>
      <c r="M32" s="119">
        <f>+Actuals!J56</f>
        <v>-63131.953000000001</v>
      </c>
      <c r="N32" s="118">
        <f>+Actuals!K56</f>
        <v>68514</v>
      </c>
      <c r="O32" s="119">
        <f>+Actuals!L56</f>
        <v>160802.35999999999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-134742</v>
      </c>
      <c r="E36" s="23">
        <f t="shared" si="9"/>
        <v>-316239.46899999998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-176357</v>
      </c>
      <c r="K36" s="39">
        <f t="shared" si="10"/>
        <v>-413909.87599999999</v>
      </c>
      <c r="L36" s="61">
        <f t="shared" si="10"/>
        <v>-26899</v>
      </c>
      <c r="M36" s="39">
        <f t="shared" si="10"/>
        <v>-63131.953000000001</v>
      </c>
      <c r="N36" s="61">
        <f>SUM(N32:N35)</f>
        <v>68514</v>
      </c>
      <c r="O36" s="39">
        <f>SUM(O32:O35)</f>
        <v>160802.35999999999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750236</v>
      </c>
      <c r="E39" s="15">
        <f t="shared" si="11"/>
        <v>1519302.92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750236</v>
      </c>
      <c r="K39" s="119">
        <f>+Actuals!H60</f>
        <v>1519302.92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-3244542</v>
      </c>
      <c r="E40" s="15">
        <f t="shared" si="11"/>
        <v>-6571522.0100000007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-3208577</v>
      </c>
      <c r="K40" s="119">
        <f>+Actuals!H61</f>
        <v>-6497689.2800000003</v>
      </c>
      <c r="L40" s="118">
        <f>+Actuals!I61</f>
        <v>-252</v>
      </c>
      <c r="M40" s="119">
        <f>+Actuals!J61</f>
        <v>-510.33</v>
      </c>
      <c r="N40" s="118">
        <f>+Actuals!K61</f>
        <v>-35713</v>
      </c>
      <c r="O40" s="119">
        <f>+Actuals!L61</f>
        <v>-73322.399999999994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-3244542</v>
      </c>
      <c r="E42" s="23">
        <f t="shared" si="12"/>
        <v>-6571522.0100000007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-3208577</v>
      </c>
      <c r="K42" s="39">
        <f t="shared" si="13"/>
        <v>-6497689.2800000003</v>
      </c>
      <c r="L42" s="61">
        <f t="shared" si="13"/>
        <v>-252</v>
      </c>
      <c r="M42" s="39">
        <f t="shared" si="13"/>
        <v>-510.33</v>
      </c>
      <c r="N42" s="61">
        <f>SUM(N40:N41)</f>
        <v>-35713</v>
      </c>
      <c r="O42" s="39">
        <f>SUM(O40:O41)</f>
        <v>-73322.399999999994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-2494306</v>
      </c>
      <c r="E43" s="23">
        <f t="shared" si="14"/>
        <v>-5052219.0900000008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-2458341</v>
      </c>
      <c r="K43" s="39">
        <f t="shared" si="15"/>
        <v>-4978386.3600000003</v>
      </c>
      <c r="L43" s="61">
        <f t="shared" si="15"/>
        <v>-252</v>
      </c>
      <c r="M43" s="39">
        <f t="shared" si="15"/>
        <v>-510.33</v>
      </c>
      <c r="N43" s="61">
        <f>N42+N39</f>
        <v>-35713</v>
      </c>
      <c r="O43" s="39">
        <f>O42+O39</f>
        <v>-73322.399999999994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4326</v>
      </c>
      <c r="E45" s="15">
        <f>G45+I45+K45+M45+O45</f>
        <v>17.010000000000002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4326</v>
      </c>
      <c r="K45" s="119">
        <f>+Actuals!H63</f>
        <v>17.010000000000002</v>
      </c>
      <c r="L45" s="118">
        <f>+Actuals!I63</f>
        <v>4326</v>
      </c>
      <c r="M45" s="119">
        <f>+Actuals!J63</f>
        <v>17.010000000000002</v>
      </c>
      <c r="N45" s="118">
        <f>+Actuals!K63</f>
        <v>-4326</v>
      </c>
      <c r="O45" s="119">
        <f>+Actuals!L63</f>
        <v>-17.010000000000002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140105</v>
      </c>
      <c r="E49" s="15">
        <f>G49+I49+K49+M49+O49</f>
        <v>328826.435</v>
      </c>
      <c r="F49" s="58">
        <f>'TIE-OUT'!L49+RECLASS!J49</f>
        <v>0</v>
      </c>
      <c r="G49" s="15">
        <f>'TIE-OUT'!M49+RECLASS!K49</f>
        <v>0</v>
      </c>
      <c r="H49" s="118">
        <f>+Actuals!E65</f>
        <v>-175120</v>
      </c>
      <c r="I49" s="119">
        <f>+Actuals!F65</f>
        <v>-411006.64</v>
      </c>
      <c r="J49" s="118">
        <f>+Actuals!G65</f>
        <v>285594</v>
      </c>
      <c r="K49" s="119">
        <f>+Actuals!H65</f>
        <v>670289.11800000002</v>
      </c>
      <c r="L49" s="118">
        <f>+Actuals!I65</f>
        <v>-16964</v>
      </c>
      <c r="M49" s="119">
        <f>+Actuals!J65</f>
        <v>-39814.508000000002</v>
      </c>
      <c r="N49" s="118">
        <f>+Actuals!K65</f>
        <v>46595</v>
      </c>
      <c r="O49" s="119">
        <f>+Actuals!L65</f>
        <v>109358.465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-55521</v>
      </c>
      <c r="E51" s="15">
        <f>G51+I51+K51+M51+O51</f>
        <v>-117203.71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+Actuals!G66-6700</f>
        <v>-48831</v>
      </c>
      <c r="K51" s="119">
        <f>+Actuals!H66-15945</f>
        <v>-117226.61</v>
      </c>
      <c r="L51" s="118">
        <f>+Actuals!I66-6700</f>
        <v>-48821</v>
      </c>
      <c r="M51" s="119">
        <f>+Actuals!J66-15946</f>
        <v>-117204.71</v>
      </c>
      <c r="N51" s="118">
        <f>+Actuals!K66</f>
        <v>42131</v>
      </c>
      <c r="O51" s="119">
        <f>+Actuals!L66+15946</f>
        <v>117227.61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-796718</v>
      </c>
      <c r="E54" s="15">
        <f>G54+I54+K54+M54+O54</f>
        <v>-23901.54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-796718</v>
      </c>
      <c r="O54" s="119">
        <f>+Actuals!L67</f>
        <v>-23901.54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-796718</v>
      </c>
      <c r="E56" s="23">
        <f t="shared" si="16"/>
        <v>-23901.54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-796718</v>
      </c>
      <c r="O56" s="39">
        <f>SUM(O54:O55)</f>
        <v>-23901.54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2838395</v>
      </c>
      <c r="E59" s="15">
        <f>G59+I59+K59+M59+O59</f>
        <v>-131171.89000000001</v>
      </c>
      <c r="F59" s="84">
        <f>'TIE-OUT'!L59+RECLASS!J59</f>
        <v>0</v>
      </c>
      <c r="G59" s="85">
        <f>'TIE-OUT'!M59+RECLASS!K59</f>
        <v>-170000</v>
      </c>
      <c r="H59" s="118">
        <f>+Actuals!E69</f>
        <v>2702272</v>
      </c>
      <c r="I59" s="119">
        <f>+Actuals!F69</f>
        <v>38805.339999999997</v>
      </c>
      <c r="J59" s="118">
        <f>+Actuals!G69-1</f>
        <v>447564</v>
      </c>
      <c r="K59" s="119">
        <f>+Actuals!H69</f>
        <v>22.77</v>
      </c>
      <c r="L59" s="118">
        <f>+Actuals!I69</f>
        <v>-311441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954</v>
      </c>
      <c r="E60" s="15">
        <f>G60+I60+K60+M60+O60</f>
        <v>170000</v>
      </c>
      <c r="F60" s="97">
        <f>'TIE-OUT'!L60+RECLASS!J60</f>
        <v>0</v>
      </c>
      <c r="G60" s="98">
        <f>'TIE-OUT'!M60+RECLASS!K60</f>
        <v>0</v>
      </c>
      <c r="H60" s="118">
        <f>+Actuals!E70+954</f>
        <v>954</v>
      </c>
      <c r="I60" s="119">
        <f>+Actuals!F70+170000</f>
        <v>170000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2839349</v>
      </c>
      <c r="E61" s="23">
        <f t="shared" si="18"/>
        <v>38828.109999999986</v>
      </c>
      <c r="F61" s="59">
        <f t="shared" si="18"/>
        <v>0</v>
      </c>
      <c r="G61" s="23">
        <f t="shared" si="18"/>
        <v>-170000</v>
      </c>
      <c r="H61" s="61">
        <f t="shared" si="18"/>
        <v>2703226</v>
      </c>
      <c r="I61" s="39">
        <f t="shared" si="18"/>
        <v>208805.34</v>
      </c>
      <c r="J61" s="61">
        <f t="shared" ref="J61:AO61" si="19">SUM(J59:J60)</f>
        <v>447564</v>
      </c>
      <c r="K61" s="39">
        <f t="shared" si="19"/>
        <v>22.77</v>
      </c>
      <c r="L61" s="61">
        <f t="shared" si="19"/>
        <v>-311441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-24119525</v>
      </c>
      <c r="E64" s="15">
        <f>G64+I64+K64+M64+O64</f>
        <v>-2911525.15</v>
      </c>
      <c r="F64" s="84">
        <f>'TIE-OUT'!L64+RECLASS!J64</f>
        <v>0</v>
      </c>
      <c r="G64" s="85">
        <f>'TIE-OUT'!M64+RECLASS!K64</f>
        <v>0</v>
      </c>
      <c r="H64" s="118">
        <f>+Actuals!E71</f>
        <v>-16988349</v>
      </c>
      <c r="I64" s="119">
        <f>+Actuals!F71</f>
        <v>-2723749.53</v>
      </c>
      <c r="J64" s="118">
        <f>+Actuals!G71-20867</f>
        <v>-7410016</v>
      </c>
      <c r="K64" s="119">
        <f>+Actuals!H71</f>
        <v>-215659.62</v>
      </c>
      <c r="L64" s="118">
        <f>+Actuals!I71</f>
        <v>278840</v>
      </c>
      <c r="M64" s="119">
        <f>+Actuals!J71</f>
        <v>27884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24119525</v>
      </c>
      <c r="E65" s="15">
        <f>G65+I65+K65+M65+O65</f>
        <v>2911525.15</v>
      </c>
      <c r="F65" s="97">
        <f>'TIE-OUT'!L65+RECLASS!J65</f>
        <v>0</v>
      </c>
      <c r="G65" s="98">
        <f>'TIE-OUT'!M65+RECLASS!K65</f>
        <v>0</v>
      </c>
      <c r="H65" s="118">
        <f>+Actuals!E72+771103</f>
        <v>16987318</v>
      </c>
      <c r="I65" s="119">
        <f>+Actuals!F72+640000</f>
        <v>2724036.52</v>
      </c>
      <c r="J65" s="118">
        <f>+Actuals!G72</f>
        <v>7411047</v>
      </c>
      <c r="K65" s="119">
        <f>+Actuals!H72</f>
        <v>215372.62</v>
      </c>
      <c r="L65" s="118">
        <f>+Actuals!I72</f>
        <v>-278840</v>
      </c>
      <c r="M65" s="119">
        <f>+Actuals!J72</f>
        <v>-27883.99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-1031</v>
      </c>
      <c r="I66" s="39">
        <f t="shared" si="20"/>
        <v>286.99000000022352</v>
      </c>
      <c r="J66" s="61">
        <f t="shared" ref="J66:AO66" si="21">SUM(J64:J65)</f>
        <v>1031</v>
      </c>
      <c r="K66" s="39">
        <f t="shared" si="21"/>
        <v>-287</v>
      </c>
      <c r="L66" s="61">
        <f t="shared" si="21"/>
        <v>0</v>
      </c>
      <c r="M66" s="39">
        <f t="shared" si="21"/>
        <v>9.9999999983992893E-3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1288484.8459999976</v>
      </c>
      <c r="F82" s="91">
        <f>F16+F24+F29+F36+F43+F45+F47+F49</f>
        <v>0</v>
      </c>
      <c r="G82" s="92">
        <f>SUM(G72:G81)+G16+G24+G29+G36+G43+G45+G47+G49+G51+G56+G61+G66</f>
        <v>-158335.73000000001</v>
      </c>
      <c r="H82" s="91">
        <f>H16+H24+H29+H36+H43+H45+H47+H49</f>
        <v>0</v>
      </c>
      <c r="I82" s="92">
        <f>SUM(I72:I81)+I16+I24+I29+I36+I43+I45+I47+I49+I51+I56+I61+I66</f>
        <v>740264.45999999973</v>
      </c>
      <c r="J82" s="91">
        <f>J16+J24+J29+J36+J43+J45+J47+J49</f>
        <v>0</v>
      </c>
      <c r="K82" s="110">
        <f>SUM(K72:K81)+K16+K24+K29+K36+K43+K45+K47+K49+K51+K56+K61+K66</f>
        <v>716650.94199999922</v>
      </c>
      <c r="L82" s="91">
        <f>L16+L24+L29+L36+L43+L45+L47+L49</f>
        <v>0</v>
      </c>
      <c r="M82" s="92">
        <f>SUM(M72:M81)+M16+M24+M29+M36+M43+M45+M47+M49+M51+M56+M61+M66</f>
        <v>-132761.49100000013</v>
      </c>
      <c r="N82" s="91">
        <f>N16+N24+N29+N36+N43+N45+N47+N49</f>
        <v>0</v>
      </c>
      <c r="O82" s="92">
        <f>SUM(O72:O81)+O16+O24+O29+O36+O43+O45+O47+O49+O51+O56+O61+O66</f>
        <v>122666.66500000001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H21" activePane="bottomRight" state="frozen"/>
      <selection activeCell="N31" sqref="N31"/>
      <selection pane="topRight" activeCell="N31" sqref="N31"/>
      <selection pane="bottomLeft" activeCell="N31" sqref="N31"/>
      <selection pane="bottomRight" activeCell="O51" sqref="O5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201697101</v>
      </c>
      <c r="E11" s="38">
        <f>SUM(G11,I11,K11,M11,O11,Q11,S11,U11,W11,Y11,AA11,AC11,AE11)</f>
        <v>508088969.34999996</v>
      </c>
      <c r="F11" s="60">
        <f>('TIE-OUT'!L11+'TIE-OUT'!J11)+(RECLASS!J11+RECLASS!H11)</f>
        <v>0</v>
      </c>
      <c r="G11" s="38">
        <f>('TIE-OUT'!M11+'TIE-OUT'!K11)+(RECLASS!K11+RECLASS!I11)</f>
        <v>5844055</v>
      </c>
      <c r="H11" s="60">
        <f>'EAST-EGM-GL'!H11+'EAST-LRC-GL'!H11</f>
        <v>198439347</v>
      </c>
      <c r="I11" s="38">
        <f>'EAST-EGM-GL'!I11+'EAST-LRC-GL'!I11</f>
        <v>488817983.10999995</v>
      </c>
      <c r="J11" s="60">
        <f>'EAST-EGM-GL'!J11+'EAST-LRC-GL'!J11</f>
        <v>7199170</v>
      </c>
      <c r="K11" s="38">
        <f>'EAST-EGM-GL'!K11+'EAST-LRC-GL'!K11</f>
        <v>21662661.390000001</v>
      </c>
      <c r="L11" s="60">
        <f>'EAST-EGM-GL'!L11+'EAST-LRC-GL'!L11</f>
        <v>-5500435</v>
      </c>
      <c r="M11" s="38">
        <f>'EAST-EGM-GL'!M11+'EAST-LRC-GL'!M11</f>
        <v>-12203575.140000001</v>
      </c>
      <c r="N11" s="60">
        <f>'EAST-EGM-GL'!N11+'EAST-LRC-GL'!N11</f>
        <v>1559019</v>
      </c>
      <c r="O11" s="38">
        <f>'EAST-EGM-GL'!O11+'EAST-LRC-GL'!O11</f>
        <v>3967844.9899999998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-3868579.8</v>
      </c>
      <c r="F12" s="60">
        <f>('TIE-OUT'!L12+'TIE-OUT'!J12)+(RECLASS!J12+RECLASS!H12)</f>
        <v>0</v>
      </c>
      <c r="G12" s="38">
        <f>('TIE-OUT'!M12+'TIE-OUT'!K12)+(RECLASS!K12+RECLASS!I12)</f>
        <v>-3872175.8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3596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20295362</v>
      </c>
      <c r="E13" s="38">
        <f t="shared" si="0"/>
        <v>51966198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71628606</v>
      </c>
      <c r="I13" s="38">
        <f>'EAST-EGM-GL'!I13+'EAST-LRC-GL'!I13</f>
        <v>185895133</v>
      </c>
      <c r="J13" s="60">
        <f>'EAST-EGM-GL'!J13+'EAST-LRC-GL'!J13</f>
        <v>-51333347</v>
      </c>
      <c r="K13" s="38">
        <f>'EAST-EGM-GL'!K13+'EAST-LRC-GL'!K13</f>
        <v>-133933759</v>
      </c>
      <c r="L13" s="60">
        <f>'EAST-EGM-GL'!L13+'EAST-LRC-GL'!L13</f>
        <v>4403</v>
      </c>
      <c r="M13" s="38">
        <f>'EAST-EGM-GL'!M13+'EAST-LRC-GL'!M13</f>
        <v>14283</v>
      </c>
      <c r="N13" s="60">
        <f>'EAST-EGM-GL'!N13+'EAST-LRC-GL'!N13</f>
        <v>-4300</v>
      </c>
      <c r="O13" s="38">
        <f>'EAST-EGM-GL'!O13+'EAST-LRC-GL'!O13</f>
        <v>-9459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5733061.2600000007</v>
      </c>
      <c r="F15" s="81">
        <f>('TIE-OUT'!L15+'TIE-OUT'!J15)+(RECLASS!J15+RECLASS!H15)</f>
        <v>0</v>
      </c>
      <c r="G15" s="82">
        <f>('TIE-OUT'!M15+'TIE-OUT'!K15)+(RECLASS!K15+RECLASS!I15)</f>
        <v>-11326633</v>
      </c>
      <c r="H15" s="60">
        <f>'EAST-EGM-GL'!H15+'EAST-LRC-GL'!H15</f>
        <v>0</v>
      </c>
      <c r="I15" s="38">
        <f>'EAST-EGM-GL'!I15+'EAST-LRC-GL'!I15</f>
        <v>14932935.800000001</v>
      </c>
      <c r="J15" s="60">
        <f>'EAST-EGM-GL'!J15+'EAST-LRC-GL'!J15</f>
        <v>0</v>
      </c>
      <c r="K15" s="38">
        <f>'EAST-EGM-GL'!K15+'EAST-LRC-GL'!K15</f>
        <v>254808.88</v>
      </c>
      <c r="L15" s="60">
        <f>'EAST-EGM-GL'!L15+'EAST-LRC-GL'!L15</f>
        <v>0</v>
      </c>
      <c r="M15" s="38">
        <f>'EAST-EGM-GL'!M15+'EAST-LRC-GL'!M15</f>
        <v>1901257.24</v>
      </c>
      <c r="N15" s="60">
        <f>'EAST-EGM-GL'!N15+'EAST-LRC-GL'!N15</f>
        <v>0</v>
      </c>
      <c r="O15" s="38">
        <f>'EAST-EGM-GL'!O15+'EAST-LRC-GL'!O15</f>
        <v>-29307.66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221992463</v>
      </c>
      <c r="E16" s="39">
        <f t="shared" si="1"/>
        <v>561919648.80999994</v>
      </c>
      <c r="F16" s="61">
        <f t="shared" si="1"/>
        <v>0</v>
      </c>
      <c r="G16" s="39">
        <f t="shared" si="1"/>
        <v>-9354753.8000000007</v>
      </c>
      <c r="H16" s="61">
        <f t="shared" si="1"/>
        <v>270067953</v>
      </c>
      <c r="I16" s="39">
        <f t="shared" si="1"/>
        <v>689646051.90999985</v>
      </c>
      <c r="J16" s="61">
        <f t="shared" si="1"/>
        <v>-44134177</v>
      </c>
      <c r="K16" s="39">
        <f t="shared" si="1"/>
        <v>-112012692.73</v>
      </c>
      <c r="L16" s="61">
        <f t="shared" si="1"/>
        <v>-5496032</v>
      </c>
      <c r="M16" s="39">
        <f t="shared" si="1"/>
        <v>-10288034.9</v>
      </c>
      <c r="N16" s="61">
        <f>SUM(N11:N15)</f>
        <v>1554719</v>
      </c>
      <c r="O16" s="39">
        <f>SUM(O11:O15)</f>
        <v>3929078.3299999996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-190267092</v>
      </c>
      <c r="E19" s="38">
        <f t="shared" si="2"/>
        <v>-450089399.12</v>
      </c>
      <c r="F19" s="64">
        <f>('TIE-OUT'!L19+'TIE-OUT'!J19)+(RECLASS!J19+RECLASS!H19)</f>
        <v>0</v>
      </c>
      <c r="G19" s="68">
        <f>('TIE-OUT'!M19+'TIE-OUT'!K19)+(RECLASS!K19+RECLASS!I19)</f>
        <v>2539443</v>
      </c>
      <c r="H19" s="60">
        <f>'EAST-EGM-GL'!H19+'EAST-LRC-GL'!H19</f>
        <v>-190981052</v>
      </c>
      <c r="I19" s="38">
        <f>'EAST-EGM-GL'!I19+'EAST-LRC-GL'!I19</f>
        <v>-458895870.02000004</v>
      </c>
      <c r="J19" s="60">
        <f>'EAST-EGM-GL'!J19+'EAST-LRC-GL'!J19</f>
        <v>85871</v>
      </c>
      <c r="K19" s="38">
        <f>'EAST-EGM-GL'!K19+'EAST-LRC-GL'!K19</f>
        <v>-280704.13999999966</v>
      </c>
      <c r="L19" s="60">
        <f>'EAST-EGM-GL'!L19+'EAST-LRC-GL'!L19</f>
        <v>1907396</v>
      </c>
      <c r="M19" s="38">
        <f>'EAST-EGM-GL'!M19+'EAST-LRC-GL'!M19</f>
        <v>3055995.91</v>
      </c>
      <c r="N19" s="60">
        <f>'EAST-EGM-GL'!N19+'EAST-LRC-GL'!N19</f>
        <v>-1279307</v>
      </c>
      <c r="O19" s="38">
        <f>'EAST-EGM-GL'!O19+'EAST-LRC-GL'!O19</f>
        <v>3491736.1300000004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-9201555.1899999995</v>
      </c>
      <c r="F20" s="60">
        <f>('TIE-OUT'!L20+'TIE-OUT'!J20)+(RECLASS!J20+RECLASS!H20)</f>
        <v>0</v>
      </c>
      <c r="G20" s="38">
        <f>('TIE-OUT'!M20+'TIE-OUT'!K20)+(RECLASS!K20+RECLASS!I20)</f>
        <v>-9176533.7799999993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-25021.41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-19756732</v>
      </c>
      <c r="E21" s="38">
        <f t="shared" si="2"/>
        <v>-54147992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-71003668</v>
      </c>
      <c r="I21" s="38">
        <f>'EAST-EGM-GL'!I21+'EAST-LRC-GL'!I21</f>
        <v>-187641099</v>
      </c>
      <c r="J21" s="60">
        <f>'EAST-EGM-GL'!J21+'EAST-LRC-GL'!J21</f>
        <v>51204961</v>
      </c>
      <c r="K21" s="38">
        <f>'EAST-EGM-GL'!K21+'EAST-LRC-GL'!K21</f>
        <v>133403760</v>
      </c>
      <c r="L21" s="60">
        <f>'EAST-EGM-GL'!L21+'EAST-LRC-GL'!L21</f>
        <v>39502</v>
      </c>
      <c r="M21" s="38">
        <f>'EAST-EGM-GL'!M21+'EAST-LRC-GL'!M21</f>
        <v>86114</v>
      </c>
      <c r="N21" s="60">
        <f>'EAST-EGM-GL'!N21+'EAST-LRC-GL'!N21</f>
        <v>2473</v>
      </c>
      <c r="O21" s="38">
        <f>'EAST-EGM-GL'!O21+'EAST-LRC-GL'!O21</f>
        <v>3233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1412225</v>
      </c>
      <c r="E23" s="38">
        <f t="shared" si="2"/>
        <v>3227241.176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1597692</v>
      </c>
      <c r="I23" s="38">
        <f>'EAST-EGM-GL'!I23+'EAST-LRC-GL'!I23</f>
        <v>3749783.1239999998</v>
      </c>
      <c r="J23" s="60">
        <f>'EAST-EGM-GL'!J23+'EAST-LRC-GL'!J23</f>
        <v>122849</v>
      </c>
      <c r="K23" s="38">
        <f>'EAST-EGM-GL'!K23+'EAST-LRC-GL'!K23</f>
        <v>290726.75599999999</v>
      </c>
      <c r="L23" s="60">
        <f>'EAST-EGM-GL'!L23+'EAST-LRC-GL'!L23</f>
        <v>13796</v>
      </c>
      <c r="M23" s="38">
        <f>'EAST-EGM-GL'!M23+'EAST-LRC-GL'!M23</f>
        <v>34779.935000000012</v>
      </c>
      <c r="N23" s="60">
        <f>'EAST-EGM-GL'!N23+'EAST-LRC-GL'!N23</f>
        <v>-322112</v>
      </c>
      <c r="O23" s="38">
        <f>'EAST-EGM-GL'!O23+'EAST-LRC-GL'!O23</f>
        <v>-848048.63899999997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-208611599</v>
      </c>
      <c r="E24" s="39">
        <f t="shared" si="3"/>
        <v>-510211705.134</v>
      </c>
      <c r="F24" s="61">
        <f t="shared" si="3"/>
        <v>0</v>
      </c>
      <c r="G24" s="39">
        <f t="shared" si="3"/>
        <v>-6637090.7799999993</v>
      </c>
      <c r="H24" s="61">
        <f t="shared" si="3"/>
        <v>-260387028</v>
      </c>
      <c r="I24" s="39">
        <f t="shared" si="3"/>
        <v>-642787185.89600003</v>
      </c>
      <c r="J24" s="61">
        <f t="shared" si="3"/>
        <v>51413681</v>
      </c>
      <c r="K24" s="39">
        <f t="shared" si="3"/>
        <v>133413782.616</v>
      </c>
      <c r="L24" s="61">
        <f t="shared" si="3"/>
        <v>1960694</v>
      </c>
      <c r="M24" s="39">
        <f t="shared" si="3"/>
        <v>3151868.4350000001</v>
      </c>
      <c r="N24" s="61">
        <f>SUM(N19:N23)</f>
        <v>-1598946</v>
      </c>
      <c r="O24" s="39">
        <f>SUM(O19:O23)</f>
        <v>2646920.4910000004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18070482</v>
      </c>
      <c r="E27" s="38">
        <f>SUM(G27,I27,K27,M27,O27,Q27,S27,U27,W27,Y27,AA27,AC27,AE27)</f>
        <v>43607290.700000003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19076248</v>
      </c>
      <c r="I27" s="38">
        <f>'EAST-EGM-GL'!I27+'EAST-LRC-GL'!I27</f>
        <v>46036743.340000004</v>
      </c>
      <c r="J27" s="60">
        <f>'EAST-EGM-GL'!J27+'EAST-LRC-GL'!J27</f>
        <v>-479710</v>
      </c>
      <c r="K27" s="38">
        <f>'EAST-EGM-GL'!K27+'EAST-LRC-GL'!K27</f>
        <v>-1167563.5</v>
      </c>
      <c r="L27" s="60">
        <f>'EAST-EGM-GL'!L27+'EAST-LRC-GL'!L27</f>
        <v>-539666</v>
      </c>
      <c r="M27" s="38">
        <f>'EAST-EGM-GL'!M27+'EAST-LRC-GL'!M27</f>
        <v>-1317368.33</v>
      </c>
      <c r="N27" s="60">
        <f>'EAST-EGM-GL'!N27+'EAST-LRC-GL'!N27</f>
        <v>13610</v>
      </c>
      <c r="O27" s="38">
        <f>'EAST-EGM-GL'!O27+'EAST-LRC-GL'!O27</f>
        <v>55479.19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-19442044</v>
      </c>
      <c r="E28" s="38">
        <f>SUM(G28,I28,K28,M28,O28,Q28,S28,U28,W28,Y28,AA28,AC28,AE28)</f>
        <v>-47087580.920000009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-20245583</v>
      </c>
      <c r="I28" s="38">
        <f>'EAST-EGM-GL'!I28+'EAST-LRC-GL'!I28</f>
        <v>-49103068.719999999</v>
      </c>
      <c r="J28" s="60">
        <f>'EAST-EGM-GL'!J28+'EAST-LRC-GL'!J28</f>
        <v>240720</v>
      </c>
      <c r="K28" s="38">
        <f>'EAST-EGM-GL'!K28+'EAST-LRC-GL'!K28</f>
        <v>638284.23</v>
      </c>
      <c r="L28" s="60">
        <f>'EAST-EGM-GL'!L28+'EAST-LRC-GL'!L28</f>
        <v>534026</v>
      </c>
      <c r="M28" s="38">
        <f>'EAST-EGM-GL'!M28+'EAST-LRC-GL'!M28</f>
        <v>1323684.5899999999</v>
      </c>
      <c r="N28" s="60">
        <f>'EAST-EGM-GL'!N28+'EAST-LRC-GL'!N28</f>
        <v>28793</v>
      </c>
      <c r="O28" s="38">
        <f>'EAST-EGM-GL'!O28+'EAST-LRC-GL'!O28</f>
        <v>53518.98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-1371562</v>
      </c>
      <c r="E29" s="39">
        <f t="shared" si="4"/>
        <v>-3480290.2200000063</v>
      </c>
      <c r="F29" s="61">
        <f t="shared" si="4"/>
        <v>0</v>
      </c>
      <c r="G29" s="39">
        <f t="shared" si="4"/>
        <v>0</v>
      </c>
      <c r="H29" s="61">
        <f t="shared" si="4"/>
        <v>-1169335</v>
      </c>
      <c r="I29" s="39">
        <f t="shared" si="4"/>
        <v>-3066325.3799999952</v>
      </c>
      <c r="J29" s="61">
        <f t="shared" si="4"/>
        <v>-238990</v>
      </c>
      <c r="K29" s="39">
        <f t="shared" si="4"/>
        <v>-529279.27</v>
      </c>
      <c r="L29" s="61">
        <f t="shared" si="4"/>
        <v>-5640</v>
      </c>
      <c r="M29" s="39">
        <f t="shared" si="4"/>
        <v>6316.2599999997765</v>
      </c>
      <c r="N29" s="61">
        <f>SUM(N27:N28)</f>
        <v>42403</v>
      </c>
      <c r="O29" s="39">
        <f>SUM(O27:O28)</f>
        <v>108998.17000000001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-1860943</v>
      </c>
      <c r="E32" s="38">
        <f t="shared" si="5"/>
        <v>-4367633.216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-947426</v>
      </c>
      <c r="I32" s="38">
        <f>'EAST-EGM-GL'!I32+'EAST-LRC-GL'!I32</f>
        <v>-2223608.8220000002</v>
      </c>
      <c r="J32" s="60">
        <f>'EAST-EGM-GL'!J32+'EAST-LRC-GL'!J32</f>
        <v>1397357</v>
      </c>
      <c r="K32" s="38">
        <f>'EAST-EGM-GL'!K32+'EAST-LRC-GL'!K32</f>
        <v>3279596.8819999998</v>
      </c>
      <c r="L32" s="60">
        <f>'EAST-EGM-GL'!L32+'EAST-LRC-GL'!L32</f>
        <v>-3939041</v>
      </c>
      <c r="M32" s="38">
        <f>'EAST-EGM-GL'!M32+'EAST-LRC-GL'!M32</f>
        <v>-9244929.227</v>
      </c>
      <c r="N32" s="60">
        <f>'EAST-EGM-GL'!N32+'EAST-LRC-GL'!N32</f>
        <v>1628167</v>
      </c>
      <c r="O32" s="38">
        <f>'EAST-EGM-GL'!O32+'EAST-LRC-GL'!O32</f>
        <v>3821307.9509999999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-3106022</v>
      </c>
      <c r="E33" s="38">
        <f t="shared" si="5"/>
        <v>-2207237.5699999998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-554147</v>
      </c>
      <c r="K33" s="38">
        <f>'EAST-EGM-GL'!K33+'EAST-LRC-GL'!K33</f>
        <v>-1606345.77</v>
      </c>
      <c r="L33" s="60">
        <f>'EAST-EGM-GL'!L33+'EAST-LRC-GL'!L33</f>
        <v>-2315616</v>
      </c>
      <c r="M33" s="38">
        <f>'EAST-EGM-GL'!M33+'EAST-LRC-GL'!M33</f>
        <v>-5865.47</v>
      </c>
      <c r="N33" s="60">
        <f>'EAST-EGM-GL'!N33+'EAST-LRC-GL'!N33</f>
        <v>-236259</v>
      </c>
      <c r="O33" s="38">
        <f>'EAST-EGM-GL'!O33+'EAST-LRC-GL'!O33</f>
        <v>-595026.32999999996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2533309</v>
      </c>
      <c r="E34" s="38">
        <f t="shared" si="5"/>
        <v>1039877.84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45566</v>
      </c>
      <c r="K34" s="38">
        <f>'EAST-EGM-GL'!K34+'EAST-LRC-GL'!K34</f>
        <v>159040.41</v>
      </c>
      <c r="L34" s="60">
        <f>'EAST-EGM-GL'!L34+'EAST-LRC-GL'!L34</f>
        <v>2392518</v>
      </c>
      <c r="M34" s="38">
        <f>'EAST-EGM-GL'!M34+'EAST-LRC-GL'!M34</f>
        <v>151691.6</v>
      </c>
      <c r="N34" s="60">
        <f>'EAST-EGM-GL'!N34+'EAST-LRC-GL'!N34</f>
        <v>95225</v>
      </c>
      <c r="O34" s="38">
        <f>'EAST-EGM-GL'!O34+'EAST-LRC-GL'!O34</f>
        <v>729145.83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-1460000</v>
      </c>
      <c r="E35" s="38">
        <f t="shared" si="5"/>
        <v>-4392333.01</v>
      </c>
      <c r="F35" s="81">
        <f>('TIE-OUT'!L35+'TIE-OUT'!J35)+(RECLASS!J35+RECLASS!H35)</f>
        <v>-730000</v>
      </c>
      <c r="G35" s="82">
        <f>('TIE-OUT'!M35+'TIE-OUT'!K35)+(RECLASS!K35+RECLASS!I35)</f>
        <v>-4392333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-730000</v>
      </c>
      <c r="M35" s="38">
        <f>'EAST-EGM-GL'!M35+'EAST-LRC-GL'!M35</f>
        <v>-0.01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-3893656</v>
      </c>
      <c r="E36" s="39">
        <f t="shared" si="6"/>
        <v>-9927325.9560000002</v>
      </c>
      <c r="F36" s="61">
        <f t="shared" si="6"/>
        <v>-730000</v>
      </c>
      <c r="G36" s="39">
        <f t="shared" si="6"/>
        <v>-4392333</v>
      </c>
      <c r="H36" s="61">
        <f t="shared" si="6"/>
        <v>-947426</v>
      </c>
      <c r="I36" s="39">
        <f t="shared" si="6"/>
        <v>-2223608.8220000002</v>
      </c>
      <c r="J36" s="61">
        <f t="shared" si="6"/>
        <v>888776</v>
      </c>
      <c r="K36" s="39">
        <f t="shared" si="6"/>
        <v>1832291.5219999996</v>
      </c>
      <c r="L36" s="61">
        <f t="shared" si="6"/>
        <v>-4592139</v>
      </c>
      <c r="M36" s="39">
        <f t="shared" si="6"/>
        <v>-9099103.1070000008</v>
      </c>
      <c r="N36" s="61">
        <f>SUM(N32:N35)</f>
        <v>1487133</v>
      </c>
      <c r="O36" s="39">
        <f>SUM(O32:O35)</f>
        <v>3955427.4509999999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750232</v>
      </c>
      <c r="E39" s="38">
        <f t="shared" si="7"/>
        <v>1519293.5199999998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4</v>
      </c>
      <c r="I39" s="38">
        <f>'EAST-EGM-GL'!I39+'EAST-LRC-GL'!I39</f>
        <v>9.39</v>
      </c>
      <c r="J39" s="60">
        <f>'EAST-EGM-GL'!J39+'EAST-LRC-GL'!J39</f>
        <v>770309</v>
      </c>
      <c r="K39" s="38">
        <f>'EAST-EGM-GL'!K39+'EAST-LRC-GL'!K39</f>
        <v>1566414.25</v>
      </c>
      <c r="L39" s="60">
        <f>'EAST-EGM-GL'!L39+'EAST-LRC-GL'!L39</f>
        <v>-20081</v>
      </c>
      <c r="M39" s="38">
        <f>'EAST-EGM-GL'!M39+'EAST-LRC-GL'!M39</f>
        <v>-47130.12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-6619348</v>
      </c>
      <c r="E40" s="38">
        <f t="shared" si="7"/>
        <v>-14647651.74</v>
      </c>
      <c r="F40" s="60">
        <f>('TIE-OUT'!L40+'TIE-OUT'!J40)+(RECLASS!J40+RECLASS!H40)</f>
        <v>730000</v>
      </c>
      <c r="G40" s="38">
        <f>('TIE-OUT'!M40+'TIE-OUT'!K40)+(RECLASS!K40+RECLASS!I40)</f>
        <v>1854200</v>
      </c>
      <c r="H40" s="60">
        <f>'EAST-EGM-GL'!H40+'EAST-LRC-GL'!H40</f>
        <v>-3453689</v>
      </c>
      <c r="I40" s="38">
        <f>'EAST-EGM-GL'!I40+'EAST-LRC-GL'!I40</f>
        <v>-8713594.5299999993</v>
      </c>
      <c r="J40" s="60">
        <f>'EAST-EGM-GL'!J40+'EAST-LRC-GL'!J40</f>
        <v>-3118320</v>
      </c>
      <c r="K40" s="38">
        <f>'EAST-EGM-GL'!K40+'EAST-LRC-GL'!K40</f>
        <v>-6271264.9199999999</v>
      </c>
      <c r="L40" s="60">
        <f>'EAST-EGM-GL'!L40+'EAST-LRC-GL'!L40</f>
        <v>-473240</v>
      </c>
      <c r="M40" s="38">
        <f>'EAST-EGM-GL'!M40+'EAST-LRC-GL'!M40</f>
        <v>-761624.74</v>
      </c>
      <c r="N40" s="60">
        <f>'EAST-EGM-GL'!N40+'EAST-LRC-GL'!N40</f>
        <v>-304099</v>
      </c>
      <c r="O40" s="38">
        <f>'EAST-EGM-GL'!O40+'EAST-LRC-GL'!O40</f>
        <v>-755367.55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-6619348</v>
      </c>
      <c r="E42" s="39">
        <f t="shared" si="8"/>
        <v>-14647651.74</v>
      </c>
      <c r="F42" s="61">
        <f t="shared" si="8"/>
        <v>730000</v>
      </c>
      <c r="G42" s="39">
        <f t="shared" si="8"/>
        <v>1854200</v>
      </c>
      <c r="H42" s="61">
        <f t="shared" si="8"/>
        <v>-3453689</v>
      </c>
      <c r="I42" s="39">
        <f t="shared" si="8"/>
        <v>-8713594.5299999993</v>
      </c>
      <c r="J42" s="61">
        <f t="shared" si="8"/>
        <v>-3118320</v>
      </c>
      <c r="K42" s="39">
        <f t="shared" si="8"/>
        <v>-6271264.9199999999</v>
      </c>
      <c r="L42" s="61">
        <f t="shared" si="8"/>
        <v>-473240</v>
      </c>
      <c r="M42" s="39">
        <f t="shared" si="8"/>
        <v>-761624.74</v>
      </c>
      <c r="N42" s="61">
        <f>SUM(N40:N41)</f>
        <v>-304099</v>
      </c>
      <c r="O42" s="39">
        <f>SUM(O40:O41)</f>
        <v>-755367.55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-5869116</v>
      </c>
      <c r="E43" s="39">
        <f t="shared" si="9"/>
        <v>-13128358.220000001</v>
      </c>
      <c r="F43" s="61">
        <f t="shared" si="9"/>
        <v>730000</v>
      </c>
      <c r="G43" s="39">
        <f t="shared" si="9"/>
        <v>1854200</v>
      </c>
      <c r="H43" s="61">
        <f t="shared" si="9"/>
        <v>-3453685</v>
      </c>
      <c r="I43" s="39">
        <f t="shared" si="9"/>
        <v>-8713585.1399999987</v>
      </c>
      <c r="J43" s="61">
        <f t="shared" si="9"/>
        <v>-2348011</v>
      </c>
      <c r="K43" s="39">
        <f t="shared" si="9"/>
        <v>-4704850.67</v>
      </c>
      <c r="L43" s="61">
        <f t="shared" si="9"/>
        <v>-493321</v>
      </c>
      <c r="M43" s="39">
        <f t="shared" si="9"/>
        <v>-808754.86</v>
      </c>
      <c r="N43" s="61">
        <f>N42+N39</f>
        <v>-304099</v>
      </c>
      <c r="O43" s="39">
        <f>O42+O39</f>
        <v>-755367.55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4326</v>
      </c>
      <c r="E45" s="38">
        <f>SUM(G45,I45,K45,M45,O45,Q45,S45,U45,W45,Y45,AA45,AC45,AE45)</f>
        <v>17.010000000000002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4326</v>
      </c>
      <c r="K45" s="38">
        <f>'EAST-EGM-GL'!K45+'EAST-LRC-GL'!K45</f>
        <v>17.010000000000002</v>
      </c>
      <c r="L45" s="60">
        <f>'EAST-EGM-GL'!L45+'EAST-LRC-GL'!L45</f>
        <v>4326</v>
      </c>
      <c r="M45" s="38">
        <f>'EAST-EGM-GL'!M45+'EAST-LRC-GL'!M45</f>
        <v>17.010000000000002</v>
      </c>
      <c r="N45" s="60">
        <f>'EAST-EGM-GL'!N45+'EAST-LRC-GL'!N45</f>
        <v>-4326</v>
      </c>
      <c r="O45" s="38">
        <f>'EAST-EGM-GL'!O45+'EAST-LRC-GL'!O45</f>
        <v>-17.010000000000002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-2250856</v>
      </c>
      <c r="E49" s="38">
        <f>SUM(G49,I49,K49,M49,O49,Q49,S49,U49,W49,Y49,AA49,AC49,AE49)</f>
        <v>-5282759.0319999978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-4110479</v>
      </c>
      <c r="I49" s="38">
        <f>'EAST-EGM-GL'!I49+'EAST-LRC-GL'!I49</f>
        <v>-9647294.2130000014</v>
      </c>
      <c r="J49" s="60">
        <f>'EAST-EGM-GL'!J49+'EAST-LRC-GL'!J49</f>
        <v>-5585605</v>
      </c>
      <c r="K49" s="38">
        <f>'EAST-EGM-GL'!K49+'EAST-LRC-GL'!K49</f>
        <v>-13109414.934999997</v>
      </c>
      <c r="L49" s="60">
        <f>'EAST-EGM-GL'!L49+'EAST-LRC-GL'!L49</f>
        <v>8622112</v>
      </c>
      <c r="M49" s="38">
        <f>'EAST-EGM-GL'!M49+'EAST-LRC-GL'!M49</f>
        <v>20236096.864</v>
      </c>
      <c r="N49" s="60">
        <f>'EAST-EGM-GL'!N49+'EAST-LRC-GL'!N49</f>
        <v>-1176884</v>
      </c>
      <c r="O49" s="38">
        <f>'EAST-EGM-GL'!O49+'EAST-LRC-GL'!O49</f>
        <v>-2762146.7480000001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-2226151</v>
      </c>
      <c r="E51" s="38">
        <f>SUM(G51,I51,K51,M51,O51,Q51,S51,U51,W51,Y51,AA51,AC51,AE51)</f>
        <v>-5211672.32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-1597692</v>
      </c>
      <c r="I51" s="38">
        <f>'EAST-EGM-GL'!I51+'EAST-LRC-GL'!I51</f>
        <v>-3749783.1239999998</v>
      </c>
      <c r="J51" s="60">
        <f>'EAST-EGM-GL'!J51+'EAST-LRC-GL'!J51</f>
        <v>-129549</v>
      </c>
      <c r="K51" s="38">
        <f>'EAST-EGM-GL'!K51+'EAST-LRC-GL'!K51</f>
        <v>-306671.75599999999</v>
      </c>
      <c r="L51" s="60">
        <f>'EAST-EGM-GL'!L51+'EAST-LRC-GL'!L51</f>
        <v>-20496</v>
      </c>
      <c r="M51" s="38">
        <f>'EAST-EGM-GL'!M51+'EAST-LRC-GL'!M51</f>
        <v>-50725.935000000012</v>
      </c>
      <c r="N51" s="60">
        <f>'EAST-EGM-GL'!N51+'EAST-LRC-GL'!N51</f>
        <v>-478414</v>
      </c>
      <c r="O51" s="38">
        <f>'EAST-EGM-GL'!O51+'EAST-LRC-GL'!O51</f>
        <v>-1104491.5049999999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-132577470</v>
      </c>
      <c r="E54" s="38">
        <f>SUM(G54,I54,K54,M54,O54,Q54,S54,U54,W54,Y54,AA54,AC54,AE54)</f>
        <v>-2995256.12</v>
      </c>
      <c r="F54" s="64">
        <f>('TIE-OUT'!L54+'TIE-OUT'!J54)+(RECLASS!J54+RECLASS!H54)</f>
        <v>0</v>
      </c>
      <c r="G54" s="68">
        <f>('TIE-OUT'!M54+'TIE-OUT'!K54)+(RECLASS!K54+RECLASS!I54)</f>
        <v>55940</v>
      </c>
      <c r="H54" s="60">
        <f>'EAST-EGM-GL'!H54+'EAST-LRC-GL'!H54</f>
        <v>-157687723</v>
      </c>
      <c r="I54" s="38">
        <f>'EAST-EGM-GL'!I54+'EAST-LRC-GL'!I54</f>
        <v>-2362930</v>
      </c>
      <c r="J54" s="60">
        <f>'EAST-EGM-GL'!J54+'EAST-LRC-GL'!J54</f>
        <v>28139750</v>
      </c>
      <c r="K54" s="38">
        <f>'EAST-EGM-GL'!K54+'EAST-LRC-GL'!K54</f>
        <v>1049202.02</v>
      </c>
      <c r="L54" s="60">
        <f>'EAST-EGM-GL'!L54+'EAST-LRC-GL'!L54</f>
        <v>-1173052</v>
      </c>
      <c r="M54" s="38">
        <f>'EAST-EGM-GL'!M54+'EAST-LRC-GL'!M54</f>
        <v>-1656853.35</v>
      </c>
      <c r="N54" s="60">
        <f>'EAST-EGM-GL'!N54+'EAST-LRC-GL'!N54</f>
        <v>-1856445</v>
      </c>
      <c r="O54" s="38">
        <f>'EAST-EGM-GL'!O54+'EAST-LRC-GL'!O54</f>
        <v>-80614.790000000008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-6962042.2200000007</v>
      </c>
      <c r="F55" s="81">
        <f>('TIE-OUT'!L55+'TIE-OUT'!J55)+(RECLASS!J55+RECLASS!H55)</f>
        <v>0</v>
      </c>
      <c r="G55" s="82">
        <f>('TIE-OUT'!M55+'TIE-OUT'!K55)+(RECLASS!K55+RECLASS!I55)</f>
        <v>37782</v>
      </c>
      <c r="H55" s="60">
        <f>'EAST-EGM-GL'!H55+'EAST-LRC-GL'!H55</f>
        <v>0</v>
      </c>
      <c r="I55" s="38">
        <f>'EAST-EGM-GL'!I55+'EAST-LRC-GL'!I55</f>
        <v>-6131068.8900000006</v>
      </c>
      <c r="J55" s="60">
        <f>'EAST-EGM-GL'!J55+'EAST-LRC-GL'!J55</f>
        <v>0</v>
      </c>
      <c r="K55" s="38">
        <f>'EAST-EGM-GL'!K55+'EAST-LRC-GL'!K55</f>
        <v>-608301.96</v>
      </c>
      <c r="L55" s="60">
        <f>'EAST-EGM-GL'!L55+'EAST-LRC-GL'!L55</f>
        <v>0</v>
      </c>
      <c r="M55" s="38">
        <f>'EAST-EGM-GL'!M55+'EAST-LRC-GL'!M55</f>
        <v>-265948.82</v>
      </c>
      <c r="N55" s="60">
        <f>'EAST-EGM-GL'!N55+'EAST-LRC-GL'!N55</f>
        <v>0</v>
      </c>
      <c r="O55" s="38">
        <f>'EAST-EGM-GL'!O55+'EAST-LRC-GL'!O55</f>
        <v>5495.45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-132577470</v>
      </c>
      <c r="E56" s="39">
        <f t="shared" si="10"/>
        <v>-9957298.3399999999</v>
      </c>
      <c r="F56" s="61">
        <f t="shared" si="10"/>
        <v>0</v>
      </c>
      <c r="G56" s="39">
        <f t="shared" si="10"/>
        <v>93722</v>
      </c>
      <c r="H56" s="61">
        <f t="shared" si="10"/>
        <v>-157687723</v>
      </c>
      <c r="I56" s="39">
        <f t="shared" si="10"/>
        <v>-8493998.8900000006</v>
      </c>
      <c r="J56" s="61">
        <f t="shared" si="10"/>
        <v>28139750</v>
      </c>
      <c r="K56" s="39">
        <f t="shared" si="10"/>
        <v>440900.06000000006</v>
      </c>
      <c r="L56" s="61">
        <f t="shared" si="10"/>
        <v>-1173052</v>
      </c>
      <c r="M56" s="39">
        <f t="shared" si="10"/>
        <v>-1922802.1700000002</v>
      </c>
      <c r="N56" s="61">
        <f>SUM(N54:N55)</f>
        <v>-1856445</v>
      </c>
      <c r="O56" s="39">
        <f>SUM(O54:O55)</f>
        <v>-75119.340000000011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2838395</v>
      </c>
      <c r="E59" s="38">
        <f>SUM(G59,I59,K59,M59,O59,Q59,S59,U59,W59,Y59,AA59,AC59,AE59)</f>
        <v>-65989.34</v>
      </c>
      <c r="F59" s="64">
        <f>('TIE-OUT'!L59+'TIE-OUT'!J59)+(RECLASS!J59+RECLASS!H59)</f>
        <v>0</v>
      </c>
      <c r="G59" s="68">
        <f>('TIE-OUT'!M59+'TIE-OUT'!K59)+(RECLASS!K59+RECLASS!I59)</f>
        <v>-170000</v>
      </c>
      <c r="H59" s="60">
        <f>'EAST-EGM-GL'!H59+'EAST-LRC-GL'!H59</f>
        <v>2702272</v>
      </c>
      <c r="I59" s="38">
        <f>'EAST-EGM-GL'!I59+'EAST-LRC-GL'!I59</f>
        <v>105021.34</v>
      </c>
      <c r="J59" s="60">
        <f>'EAST-EGM-GL'!J59+'EAST-LRC-GL'!J59</f>
        <v>447564</v>
      </c>
      <c r="K59" s="38">
        <f>'EAST-EGM-GL'!K59+'EAST-LRC-GL'!K59</f>
        <v>-19336.399999999998</v>
      </c>
      <c r="L59" s="60">
        <f>'EAST-EGM-GL'!L59+'EAST-LRC-GL'!L59</f>
        <v>-311441</v>
      </c>
      <c r="M59" s="38">
        <f>'EAST-EGM-GL'!M59+'EAST-LRC-GL'!M59</f>
        <v>18325.72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954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954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2839349</v>
      </c>
      <c r="E61" s="39">
        <f t="shared" si="11"/>
        <v>104010.66</v>
      </c>
      <c r="F61" s="61">
        <f t="shared" si="11"/>
        <v>0</v>
      </c>
      <c r="G61" s="39">
        <f t="shared" si="11"/>
        <v>-170000</v>
      </c>
      <c r="H61" s="61">
        <f t="shared" si="11"/>
        <v>2703226</v>
      </c>
      <c r="I61" s="39">
        <f t="shared" si="11"/>
        <v>275021.33999999997</v>
      </c>
      <c r="J61" s="61">
        <f t="shared" si="11"/>
        <v>447564</v>
      </c>
      <c r="K61" s="39">
        <f t="shared" si="11"/>
        <v>-19336.399999999998</v>
      </c>
      <c r="L61" s="61">
        <f t="shared" si="11"/>
        <v>-311441</v>
      </c>
      <c r="M61" s="39">
        <f t="shared" si="11"/>
        <v>18325.72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-24119525</v>
      </c>
      <c r="E64" s="38">
        <f>SUM(G64,I64,K64,M64,O64,Q64,S64,U64,W64,Y64,AA64,AC64,AE64)</f>
        <v>-2911525.15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-16988349</v>
      </c>
      <c r="I64" s="38">
        <f>'EAST-EGM-GL'!I64+'EAST-LRC-GL'!I64</f>
        <v>-2723749.53</v>
      </c>
      <c r="J64" s="60">
        <f>'EAST-EGM-GL'!J64+'EAST-LRC-GL'!J64</f>
        <v>-7410016</v>
      </c>
      <c r="K64" s="38">
        <f>'EAST-EGM-GL'!K64+'EAST-LRC-GL'!K64</f>
        <v>-215659.62</v>
      </c>
      <c r="L64" s="60">
        <f>'EAST-EGM-GL'!L64+'EAST-LRC-GL'!L64</f>
        <v>278840</v>
      </c>
      <c r="M64" s="38">
        <f>'EAST-EGM-GL'!M64+'EAST-LRC-GL'!M64</f>
        <v>27884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24119525</v>
      </c>
      <c r="E65" s="38">
        <f>SUM(G65,I65,K65,M65,O65,Q65,S65,U65,W65,Y65,AA65,AC65,AE65)</f>
        <v>2911525.15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16987318</v>
      </c>
      <c r="I65" s="38">
        <f>'EAST-EGM-GL'!I65+'EAST-LRC-GL'!I65</f>
        <v>2724036.52</v>
      </c>
      <c r="J65" s="60">
        <f>'EAST-EGM-GL'!J65+'EAST-LRC-GL'!J65</f>
        <v>7411047</v>
      </c>
      <c r="K65" s="38">
        <f>'EAST-EGM-GL'!K65+'EAST-LRC-GL'!K65</f>
        <v>215372.62</v>
      </c>
      <c r="L65" s="60">
        <f>'EAST-EGM-GL'!L65+'EAST-LRC-GL'!L65</f>
        <v>-278840</v>
      </c>
      <c r="M65" s="38">
        <f>'EAST-EGM-GL'!M65+'EAST-LRC-GL'!M65</f>
        <v>-27883.99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-1031</v>
      </c>
      <c r="I66" s="39">
        <f t="shared" si="12"/>
        <v>286.99000000022352</v>
      </c>
      <c r="J66" s="61">
        <f t="shared" si="12"/>
        <v>1031</v>
      </c>
      <c r="K66" s="39">
        <f t="shared" si="12"/>
        <v>-287</v>
      </c>
      <c r="L66" s="61">
        <f t="shared" si="12"/>
        <v>0</v>
      </c>
      <c r="M66" s="39">
        <f t="shared" si="12"/>
        <v>9.9999999983992893E-3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('TIE-OUT'!L70+'TIE-OUT'!J70)+(RECLASS!J70+RECLASS!H70)</f>
        <v>0</v>
      </c>
      <c r="G70" s="68">
        <f>('TIE-OUT'!M70+'TIE-OUT'!K70)+(RECLASS!K70+RECLASS!I70)</f>
        <v>13133657.73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('TIE-OUT'!L71+'TIE-OUT'!J71)+(RECLASS!J71+RECLASS!H71)</f>
        <v>0</v>
      </c>
      <c r="G71" s="82">
        <f>('TIE-OUT'!M71+'TIE-OUT'!K71)+(RECLASS!K71+RECLASS!I71)</f>
        <v>-5194257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7939400.7300000004</v>
      </c>
      <c r="F72" s="61">
        <f t="shared" si="13"/>
        <v>0</v>
      </c>
      <c r="G72" s="39">
        <f t="shared" si="13"/>
        <v>7939400.7300000004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-6864622.4600000009</v>
      </c>
      <c r="F74" s="60">
        <f>('TIE-OUT'!L74+'TIE-OUT'!J74)+(RECLASS!J74+RECLASS!H74)</f>
        <v>0</v>
      </c>
      <c r="G74" s="60">
        <f>('TIE-OUT'!M74+'TIE-OUT'!K74)+(RECLASS!K74+RECLASS!I74)</f>
        <v>-25387118.350000001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18522495.890000001</v>
      </c>
      <c r="N74" s="60">
        <f>'EAST-EGM-GL'!N74+'EAST-LRC-GL'!N74</f>
        <v>0</v>
      </c>
      <c r="O74" s="38"/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323400</v>
      </c>
      <c r="F75" s="60">
        <f>('TIE-OUT'!L75+'TIE-OUT'!J75)+(RECLASS!J75+RECLASS!H75)</f>
        <v>0</v>
      </c>
      <c r="G75" s="60">
        <f>('TIE-OUT'!M75+'TIE-OUT'!K75)+(RECLASS!K75+RECLASS!I75)</f>
        <v>323400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-5528.49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-8979.5400000000009</v>
      </c>
      <c r="J76" s="60">
        <f>'EAST-EGM-GL'!J76+'EAST-LRC-GL'!J76</f>
        <v>0</v>
      </c>
      <c r="K76" s="38">
        <f>'EAST-EGM-GL'!K76+'EAST-LRC-GL'!K76</f>
        <v>-3678.71</v>
      </c>
      <c r="L76" s="60">
        <f>'EAST-EGM-GL'!L76+'EAST-LRC-GL'!L76</f>
        <v>0</v>
      </c>
      <c r="M76" s="38">
        <f>'EAST-EGM-GL'!M76+'EAST-LRC-GL'!M76</f>
        <v>7129.76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-2658334</v>
      </c>
      <c r="F77" s="60">
        <f>('TIE-OUT'!L77+'TIE-OUT'!J77)+(RECLASS!J77+RECLASS!H77)</f>
        <v>0</v>
      </c>
      <c r="G77" s="60">
        <f>('TIE-OUT'!M77+'TIE-OUT'!K77)+(RECLASS!K77+RECLASS!I77)</f>
        <v>-2658334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25279</v>
      </c>
      <c r="F78" s="60">
        <f>('TIE-OUT'!L78+'TIE-OUT'!J78)+(RECLASS!J78+RECLASS!H78)</f>
        <v>0</v>
      </c>
      <c r="G78" s="60">
        <f>('TIE-OUT'!M78+'TIE-OUT'!K78)+(RECLASS!K78+RECLASS!I78)</f>
        <v>25279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-0.41000000000349246</v>
      </c>
      <c r="F81" s="60">
        <f>('TIE-OUT'!L81+'TIE-OUT'!J81)+(RECLASS!J81+RECLASS!H81)</f>
        <v>0</v>
      </c>
      <c r="G81" s="60">
        <f>('TIE-OUT'!M81+'TIE-OUT'!K81)+(RECLASS!K81+RECLASS!I81)</f>
        <v>-226414</v>
      </c>
      <c r="H81" s="60">
        <f>'EAST-EGM-GL'!H81+'EAST-LRC-GL'!H81</f>
        <v>0</v>
      </c>
      <c r="I81" s="38">
        <f>'EAST-EGM-GL'!I81+'EAST-LRC-GL'!I81</f>
        <v>201134.56</v>
      </c>
      <c r="J81" s="60">
        <f>'EAST-EGM-GL'!J81+'EAST-LRC-GL'!J81</f>
        <v>0</v>
      </c>
      <c r="K81" s="38">
        <f>'EAST-EGM-GL'!K81+'EAST-LRC-GL'!K81</f>
        <v>25279.03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3583861.6279999427</v>
      </c>
      <c r="F82" s="91">
        <f>F16+F24+F29+F36+F43+F45+F47+F49</f>
        <v>0</v>
      </c>
      <c r="G82" s="92">
        <f>SUM(G72:G81)+G16+G24+G29+G36+G43+G45+G47+G49+G51+G56+G61+G66</f>
        <v>-38590042.200000003</v>
      </c>
      <c r="H82" s="91">
        <f>H16+H24+H29+H36+H43+H45+H47+H49</f>
        <v>0</v>
      </c>
      <c r="I82" s="92">
        <f>SUM(I72:I81)+I16+I24+I29+I36+I43+I45+I47+I49+I51+I56+I61+I66</f>
        <v>11431733.79499981</v>
      </c>
      <c r="J82" s="91">
        <f>J16+J24+J29+J36+J43+J45+J47+J49</f>
        <v>0</v>
      </c>
      <c r="K82" s="92">
        <f>SUM(K72:K81)+K16+K24+K29+K36+K43+K45+K47+K49+K51+K56+K61+K66</f>
        <v>5026058.7669999916</v>
      </c>
      <c r="L82" s="91">
        <f>L16+L24+L29+L36+L43+L45+L47+L49</f>
        <v>0</v>
      </c>
      <c r="M82" s="92">
        <f>SUM(M72:M81)+M16+M24+M29+M36+M43+M45+M47+M49+M51+M56+M61+M66</f>
        <v>19772828.977000002</v>
      </c>
      <c r="N82" s="91">
        <f>N16+N24+N29+N36+N43+N45+N47+N49</f>
        <v>0</v>
      </c>
      <c r="O82" s="92">
        <f>SUM(O72:O81)+O16+O24+O29+O36+O43+O45+O47+O49+O51+O56+O61+O66</f>
        <v>5943282.2889999999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3519652.4679999794</v>
      </c>
      <c r="G84" s="14">
        <f>+'EAST-LRC-GL'!G82+'EAST-EGM-GL'!G82</f>
        <v>-38590042.199999996</v>
      </c>
      <c r="I84" s="14">
        <f>+'EAST-LRC-GL'!I82+'EAST-EGM-GL'!I82</f>
        <v>11431733.794999858</v>
      </c>
      <c r="K84" s="14">
        <f>+'EAST-LRC-GL'!K82+'EAST-EGM-GL'!K82</f>
        <v>5026058.766999986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477103</v>
      </c>
      <c r="F86" s="145">
        <f>'EAST-EGM-GL'!F86+'EAST-LRC-GL'!F86</f>
        <v>0</v>
      </c>
      <c r="G86" s="145">
        <f>'EAST-EGM-GL'!G86+'EAST-LRC-GL'!G86</f>
        <v>477103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477103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4060964.6279999427</v>
      </c>
      <c r="F91" s="160">
        <f t="shared" si="19"/>
        <v>0</v>
      </c>
      <c r="G91" s="160">
        <f t="shared" si="19"/>
        <v>-38112939.200000003</v>
      </c>
      <c r="H91" s="160">
        <f t="shared" si="19"/>
        <v>0</v>
      </c>
      <c r="I91" s="160">
        <f t="shared" si="19"/>
        <v>11431733.79499981</v>
      </c>
      <c r="J91" s="160">
        <f t="shared" si="19"/>
        <v>0</v>
      </c>
      <c r="K91" s="160">
        <f t="shared" si="19"/>
        <v>5026058.7669999916</v>
      </c>
      <c r="L91" s="160">
        <f t="shared" si="19"/>
        <v>0</v>
      </c>
      <c r="M91" s="160">
        <f t="shared" si="19"/>
        <v>19772828.977000002</v>
      </c>
      <c r="N91" s="160">
        <f t="shared" ref="N91:AE91" si="20">+N82+N89</f>
        <v>0</v>
      </c>
      <c r="O91" s="160">
        <f t="shared" si="20"/>
        <v>5943282.2889999999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N31" sqref="N31"/>
      <selection pane="topRight" activeCell="N31" sqref="N31"/>
      <selection pane="bottomLeft" activeCell="N31" sqref="N31"/>
      <selection pane="bottomRight" activeCell="N31" sqref="N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55" sqref="O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17436162</v>
      </c>
      <c r="E11" s="38">
        <f>SUM(G11,I11,K11,M11,O11,Q11,S11,U11,W11,Y11,AA11,AC11,AE11)</f>
        <v>46261926.950000003</v>
      </c>
      <c r="F11" s="60">
        <f>'TIE-OUT'!V11+RECLASS!T11</f>
        <v>0</v>
      </c>
      <c r="G11" s="38">
        <f>'TIE-OUT'!W11+RECLASS!U11</f>
        <v>0</v>
      </c>
      <c r="H11" s="118">
        <f>+Actuals!E444</f>
        <v>17351815</v>
      </c>
      <c r="I11" s="119">
        <f>+Actuals!F444</f>
        <v>44535953.909999996</v>
      </c>
      <c r="J11" s="118">
        <f>+Actuals!G444</f>
        <v>34669</v>
      </c>
      <c r="K11" s="119">
        <f>+Actuals!H444</f>
        <v>59569.52</v>
      </c>
      <c r="L11" s="118">
        <f>+Actuals!I444</f>
        <v>-20609</v>
      </c>
      <c r="M11" s="119">
        <f>+Actuals!J444</f>
        <v>1517667.59</v>
      </c>
      <c r="N11" s="118">
        <f>+Actuals!K444</f>
        <v>70287</v>
      </c>
      <c r="O11" s="119">
        <f>+Actuals!L444</f>
        <v>148735.93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-6244446.9299999997</v>
      </c>
      <c r="F12" s="60">
        <f>'TIE-OUT'!V12+RECLASS!T12</f>
        <v>0</v>
      </c>
      <c r="G12" s="38">
        <f>'TIE-OUT'!W12+RECLASS!U12</f>
        <v>-6216367.9299999997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+Actuals!H445-28079</f>
        <v>-28079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1475282</v>
      </c>
      <c r="E13" s="38">
        <f t="shared" si="0"/>
        <v>3402547</v>
      </c>
      <c r="F13" s="60">
        <f>'TIE-OUT'!V13+RECLASS!T13</f>
        <v>0</v>
      </c>
      <c r="G13" s="38">
        <f>'TIE-OUT'!W13+RECLASS!U13</f>
        <v>0</v>
      </c>
      <c r="H13" s="118">
        <f>+Actuals!E446</f>
        <v>11332509</v>
      </c>
      <c r="I13" s="119">
        <f>+Actuals!F446</f>
        <v>26371437</v>
      </c>
      <c r="J13" s="118">
        <f>+Actuals!G446</f>
        <v>-9857227</v>
      </c>
      <c r="K13" s="119">
        <f>+Actuals!H446</f>
        <v>-22968890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2491160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2498660</v>
      </c>
      <c r="J15" s="118">
        <f>+Actuals!G448</f>
        <v>0</v>
      </c>
      <c r="K15" s="119">
        <f>+Actuals!H448</f>
        <v>-7500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18911444</v>
      </c>
      <c r="E16" s="39">
        <f t="shared" si="1"/>
        <v>45911187.020000003</v>
      </c>
      <c r="F16" s="61">
        <f t="shared" si="1"/>
        <v>0</v>
      </c>
      <c r="G16" s="39">
        <f t="shared" si="1"/>
        <v>-6216367.9299999997</v>
      </c>
      <c r="H16" s="61">
        <f t="shared" si="1"/>
        <v>28684324</v>
      </c>
      <c r="I16" s="39">
        <f t="shared" si="1"/>
        <v>73406050.909999996</v>
      </c>
      <c r="J16" s="61">
        <f t="shared" ref="J16:AO16" si="2">SUM(J11:J15)</f>
        <v>-9822558</v>
      </c>
      <c r="K16" s="39">
        <f t="shared" si="2"/>
        <v>-22944899.48</v>
      </c>
      <c r="L16" s="61">
        <f t="shared" si="2"/>
        <v>-20609</v>
      </c>
      <c r="M16" s="39">
        <f t="shared" si="2"/>
        <v>1517667.59</v>
      </c>
      <c r="N16" s="61">
        <f>SUM(N11:N15)</f>
        <v>70287</v>
      </c>
      <c r="O16" s="39">
        <f>SUM(O11:O15)</f>
        <v>148735.93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-4563404</v>
      </c>
      <c r="E19" s="38">
        <f t="shared" si="3"/>
        <v>-10284723.299999999</v>
      </c>
      <c r="F19" s="64">
        <f>'TIE-OUT'!V19+RECLASS!T19</f>
        <v>0</v>
      </c>
      <c r="G19" s="68">
        <f>'TIE-OUT'!W19+RECLASS!U19</f>
        <v>0</v>
      </c>
      <c r="H19" s="118">
        <f>+Actuals!E449</f>
        <v>-4128498</v>
      </c>
      <c r="I19" s="119">
        <f>+Actuals!F449</f>
        <v>-9292599.4399999995</v>
      </c>
      <c r="J19" s="118">
        <f>+Actuals!G449</f>
        <v>-215827</v>
      </c>
      <c r="K19" s="119">
        <f>+Actuals!H449</f>
        <v>-509657.66</v>
      </c>
      <c r="L19" s="118">
        <f>+Actuals!I449</f>
        <v>-111862</v>
      </c>
      <c r="M19" s="119">
        <f>+Actuals!J449</f>
        <v>-233753.79</v>
      </c>
      <c r="N19" s="118">
        <f>+Actuals!K449</f>
        <v>-107217</v>
      </c>
      <c r="O19" s="119">
        <f>+Actuals!L449</f>
        <v>-248712.41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1843371.23</v>
      </c>
      <c r="F20" s="60">
        <f>'TIE-OUT'!V20+RECLASS!T20</f>
        <v>0</v>
      </c>
      <c r="G20" s="38">
        <f>'TIE-OUT'!W20+RECLASS!U20</f>
        <v>1882156.23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215">
        <f>+Actuals!J450-38785</f>
        <v>-38785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-139069</v>
      </c>
      <c r="E21" s="38">
        <f t="shared" si="3"/>
        <v>-296117</v>
      </c>
      <c r="F21" s="60">
        <f>'TIE-OUT'!V21+RECLASS!T21</f>
        <v>0</v>
      </c>
      <c r="G21" s="38">
        <f>'TIE-OUT'!W21+RECLASS!U21</f>
        <v>0</v>
      </c>
      <c r="H21" s="118">
        <f>+Actuals!E451</f>
        <v>-9997007</v>
      </c>
      <c r="I21" s="119">
        <f>+Actuals!F451</f>
        <v>-23266574</v>
      </c>
      <c r="J21" s="118">
        <f>+Actuals!G451</f>
        <v>9857938</v>
      </c>
      <c r="K21" s="119">
        <f>+Actuals!H451</f>
        <v>22970457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13806</v>
      </c>
      <c r="E23" s="38">
        <f t="shared" si="3"/>
        <v>31381.038</v>
      </c>
      <c r="F23" s="81">
        <f>'TIE-OUT'!V23+RECLASS!T23</f>
        <v>0</v>
      </c>
      <c r="G23" s="82">
        <f>'TIE-OUT'!W23+RECLASS!U23</f>
        <v>0</v>
      </c>
      <c r="H23" s="118">
        <f>+Actuals!E453</f>
        <v>12946</v>
      </c>
      <c r="I23" s="119">
        <f>+Actuals!F453</f>
        <v>29426.258000000002</v>
      </c>
      <c r="J23" s="118">
        <f>+Actuals!G453</f>
        <v>860</v>
      </c>
      <c r="K23" s="119">
        <f>+Actuals!H453</f>
        <v>1954.78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-4688667</v>
      </c>
      <c r="E24" s="39">
        <f t="shared" si="4"/>
        <v>-8706088.0319999978</v>
      </c>
      <c r="F24" s="61">
        <f t="shared" si="4"/>
        <v>0</v>
      </c>
      <c r="G24" s="39">
        <f t="shared" si="4"/>
        <v>1882156.23</v>
      </c>
      <c r="H24" s="61">
        <f t="shared" si="4"/>
        <v>-14112559</v>
      </c>
      <c r="I24" s="39">
        <f t="shared" si="4"/>
        <v>-32529747.181999996</v>
      </c>
      <c r="J24" s="61">
        <f t="shared" ref="J24:AO24" si="5">SUM(J19:J23)</f>
        <v>9642971</v>
      </c>
      <c r="K24" s="39">
        <f t="shared" si="5"/>
        <v>22462754.120000001</v>
      </c>
      <c r="L24" s="61">
        <f t="shared" si="5"/>
        <v>-111862</v>
      </c>
      <c r="M24" s="39">
        <f t="shared" si="5"/>
        <v>-272538.79000000004</v>
      </c>
      <c r="N24" s="61">
        <f>SUM(N19:N23)</f>
        <v>-107217</v>
      </c>
      <c r="O24" s="39">
        <f>SUM(O19:O23)</f>
        <v>-248712.41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6599514</v>
      </c>
      <c r="E27" s="38">
        <f>SUM(G27,I27,K27,M27,O27,Q27,S27,U27,W27,Y27,AA27,AC27,AE27)</f>
        <v>15744279.02</v>
      </c>
      <c r="F27" s="64">
        <f>'TIE-OUT'!V27+RECLASS!T27</f>
        <v>0</v>
      </c>
      <c r="G27" s="68">
        <f>'TIE-OUT'!W27+RECLASS!U27</f>
        <v>0</v>
      </c>
      <c r="H27" s="118">
        <f>+Actuals!E454</f>
        <v>6450055</v>
      </c>
      <c r="I27" s="119">
        <f>+Actuals!F454</f>
        <v>16394383.42</v>
      </c>
      <c r="J27" s="118">
        <f>+Actuals!G454</f>
        <v>16073</v>
      </c>
      <c r="K27" s="119">
        <f>+Actuals!H454</f>
        <v>-976463.09</v>
      </c>
      <c r="L27" s="118">
        <f>+Actuals!I454</f>
        <v>70908</v>
      </c>
      <c r="M27" s="119">
        <f>+Actuals!J454</f>
        <v>177502.15</v>
      </c>
      <c r="N27" s="118">
        <f>+Actuals!K454</f>
        <v>62478</v>
      </c>
      <c r="O27" s="119">
        <f>+Actuals!L454</f>
        <v>148856.54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-19804360</v>
      </c>
      <c r="E28" s="38">
        <f>SUM(G28,I28,K28,M28,O28,Q28,S28,U28,W28,Y28,AA28,AC28,AE28)</f>
        <v>-45186991.870000005</v>
      </c>
      <c r="F28" s="81">
        <f>'TIE-OUT'!V28+RECLASS!T28</f>
        <v>0</v>
      </c>
      <c r="G28" s="82">
        <f>'TIE-OUT'!W28+RECLASS!U28</f>
        <v>0</v>
      </c>
      <c r="H28" s="118">
        <f>+Actuals!E455</f>
        <v>-11229972</v>
      </c>
      <c r="I28" s="119">
        <f>+Actuals!F455</f>
        <v>-24334015.760000002</v>
      </c>
      <c r="J28" s="118">
        <f>+Actuals!G455</f>
        <v>-8916073</v>
      </c>
      <c r="K28" s="119">
        <f>+Actuals!H455</f>
        <v>-21661192.199999999</v>
      </c>
      <c r="L28" s="118">
        <f>+Actuals!I455</f>
        <v>329988</v>
      </c>
      <c r="M28" s="119">
        <f>+Actuals!J455</f>
        <v>778867.19</v>
      </c>
      <c r="N28" s="118">
        <f>+Actuals!K455</f>
        <v>11697</v>
      </c>
      <c r="O28" s="119">
        <f>+Actuals!L455</f>
        <v>29348.9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-13204846</v>
      </c>
      <c r="E29" s="39">
        <f t="shared" si="6"/>
        <v>-29442712.850000005</v>
      </c>
      <c r="F29" s="61">
        <f t="shared" si="6"/>
        <v>0</v>
      </c>
      <c r="G29" s="39">
        <f t="shared" si="6"/>
        <v>0</v>
      </c>
      <c r="H29" s="61">
        <f t="shared" si="6"/>
        <v>-4779917</v>
      </c>
      <c r="I29" s="39">
        <f t="shared" si="6"/>
        <v>-7939632.3400000017</v>
      </c>
      <c r="J29" s="61">
        <f t="shared" ref="J29:AO29" si="7">SUM(J27:J28)</f>
        <v>-8900000</v>
      </c>
      <c r="K29" s="39">
        <f t="shared" si="7"/>
        <v>-22637655.289999999</v>
      </c>
      <c r="L29" s="61">
        <f t="shared" si="7"/>
        <v>400896</v>
      </c>
      <c r="M29" s="39">
        <f t="shared" si="7"/>
        <v>956369.34</v>
      </c>
      <c r="N29" s="61">
        <f>SUM(N27:N28)</f>
        <v>74175</v>
      </c>
      <c r="O29" s="39">
        <f>SUM(O27:O28)</f>
        <v>178205.44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-22693</v>
      </c>
      <c r="E32" s="38">
        <f t="shared" si="8"/>
        <v>-51581.18899999815</v>
      </c>
      <c r="F32" s="64">
        <f>'TIE-OUT'!V32+RECLASS!T32</f>
        <v>0</v>
      </c>
      <c r="G32" s="68">
        <f>'TIE-OUT'!W32+RECLASS!U32</f>
        <v>0</v>
      </c>
      <c r="H32" s="118">
        <f>+Actuals!E456</f>
        <v>-9731818</v>
      </c>
      <c r="I32" s="119">
        <f>+Actuals!F456</f>
        <v>-22120422.313999999</v>
      </c>
      <c r="J32" s="118">
        <f>+Actuals!G456</f>
        <v>9729276</v>
      </c>
      <c r="K32" s="119">
        <f>+Actuals!H456</f>
        <v>22114644.348000001</v>
      </c>
      <c r="L32" s="118">
        <f>+Actuals!I456</f>
        <v>-20151</v>
      </c>
      <c r="M32" s="119">
        <f>+Actuals!J456</f>
        <v>-45803.222999999998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-22693</v>
      </c>
      <c r="E36" s="39">
        <f t="shared" si="9"/>
        <v>-51581.18899999815</v>
      </c>
      <c r="F36" s="61">
        <f t="shared" si="9"/>
        <v>0</v>
      </c>
      <c r="G36" s="39">
        <f t="shared" si="9"/>
        <v>0</v>
      </c>
      <c r="H36" s="61">
        <f t="shared" si="9"/>
        <v>-9731818</v>
      </c>
      <c r="I36" s="39">
        <f t="shared" si="9"/>
        <v>-22120422.313999999</v>
      </c>
      <c r="J36" s="61">
        <f t="shared" ref="J36:AO36" si="10">SUM(J32:J35)</f>
        <v>9729276</v>
      </c>
      <c r="K36" s="39">
        <f t="shared" si="10"/>
        <v>22114644.348000001</v>
      </c>
      <c r="L36" s="61">
        <f t="shared" si="10"/>
        <v>-20151</v>
      </c>
      <c r="M36" s="39">
        <f t="shared" si="10"/>
        <v>-45803.222999999998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-969922</v>
      </c>
      <c r="E40" s="38">
        <f t="shared" si="11"/>
        <v>-4110436.89</v>
      </c>
      <c r="F40" s="60">
        <f>'TIE-OUT'!V40+RECLASS!T40</f>
        <v>0</v>
      </c>
      <c r="G40" s="38">
        <f>'TIE-OUT'!W40+RECLASS!U40</f>
        <v>0</v>
      </c>
      <c r="H40" s="118">
        <f>+Actuals!E461</f>
        <v>-140000</v>
      </c>
      <c r="I40" s="119">
        <f>+Actuals!F461</f>
        <v>-299275.48</v>
      </c>
      <c r="J40" s="118">
        <f>+Actuals!G461</f>
        <v>-624794</v>
      </c>
      <c r="K40" s="119">
        <f>+Actuals!H461</f>
        <v>-2870676.72</v>
      </c>
      <c r="L40" s="118">
        <f>+Actuals!I461</f>
        <v>-205128</v>
      </c>
      <c r="M40" s="119">
        <f>+Actuals!J461</f>
        <v>-940484.69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-969922</v>
      </c>
      <c r="E42" s="39">
        <f t="shared" si="12"/>
        <v>-4110436.89</v>
      </c>
      <c r="F42" s="61">
        <f t="shared" si="12"/>
        <v>0</v>
      </c>
      <c r="G42" s="39">
        <f t="shared" si="12"/>
        <v>0</v>
      </c>
      <c r="H42" s="61">
        <f t="shared" si="12"/>
        <v>-140000</v>
      </c>
      <c r="I42" s="39">
        <f t="shared" si="12"/>
        <v>-299275.48</v>
      </c>
      <c r="J42" s="61">
        <f t="shared" ref="J42:AO42" si="13">SUM(J40:J41)</f>
        <v>-624794</v>
      </c>
      <c r="K42" s="39">
        <f t="shared" si="13"/>
        <v>-2870676.72</v>
      </c>
      <c r="L42" s="61">
        <f t="shared" si="13"/>
        <v>-205128</v>
      </c>
      <c r="M42" s="39">
        <f t="shared" si="13"/>
        <v>-940484.69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-969922</v>
      </c>
      <c r="E43" s="39">
        <f t="shared" si="14"/>
        <v>-4110436.89</v>
      </c>
      <c r="F43" s="61">
        <f t="shared" si="14"/>
        <v>0</v>
      </c>
      <c r="G43" s="39">
        <f t="shared" si="14"/>
        <v>0</v>
      </c>
      <c r="H43" s="61">
        <f t="shared" si="14"/>
        <v>-140000</v>
      </c>
      <c r="I43" s="39">
        <f t="shared" si="14"/>
        <v>-299275.48</v>
      </c>
      <c r="J43" s="61">
        <f t="shared" ref="J43:AO43" si="15">J42+J39</f>
        <v>-624794</v>
      </c>
      <c r="K43" s="39">
        <f t="shared" si="15"/>
        <v>-2870676.72</v>
      </c>
      <c r="L43" s="61">
        <f t="shared" si="15"/>
        <v>-205128</v>
      </c>
      <c r="M43" s="39">
        <f t="shared" si="15"/>
        <v>-940484.69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-25316</v>
      </c>
      <c r="E49" s="38">
        <f>SUM(G49,I49,K49,M49,O49,Q49,S49,U49,W49,Y49,AA49,AC49,AE49)</f>
        <v>-57543.267999999982</v>
      </c>
      <c r="F49" s="60">
        <f>'TIE-OUT'!V49+RECLASS!T49</f>
        <v>0</v>
      </c>
      <c r="G49" s="38">
        <f>'TIE-OUT'!W49+RECLASS!U49</f>
        <v>0</v>
      </c>
      <c r="H49" s="118">
        <f>+Actuals!E465</f>
        <v>79970</v>
      </c>
      <c r="I49" s="119">
        <f>+Actuals!F465</f>
        <v>181771.81</v>
      </c>
      <c r="J49" s="118">
        <f>+Actuals!G465</f>
        <v>-24895</v>
      </c>
      <c r="K49" s="119">
        <f>+Actuals!H465</f>
        <v>-56586.334999999992</v>
      </c>
      <c r="L49" s="118">
        <f>+Actuals!I465</f>
        <v>-43146</v>
      </c>
      <c r="M49" s="119">
        <f>+Actuals!J465</f>
        <v>-98070.857999999993</v>
      </c>
      <c r="N49" s="118">
        <f>+Actuals!K465</f>
        <v>-37245</v>
      </c>
      <c r="O49" s="119">
        <f>+Actuals!L465</f>
        <v>-84657.884999999995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'TIE-OUT'!V51+RECLASS!T51</f>
        <v>0</v>
      </c>
      <c r="G51" s="38">
        <f>'TIE-OUT'!W51+RECLASS!U51</f>
        <v>0</v>
      </c>
      <c r="H51" s="118">
        <f>+Actuals!E466</f>
        <v>-12946</v>
      </c>
      <c r="I51" s="119">
        <f>+Actuals!F466</f>
        <v>-29426.258000000002</v>
      </c>
      <c r="J51" s="118">
        <f>+Actuals!G466</f>
        <v>-860</v>
      </c>
      <c r="K51" s="119">
        <f>+Actuals!H466</f>
        <v>-1954.78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-16449022</v>
      </c>
      <c r="E54" s="38">
        <f>SUM(G54,I54,K54,M54,O54,Q54,S54,U54,W54,Y54,AA54,AC54,AE54)</f>
        <v>-402334.96</v>
      </c>
      <c r="F54" s="64">
        <f>'TIE-OUT'!V54+RECLASS!T54</f>
        <v>0</v>
      </c>
      <c r="G54" s="68">
        <f>'TIE-OUT'!W54+RECLASS!U54</f>
        <v>0</v>
      </c>
      <c r="H54" s="118">
        <f>+Actuals!E467</f>
        <v>-6709702</v>
      </c>
      <c r="I54" s="119">
        <f>+Actuals!F467</f>
        <v>-213269.27</v>
      </c>
      <c r="J54" s="118">
        <f>+Actuals!G467</f>
        <v>-9720573</v>
      </c>
      <c r="K54" s="119">
        <f>+Actuals!H467</f>
        <v>-205871.48</v>
      </c>
      <c r="L54" s="118">
        <f>+Actuals!I467</f>
        <v>-27495</v>
      </c>
      <c r="M54" s="119">
        <f>+Actuals!J467</f>
        <v>10606.04</v>
      </c>
      <c r="N54" s="118">
        <f>+Actuals!K467</f>
        <v>8748</v>
      </c>
      <c r="O54" s="119">
        <f>+Actuals!L467</f>
        <v>6199.75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-143319.06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-51152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1152</v>
      </c>
      <c r="N55" s="118">
        <f>+Actuals!K468</f>
        <v>0</v>
      </c>
      <c r="O55" s="119">
        <f>+Actuals!L468</f>
        <v>-19.059999999999999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-16449022</v>
      </c>
      <c r="E56" s="39">
        <f t="shared" si="16"/>
        <v>-545654.02</v>
      </c>
      <c r="F56" s="61">
        <f t="shared" si="16"/>
        <v>0</v>
      </c>
      <c r="G56" s="39">
        <f t="shared" si="16"/>
        <v>0</v>
      </c>
      <c r="H56" s="61">
        <f t="shared" si="16"/>
        <v>-6709702</v>
      </c>
      <c r="I56" s="39">
        <f t="shared" si="16"/>
        <v>-264421.27</v>
      </c>
      <c r="J56" s="61">
        <f t="shared" ref="J56:AO56" si="17">SUM(J54:J55)</f>
        <v>-9720573</v>
      </c>
      <c r="K56" s="39">
        <f t="shared" si="17"/>
        <v>-299171.48</v>
      </c>
      <c r="L56" s="61">
        <f t="shared" si="17"/>
        <v>-27495</v>
      </c>
      <c r="M56" s="39">
        <f t="shared" si="17"/>
        <v>11758.04</v>
      </c>
      <c r="N56" s="61">
        <f>SUM(N54:N55)</f>
        <v>8748</v>
      </c>
      <c r="O56" s="39">
        <f>SUM(O54:O55)</f>
        <v>6180.69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-971.85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-971.85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-971.85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-971.85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'TIE-OUT'!V70+RECLASS!T70</f>
        <v>0</v>
      </c>
      <c r="G70" s="68">
        <f>'TIE-OUT'!W70+RECLASS!U70</f>
        <v>-2639306.77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'TIE-OUT'!V71+RECLASS!T71</f>
        <v>0</v>
      </c>
      <c r="G71" s="82">
        <f>'TIE-OUT'!W71+RECLASS!U71</f>
        <v>739518.78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-1899787.99</v>
      </c>
      <c r="F72" s="61">
        <f t="shared" si="22"/>
        <v>0</v>
      </c>
      <c r="G72" s="39">
        <f t="shared" si="22"/>
        <v>-1899787.99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-197969.77000000002</v>
      </c>
      <c r="F74" s="60">
        <f>'TIE-OUT'!V74+RECLASS!T74</f>
        <v>0</v>
      </c>
      <c r="G74" s="60">
        <f>'TIE-OUT'!W74+RECLASS!U74</f>
        <v>-169890.73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215">
        <f>+Actuals!J476-34309.74+6230.7</f>
        <v>-28079.039999999997</v>
      </c>
      <c r="N74" s="118">
        <f>+Actuals!K476</f>
        <v>0</v>
      </c>
      <c r="O74" s="119"/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17700</v>
      </c>
      <c r="F75" s="60">
        <f>'TIE-OUT'!V75+RECLASS!T75</f>
        <v>0</v>
      </c>
      <c r="G75" s="60">
        <f>'TIE-OUT'!W75+RECLASS!U75</f>
        <v>17700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-2541.2800000000002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-2541.2800000000002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882218.84300000279</v>
      </c>
      <c r="F82" s="91">
        <f>F16+F24+F29+F36+F43+F45+F47+F49</f>
        <v>0</v>
      </c>
      <c r="G82" s="92">
        <f>SUM(G72:G81)+G16+G24+G29+G36+G43+G45+G47+G49+G51+G56+G61+G66</f>
        <v>-6386190.4199999999</v>
      </c>
      <c r="H82" s="91">
        <f>H16+H24+H29+H36+H43+H45+H47+H49</f>
        <v>0</v>
      </c>
      <c r="I82" s="92">
        <f>SUM(I72:I81)+I16+I24+I29+I36+I43+I45+I47+I49+I51+I56+I61+I66</f>
        <v>10404897.875999998</v>
      </c>
      <c r="J82" s="91">
        <f>J16+J24+J29+J36+J43+J45+J47+J49</f>
        <v>0</v>
      </c>
      <c r="K82" s="140">
        <f>SUM(K72:K81)+K16+K24+K29+K36+K43+K45+K47+K49+K51+K56+K61+K66</f>
        <v>-4237058.7469999976</v>
      </c>
      <c r="L82" s="91">
        <f>L16+L24+L29+L36+L43+L45+L47+L49</f>
        <v>0</v>
      </c>
      <c r="M82" s="92">
        <f>SUM(M72:M81)+M16+M24+M29+M36+M43+M45+M47+M49+M51+M56+M61+M66</f>
        <v>1100818.3690000004</v>
      </c>
      <c r="N82" s="91">
        <f>N16+N24+N29+N36+N43+N45+N47+N49</f>
        <v>0</v>
      </c>
      <c r="O82" s="92">
        <f>SUM(O72:O81)+O16+O24+O29+O36+O43+O45+O47+O49+O51+O56+O61+O66</f>
        <v>-248.23500000000331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882218.84300000279</v>
      </c>
      <c r="F91" s="155">
        <f t="shared" si="29"/>
        <v>0</v>
      </c>
      <c r="G91" s="155">
        <f t="shared" si="29"/>
        <v>-6386190.4199999999</v>
      </c>
      <c r="H91" s="155">
        <f t="shared" si="29"/>
        <v>0</v>
      </c>
      <c r="I91" s="155">
        <f t="shared" si="29"/>
        <v>10404897.875999998</v>
      </c>
      <c r="J91" s="155">
        <f t="shared" si="29"/>
        <v>0</v>
      </c>
      <c r="K91" s="155">
        <f t="shared" si="29"/>
        <v>-4237058.7469999976</v>
      </c>
      <c r="L91" s="155">
        <f t="shared" si="29"/>
        <v>0</v>
      </c>
      <c r="M91" s="155">
        <f t="shared" si="29"/>
        <v>1100818.3690000004</v>
      </c>
      <c r="N91" s="155">
        <f t="shared" ref="N91:AE91" si="30">+N82+N89</f>
        <v>0</v>
      </c>
      <c r="O91" s="155">
        <f t="shared" si="30"/>
        <v>-248.23500000000331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82" sqref="O82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116720</v>
      </c>
      <c r="E11" s="38">
        <f>SUM(G11,I11,K11,M11,O11,Q11,S11,U11,W11,Y11,AA11,AC11,AE11)</f>
        <v>275575.92</v>
      </c>
      <c r="F11" s="60">
        <f>'TIE-OUT'!T11+RECLASS!R11</f>
        <v>0</v>
      </c>
      <c r="G11" s="38">
        <f>'TIE-OUT'!U11+RECLASS!S11</f>
        <v>0</v>
      </c>
      <c r="H11" s="118">
        <f>+Actuals!E4</f>
        <v>115828</v>
      </c>
      <c r="I11" s="119">
        <f>+Actuals!F4</f>
        <v>273469.90999999997</v>
      </c>
      <c r="J11" s="118">
        <f>+Actuals!G4</f>
        <v>892</v>
      </c>
      <c r="K11" s="119">
        <f>+Actuals!H4</f>
        <v>2106.0100000000002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-4575.6000000000004</v>
      </c>
      <c r="F12" s="60">
        <f>'TIE-OUT'!T12+RECLASS!R12</f>
        <v>0</v>
      </c>
      <c r="G12" s="38">
        <f>'TIE-OUT'!U12+RECLASS!S12</f>
        <v>-4575.6000000000004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116720</v>
      </c>
      <c r="E16" s="39">
        <f t="shared" si="1"/>
        <v>271000.32000000001</v>
      </c>
      <c r="F16" s="61">
        <f t="shared" si="1"/>
        <v>0</v>
      </c>
      <c r="G16" s="39">
        <f t="shared" si="1"/>
        <v>-4575.6000000000004</v>
      </c>
      <c r="H16" s="61">
        <f t="shared" si="1"/>
        <v>115828</v>
      </c>
      <c r="I16" s="39">
        <f t="shared" si="1"/>
        <v>273469.90999999997</v>
      </c>
      <c r="J16" s="61">
        <f t="shared" si="1"/>
        <v>892</v>
      </c>
      <c r="K16" s="39">
        <f t="shared" si="1"/>
        <v>2106.0100000000002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-13568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+Actuals!F9-13568</f>
        <v>-13568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-13568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-13568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10392</v>
      </c>
      <c r="E27" s="38">
        <f>SUM(G27,I27,K27,M27,O27,Q27,S27,U27,W27,Y27,AA27,AC27,AE27)</f>
        <v>24317.279999999999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10392</v>
      </c>
      <c r="O27" s="119">
        <f>+Actuals!L14</f>
        <v>24317.279999999999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-127112</v>
      </c>
      <c r="E28" s="38">
        <f>SUM(G28,I28,K28,M28,O28,Q28,S28,U28,W28,Y28,AA28,AC28,AE28)</f>
        <v>-297026.39999999997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-115828</v>
      </c>
      <c r="I28" s="119">
        <f>+Actuals!F15</f>
        <v>-5134.3100000000004</v>
      </c>
      <c r="J28" s="118">
        <f>+Actuals!G15</f>
        <v>-892</v>
      </c>
      <c r="K28" s="119">
        <f>+Actuals!H15</f>
        <v>-267990.49</v>
      </c>
      <c r="L28" s="118">
        <f>+Actuals!I15</f>
        <v>0</v>
      </c>
      <c r="M28" s="119">
        <f>+Actuals!J15</f>
        <v>0</v>
      </c>
      <c r="N28" s="118">
        <f>+Actuals!K15</f>
        <v>-10392</v>
      </c>
      <c r="O28" s="119">
        <f>+Actuals!L15</f>
        <v>-23901.599999999999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-116720</v>
      </c>
      <c r="E29" s="39">
        <f t="shared" si="4"/>
        <v>-272709.12</v>
      </c>
      <c r="F29" s="61">
        <f t="shared" si="4"/>
        <v>0</v>
      </c>
      <c r="G29" s="39">
        <f t="shared" si="4"/>
        <v>0</v>
      </c>
      <c r="H29" s="61">
        <f t="shared" si="4"/>
        <v>-115828</v>
      </c>
      <c r="I29" s="39">
        <f t="shared" si="4"/>
        <v>-5134.3100000000004</v>
      </c>
      <c r="J29" s="61">
        <f t="shared" si="4"/>
        <v>-892</v>
      </c>
      <c r="K29" s="39">
        <f t="shared" si="4"/>
        <v>-267990.49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415.68000000000029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113410.16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98133.360000000015</v>
      </c>
      <c r="F82" s="91">
        <f>F16+F24+F29+F36+F43+F45+F47+F49</f>
        <v>0</v>
      </c>
      <c r="G82" s="92">
        <f>SUM(G72:G81)+G16+G24+G29+G36+G43+G45+G47+G49+G51+G56+G61+G66</f>
        <v>-4575.6000000000004</v>
      </c>
      <c r="H82" s="91">
        <f>H16+H24+H29+H36+H43+H45+H47+H49</f>
        <v>0</v>
      </c>
      <c r="I82" s="92">
        <f>SUM(I72:I81)+I16+I24+I29+I36+I43+I45+I47+I49+I51+I56+I61+I66</f>
        <v>254767.59999999998</v>
      </c>
      <c r="J82" s="91">
        <f>J16+J24+J29+J36+J43+J45+J47+J49</f>
        <v>0</v>
      </c>
      <c r="K82" s="110">
        <f>SUM(K72:K81)+K16+K24+K29+K36+K43+K45+K47+K49+K51+K56+K61+K66</f>
        <v>-265884.48</v>
      </c>
      <c r="L82" s="91">
        <f>L16+L24+L29+L36+L43+L45+L47+L49</f>
        <v>0</v>
      </c>
      <c r="M82" s="92">
        <f>SUM(M72:M81)+M16+M24+M29+M36+M43+M45+M47+M49+M51+M56+M61+M66</f>
        <v>113410.16</v>
      </c>
      <c r="N82" s="91">
        <f>N16+N24+N29+N36+N43+N45+N47+N49</f>
        <v>0</v>
      </c>
      <c r="O82" s="92">
        <f>SUM(O72:O81)+O16+O24+O29+O36+O43+O45+O47+O49+O51+O56+O61+O66</f>
        <v>415.68000000000029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D69" activePane="bottomRight" state="frozen"/>
      <selection activeCell="N31" sqref="N31"/>
      <selection pane="topRight" activeCell="N31" sqref="N31"/>
      <selection pane="bottomLeft" activeCell="N31" sqref="N31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38412173</v>
      </c>
      <c r="E11" s="38">
        <f>SUM(G11,I11,K11,M11,O11,Q11,S11,U11,W11,Y11,AA11,AC11,AE11)</f>
        <v>91060005</v>
      </c>
      <c r="F11" s="60">
        <f>'TIE-OUT'!X11+RECLASS!V11</f>
        <v>0</v>
      </c>
      <c r="G11" s="38">
        <f>'TIE-OUT'!Y11+RECLASS!W11</f>
        <v>265657</v>
      </c>
      <c r="H11" s="118">
        <v>38204135</v>
      </c>
      <c r="I11" s="118">
        <v>90645653</v>
      </c>
      <c r="J11" s="118">
        <v>-152838</v>
      </c>
      <c r="K11" s="119">
        <v>-848620</v>
      </c>
      <c r="L11" s="118">
        <v>268300</v>
      </c>
      <c r="M11" s="119">
        <v>789994</v>
      </c>
      <c r="N11" s="118">
        <v>92576</v>
      </c>
      <c r="O11" s="119">
        <v>207321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-1420122.48</v>
      </c>
      <c r="F12" s="60">
        <f>'TIE-OUT'!X12+RECLASS!V12</f>
        <v>0</v>
      </c>
      <c r="G12" s="38">
        <f>'TIE-OUT'!Y12+RECLASS!W12</f>
        <v>-1420122.48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/>
      <c r="O12" s="119"/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-2491160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215">
        <v>-2491160</v>
      </c>
      <c r="N13" s="118"/>
      <c r="O13" s="119"/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38412173</v>
      </c>
      <c r="E16" s="39">
        <f t="shared" si="1"/>
        <v>87268722.519999996</v>
      </c>
      <c r="F16" s="61">
        <f t="shared" si="1"/>
        <v>0</v>
      </c>
      <c r="G16" s="39">
        <f t="shared" si="1"/>
        <v>-1034465.48</v>
      </c>
      <c r="H16" s="61">
        <f t="shared" si="1"/>
        <v>38204135</v>
      </c>
      <c r="I16" s="61">
        <f t="shared" si="1"/>
        <v>90645653</v>
      </c>
      <c r="J16" s="61">
        <f t="shared" si="1"/>
        <v>-152838</v>
      </c>
      <c r="K16" s="39">
        <f t="shared" si="1"/>
        <v>-848620</v>
      </c>
      <c r="L16" s="61">
        <f t="shared" si="1"/>
        <v>268300</v>
      </c>
      <c r="M16" s="39">
        <f t="shared" si="1"/>
        <v>-1701166</v>
      </c>
      <c r="N16" s="61">
        <f>SUM(N11:N15)</f>
        <v>92576</v>
      </c>
      <c r="O16" s="39">
        <f>SUM(O11:O15)</f>
        <v>207321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-50042790</v>
      </c>
      <c r="E19" s="38">
        <f t="shared" si="2"/>
        <v>-113359959</v>
      </c>
      <c r="F19" s="64">
        <f>'TIE-OUT'!X19+RECLASS!V19</f>
        <v>0</v>
      </c>
      <c r="G19" s="68">
        <f>'TIE-OUT'!Y19+RECLASS!W19</f>
        <v>-144747</v>
      </c>
      <c r="H19" s="118">
        <v>-49409342</v>
      </c>
      <c r="I19" s="118">
        <v>-111798217</v>
      </c>
      <c r="J19" s="118">
        <v>-602441</v>
      </c>
      <c r="K19" s="119">
        <v>-1376401</v>
      </c>
      <c r="L19" s="118">
        <v>-88640</v>
      </c>
      <c r="M19" s="119">
        <v>-166448</v>
      </c>
      <c r="N19" s="118">
        <v>57633</v>
      </c>
      <c r="O19" s="119">
        <v>125854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-105702.19</v>
      </c>
      <c r="F20" s="60">
        <f>'TIE-OUT'!X20+RECLASS!V20</f>
        <v>0</v>
      </c>
      <c r="G20" s="38">
        <f>'TIE-OUT'!Y20+RECLASS!W20</f>
        <v>-11462.19</v>
      </c>
      <c r="H20" s="118">
        <v>0</v>
      </c>
      <c r="I20" s="118">
        <v>0</v>
      </c>
      <c r="J20" s="118">
        <v>0</v>
      </c>
      <c r="K20" s="119">
        <v>0</v>
      </c>
      <c r="L20" s="118">
        <v>0</v>
      </c>
      <c r="M20" s="215">
        <v>-94240</v>
      </c>
      <c r="N20" s="118"/>
      <c r="O20" s="119"/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/>
      <c r="O21" s="119"/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-50042790</v>
      </c>
      <c r="E24" s="39">
        <f t="shared" si="3"/>
        <v>-113465661.19</v>
      </c>
      <c r="F24" s="61">
        <f t="shared" si="3"/>
        <v>0</v>
      </c>
      <c r="G24" s="39">
        <f t="shared" si="3"/>
        <v>-156209.19</v>
      </c>
      <c r="H24" s="61">
        <f t="shared" si="3"/>
        <v>-49409342</v>
      </c>
      <c r="I24" s="61">
        <f t="shared" si="3"/>
        <v>-111798217</v>
      </c>
      <c r="J24" s="61">
        <f t="shared" si="3"/>
        <v>-602441</v>
      </c>
      <c r="K24" s="39">
        <f t="shared" si="3"/>
        <v>-1376401</v>
      </c>
      <c r="L24" s="61">
        <f t="shared" si="3"/>
        <v>-88640</v>
      </c>
      <c r="M24" s="39">
        <f t="shared" si="3"/>
        <v>-260688</v>
      </c>
      <c r="N24" s="61">
        <f>SUM(N19:N23)</f>
        <v>57633</v>
      </c>
      <c r="O24" s="39">
        <f>SUM(O19:O23)</f>
        <v>125854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21549381</v>
      </c>
      <c r="E27" s="38">
        <f>SUM(G27,I27,K27,M27,O27,Q27,S27,U27,W27,Y27,AA27,AC27,AE27)</f>
        <v>49630068</v>
      </c>
      <c r="F27" s="64">
        <f>'TIE-OUT'!X27+RECLASS!V27</f>
        <v>0</v>
      </c>
      <c r="G27" s="68">
        <f>'TIE-OUT'!Y27+RECLASS!W27</f>
        <v>0</v>
      </c>
      <c r="H27" s="118">
        <f>12707112+118122</f>
        <v>12825234</v>
      </c>
      <c r="I27" s="118">
        <f>28478116+276172</f>
        <v>28754288</v>
      </c>
      <c r="J27" s="118">
        <f>8963154+6392</f>
        <v>8969546</v>
      </c>
      <c r="K27" s="119">
        <f>21398561+14684</f>
        <v>21413245</v>
      </c>
      <c r="L27" s="118">
        <f>-222453+2598</f>
        <v>-219855</v>
      </c>
      <c r="M27" s="119">
        <f>-466808+6170</f>
        <v>-460638</v>
      </c>
      <c r="N27" s="118">
        <v>-25544</v>
      </c>
      <c r="O27" s="119">
        <v>-76827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-7708461</v>
      </c>
      <c r="E28" s="38">
        <f>SUM(G28,I28,K28,M28,O28,Q28,S28,U28,W28,Y28,AA28,AC28,AE28)</f>
        <v>-18382971</v>
      </c>
      <c r="F28" s="81">
        <f>'TIE-OUT'!X28+RECLASS!V28</f>
        <v>0</v>
      </c>
      <c r="G28" s="82">
        <f>'TIE-OUT'!Y28+RECLASS!W28</f>
        <v>0</v>
      </c>
      <c r="H28" s="118">
        <v>-7998355</v>
      </c>
      <c r="I28" s="118">
        <v>-19023411</v>
      </c>
      <c r="J28" s="118">
        <v>333383</v>
      </c>
      <c r="K28" s="119">
        <v>752184</v>
      </c>
      <c r="L28" s="118">
        <v>-33097</v>
      </c>
      <c r="M28" s="119">
        <v>-89077</v>
      </c>
      <c r="N28" s="118">
        <v>-10392</v>
      </c>
      <c r="O28" s="119">
        <f>1650-24317</f>
        <v>-22667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13840920</v>
      </c>
      <c r="E29" s="39">
        <f t="shared" si="4"/>
        <v>31247097</v>
      </c>
      <c r="F29" s="61">
        <f t="shared" si="4"/>
        <v>0</v>
      </c>
      <c r="G29" s="39">
        <f t="shared" si="4"/>
        <v>0</v>
      </c>
      <c r="H29" s="61">
        <f t="shared" si="4"/>
        <v>4826879</v>
      </c>
      <c r="I29" s="61">
        <f t="shared" si="4"/>
        <v>9730877</v>
      </c>
      <c r="J29" s="61">
        <f t="shared" si="4"/>
        <v>9302929</v>
      </c>
      <c r="K29" s="39">
        <f t="shared" si="4"/>
        <v>22165429</v>
      </c>
      <c r="L29" s="61">
        <f t="shared" si="4"/>
        <v>-252952</v>
      </c>
      <c r="M29" s="39">
        <f t="shared" si="4"/>
        <v>-549715</v>
      </c>
      <c r="N29" s="61">
        <f>SUM(N27:N28)</f>
        <v>-35936</v>
      </c>
      <c r="O29" s="39">
        <f>SUM(O27:O28)</f>
        <v>-99494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175523</v>
      </c>
      <c r="E32" s="38">
        <f t="shared" si="5"/>
        <v>398964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242922</v>
      </c>
      <c r="K32" s="119">
        <v>552162</v>
      </c>
      <c r="L32" s="118">
        <v>-164385</v>
      </c>
      <c r="M32" s="119">
        <v>-373647</v>
      </c>
      <c r="N32" s="118">
        <v>96986</v>
      </c>
      <c r="O32" s="119">
        <v>220449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175523</v>
      </c>
      <c r="E36" s="39">
        <f t="shared" si="6"/>
        <v>398964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242922</v>
      </c>
      <c r="K36" s="39">
        <f t="shared" si="6"/>
        <v>552162</v>
      </c>
      <c r="L36" s="61">
        <f t="shared" si="6"/>
        <v>-164385</v>
      </c>
      <c r="M36" s="39">
        <f t="shared" si="6"/>
        <v>-373647</v>
      </c>
      <c r="N36" s="61">
        <f>SUM(N32:N35)</f>
        <v>96986</v>
      </c>
      <c r="O36" s="39">
        <f>SUM(O32:O35)</f>
        <v>220449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'TIE-OUT'!X39+RECLASS!V39</f>
        <v>0</v>
      </c>
      <c r="G39" s="68">
        <f>'TIE-OUT'!Y39+RECLASS!W39</f>
        <v>-120910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-2562387</v>
      </c>
      <c r="E40" s="38">
        <f t="shared" si="7"/>
        <v>-5989021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-2767625</v>
      </c>
      <c r="K40" s="119">
        <v>-6454445</v>
      </c>
      <c r="L40" s="118">
        <v>205238</v>
      </c>
      <c r="M40" s="119">
        <v>463579</v>
      </c>
      <c r="N40" s="118"/>
      <c r="O40" s="119">
        <v>1845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-146152</v>
      </c>
      <c r="F41" s="81">
        <f>'TIE-OUT'!X41+RECLASS!V41</f>
        <v>0</v>
      </c>
      <c r="G41" s="82">
        <f>'TIE-OUT'!Y41+RECLASS!W41</f>
        <v>-146152</v>
      </c>
      <c r="H41" s="118">
        <v>0</v>
      </c>
      <c r="I41" s="118">
        <v>0</v>
      </c>
      <c r="J41" s="118">
        <v>0</v>
      </c>
      <c r="K41" s="119">
        <v>0</v>
      </c>
      <c r="L41" s="118">
        <v>0</v>
      </c>
      <c r="M41" s="215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-2562387</v>
      </c>
      <c r="E42" s="39">
        <f t="shared" si="8"/>
        <v>-6135173</v>
      </c>
      <c r="F42" s="61">
        <f t="shared" si="8"/>
        <v>0</v>
      </c>
      <c r="G42" s="39">
        <f t="shared" si="8"/>
        <v>-146152</v>
      </c>
      <c r="H42" s="61">
        <f t="shared" si="8"/>
        <v>0</v>
      </c>
      <c r="I42" s="61">
        <f t="shared" si="8"/>
        <v>0</v>
      </c>
      <c r="J42" s="61">
        <f t="shared" si="8"/>
        <v>-2767625</v>
      </c>
      <c r="K42" s="39">
        <f t="shared" si="8"/>
        <v>-6454445</v>
      </c>
      <c r="L42" s="61">
        <f t="shared" si="8"/>
        <v>205238</v>
      </c>
      <c r="M42" s="39">
        <f t="shared" si="8"/>
        <v>463579</v>
      </c>
      <c r="N42" s="61">
        <f>SUM(N40:N41)</f>
        <v>0</v>
      </c>
      <c r="O42" s="39">
        <f>SUM(O40:O41)</f>
        <v>1845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-2562387</v>
      </c>
      <c r="E43" s="39">
        <f t="shared" si="9"/>
        <v>-6256083</v>
      </c>
      <c r="F43" s="61">
        <f t="shared" si="9"/>
        <v>0</v>
      </c>
      <c r="G43" s="39">
        <f t="shared" si="9"/>
        <v>-267062</v>
      </c>
      <c r="H43" s="61">
        <f t="shared" si="9"/>
        <v>0</v>
      </c>
      <c r="I43" s="61">
        <f t="shared" si="9"/>
        <v>0</v>
      </c>
      <c r="J43" s="61">
        <f t="shared" si="9"/>
        <v>-2767625</v>
      </c>
      <c r="K43" s="39">
        <f t="shared" si="9"/>
        <v>-6454445</v>
      </c>
      <c r="L43" s="61">
        <f t="shared" si="9"/>
        <v>205238</v>
      </c>
      <c r="M43" s="39">
        <f t="shared" si="9"/>
        <v>463579</v>
      </c>
      <c r="N43" s="61">
        <f>N42+N39</f>
        <v>0</v>
      </c>
      <c r="O43" s="39">
        <f>O42+O39</f>
        <v>1845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176561</v>
      </c>
      <c r="E49" s="38">
        <f>SUM(G49,I49,K49,M49,O49,Q49,S49,U49,W49,Y49,AA49,AC49,AE49)</f>
        <v>401323</v>
      </c>
      <c r="F49" s="60">
        <f>'TIE-OUT'!X49+RECLASS!V49</f>
        <v>0</v>
      </c>
      <c r="G49" s="38">
        <f>'TIE-OUT'!Y49+RECLASS!W49</f>
        <v>0</v>
      </c>
      <c r="H49" s="118">
        <v>6378328</v>
      </c>
      <c r="I49" s="118">
        <v>14497940</v>
      </c>
      <c r="J49" s="118">
        <v>-6022947</v>
      </c>
      <c r="K49" s="119">
        <v>-13690159</v>
      </c>
      <c r="L49" s="118">
        <v>32439</v>
      </c>
      <c r="M49" s="119">
        <v>73734</v>
      </c>
      <c r="N49" s="118">
        <v>-211259</v>
      </c>
      <c r="O49" s="119">
        <v>-480192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-1365278</v>
      </c>
      <c r="F54" s="64">
        <f>'TIE-OUT'!X54+RECLASS!V54</f>
        <v>0</v>
      </c>
      <c r="G54" s="68">
        <f>'TIE-OUT'!Y54+RECLASS!W54</f>
        <v>-1365278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215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143300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60000</v>
      </c>
      <c r="J55" s="118">
        <v>0</v>
      </c>
      <c r="K55" s="119">
        <v>-10000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-1221978</v>
      </c>
      <c r="F56" s="61">
        <f t="shared" si="10"/>
        <v>0</v>
      </c>
      <c r="G56" s="39">
        <f t="shared" si="10"/>
        <v>-1271978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-10000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-55559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f>-148750+93191</f>
        <v>-55559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-55559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1960449.6800000002</v>
      </c>
      <c r="F74" s="60">
        <f>'TIE-OUT'!X74+RECLASS!V74</f>
        <v>0</v>
      </c>
      <c r="G74" s="60">
        <f>'TIE-OUT'!Y74+RECLASS!W74</f>
        <v>-760086.32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215">
        <v>720750</v>
      </c>
      <c r="N74" s="118">
        <v>0</v>
      </c>
      <c r="O74" s="139">
        <f>-7905+2007691</f>
        <v>1999786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215">
        <v>-61128</v>
      </c>
      <c r="N81" s="118">
        <v>0</v>
      </c>
      <c r="O81" s="119"/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117847.01000000536</v>
      </c>
      <c r="F82" s="91">
        <f>F16+F24+F29+F36+F43+F45+F47+F49</f>
        <v>0</v>
      </c>
      <c r="G82" s="92">
        <f>SUM(G72:G81)+G16+G24+G29+G36+G43+G45+G47+G49+G51+G56+G61+G66</f>
        <v>-3588100.9899999998</v>
      </c>
      <c r="H82" s="91">
        <f>H16+H24+H29+H36+H43+H45+H47+H49</f>
        <v>0</v>
      </c>
      <c r="I82" s="92">
        <f>SUM(I72:I81)+I16+I24+I29+I36+I43+I45+I47+I49+I51+I56+I61+I66</f>
        <v>3136253</v>
      </c>
      <c r="J82" s="91">
        <f>J16+J24+J29+J36+J43+J45+J47+J49</f>
        <v>0</v>
      </c>
      <c r="K82" s="110">
        <f>SUM(K72:K81)+K16+K24+K29+K36+K43+K45+K47+K49+K51+K56+K61+K66</f>
        <v>337966</v>
      </c>
      <c r="L82" s="91">
        <f>L16+L24+L29+L36+L43+L45+L47+L49</f>
        <v>0</v>
      </c>
      <c r="M82" s="92">
        <f>SUM(M72:M81)+M16+M24+M29+M36+M43+M45+M47+M49+M51+M56+M61+M66</f>
        <v>-1688281</v>
      </c>
      <c r="N82" s="91">
        <f>N16+N24+N29+N36+N43+N45+N47+N49</f>
        <v>0</v>
      </c>
      <c r="O82" s="92">
        <f>SUM(O72:O81)+O16+O24+O29+O36+O43+O45+O47+O49+O51+O56+O61+O66</f>
        <v>1920010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170</v>
      </c>
      <c r="B85" s="3"/>
      <c r="F85" s="31"/>
      <c r="G85" s="31"/>
      <c r="H85" s="31"/>
      <c r="I85" s="31"/>
      <c r="K85"/>
    </row>
    <row r="86" spans="1:41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2679418.91</v>
      </c>
      <c r="F86" s="145">
        <f>'TIE-OUT'!X86+RECLASS!V86</f>
        <v>0</v>
      </c>
      <c r="G86" s="146">
        <f>'TIE-OUT'!Y86+RECLASS!W86</f>
        <v>2598320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f>779530.91-57416</f>
        <v>722114.91</v>
      </c>
      <c r="N86" s="145">
        <v>0</v>
      </c>
      <c r="O86" s="145">
        <v>-641016</v>
      </c>
    </row>
    <row r="87" spans="1:41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1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-2147419</v>
      </c>
      <c r="F88" s="147">
        <f>'TIE-OUT'!X88+RECLASS!V88</f>
        <v>0</v>
      </c>
      <c r="G88" s="147">
        <f>'TIE-OUT'!Y88+RECLASS!W88</f>
        <v>-2057500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-89919</v>
      </c>
      <c r="N88" s="147">
        <v>0</v>
      </c>
      <c r="O88" s="147">
        <v>0</v>
      </c>
    </row>
    <row r="89" spans="1:41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531999.91000000015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632195.91</v>
      </c>
      <c r="N89" s="155">
        <f>SUM(N86:N88)</f>
        <v>0</v>
      </c>
      <c r="O89" s="155">
        <f>SUM(O86:O88)</f>
        <v>-641016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649846.92000000551</v>
      </c>
      <c r="F91" s="155">
        <f t="shared" si="17"/>
        <v>0</v>
      </c>
      <c r="G91" s="155">
        <f t="shared" si="17"/>
        <v>-3047280.9899999998</v>
      </c>
      <c r="H91" s="155">
        <f t="shared" si="17"/>
        <v>0</v>
      </c>
      <c r="I91" s="155">
        <f t="shared" si="17"/>
        <v>3136253</v>
      </c>
      <c r="J91" s="155">
        <f t="shared" si="17"/>
        <v>0</v>
      </c>
      <c r="K91" s="155">
        <f t="shared" si="17"/>
        <v>337966</v>
      </c>
      <c r="L91" s="155">
        <f>+L82+L89</f>
        <v>0</v>
      </c>
      <c r="M91" s="155">
        <f>+M82+M89</f>
        <v>-1056085.0899999999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N31" sqref="N31"/>
      <selection pane="topRight" activeCell="N31" sqref="N31"/>
      <selection pane="bottomLeft" activeCell="N31" sqref="N31"/>
      <selection pane="bottomRight" activeCell="N31" sqref="N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55965055</v>
      </c>
      <c r="E11" s="38">
        <f>SUM(G11,I11,K11,M11,O11,Q11,S11,U11,W11,Y11,AA11,AC11,AE11)</f>
        <v>137597507.87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265657</v>
      </c>
      <c r="H11" s="60">
        <f>'TX-EGM-GL'!H11+'TX-HPLR-GL '!H11+'TX-HPLC-GL'!H11</f>
        <v>55671778</v>
      </c>
      <c r="I11" s="38">
        <f>'TX-EGM-GL'!I11+'TX-HPLR-GL '!I11+'TX-HPLC-GL'!I11</f>
        <v>135455076.81999999</v>
      </c>
      <c r="J11" s="60">
        <f>'TX-EGM-GL'!J11+'TX-HPLR-GL '!J11+'TX-HPLC-GL'!J11</f>
        <v>-117277</v>
      </c>
      <c r="K11" s="38">
        <f>'TX-EGM-GL'!K11+'TX-HPLR-GL '!K11+'TX-HPLC-GL'!K11</f>
        <v>-786944.47</v>
      </c>
      <c r="L11" s="60">
        <f>'TX-EGM-GL'!L11+'TX-HPLR-GL '!L11+'TX-HPLC-GL'!L11</f>
        <v>247691</v>
      </c>
      <c r="M11" s="38">
        <f>'TX-EGM-GL'!M11+'TX-HPLR-GL '!M11+'TX-HPLC-GL'!M11</f>
        <v>2307661.59</v>
      </c>
      <c r="N11" s="60">
        <f>'TX-EGM-GL'!N11+'TX-HPLR-GL '!N11+'TX-HPLC-GL'!N11</f>
        <v>162863</v>
      </c>
      <c r="O11" s="38">
        <f>'TX-EGM-GL'!O11+'TX-HPLR-GL '!O11+'TX-HPLC-GL'!O11</f>
        <v>356056.93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-7669145.0099999998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-7641066.0099999998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-28079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1475282</v>
      </c>
      <c r="E13" s="38">
        <f t="shared" si="0"/>
        <v>911387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11332509</v>
      </c>
      <c r="I13" s="38">
        <f>'TX-EGM-GL'!I13+'TX-HPLR-GL '!I13+'TX-HPLC-GL'!I13</f>
        <v>26371437</v>
      </c>
      <c r="J13" s="60">
        <f>'TX-EGM-GL'!J13+'TX-HPLR-GL '!J13+'TX-HPLC-GL'!J13</f>
        <v>-9857227</v>
      </c>
      <c r="K13" s="38">
        <f>'TX-EGM-GL'!K13+'TX-HPLR-GL '!K13+'TX-HPLC-GL'!K13</f>
        <v>-22968890</v>
      </c>
      <c r="L13" s="60">
        <f>'TX-EGM-GL'!L13+'TX-HPLR-GL '!L13+'TX-HPLC-GL'!L13</f>
        <v>0</v>
      </c>
      <c r="M13" s="38">
        <f>'TX-EGM-GL'!M13+'TX-HPLR-GL '!M13+'TX-HPLC-GL'!M13</f>
        <v>-2491160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2611160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2498660</v>
      </c>
      <c r="J15" s="60">
        <f>'TX-EGM-GL'!J15+'TX-HPLR-GL '!J15+'TX-HPLC-GL'!J15</f>
        <v>0</v>
      </c>
      <c r="K15" s="38">
        <f>'TX-EGM-GL'!K15+'TX-HPLR-GL '!K15+'TX-HPLC-GL'!K15</f>
        <v>-7500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57440337</v>
      </c>
      <c r="E16" s="39">
        <f t="shared" si="1"/>
        <v>133450909.86</v>
      </c>
      <c r="F16" s="61">
        <f t="shared" si="1"/>
        <v>0</v>
      </c>
      <c r="G16" s="39">
        <f t="shared" si="1"/>
        <v>-7255409.0099999998</v>
      </c>
      <c r="H16" s="61">
        <f t="shared" si="1"/>
        <v>67004287</v>
      </c>
      <c r="I16" s="39">
        <f t="shared" si="1"/>
        <v>164325173.81999999</v>
      </c>
      <c r="J16" s="61">
        <f t="shared" si="1"/>
        <v>-9974504</v>
      </c>
      <c r="K16" s="39">
        <f t="shared" si="1"/>
        <v>-23791413.469999999</v>
      </c>
      <c r="L16" s="61">
        <f t="shared" si="1"/>
        <v>247691</v>
      </c>
      <c r="M16" s="39">
        <f t="shared" si="1"/>
        <v>-183498.41000000015</v>
      </c>
      <c r="N16" s="61">
        <f>SUM(N11:N15)</f>
        <v>162863</v>
      </c>
      <c r="O16" s="39">
        <f>SUM(O11:O15)</f>
        <v>356056.93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-54606194</v>
      </c>
      <c r="E19" s="38">
        <f t="shared" si="2"/>
        <v>-123658250.3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-144747</v>
      </c>
      <c r="H19" s="60">
        <f>'TX-EGM-GL'!H19+'TX-HPLR-GL '!H19+'TX-HPLC-GL'!H19</f>
        <v>-53537840</v>
      </c>
      <c r="I19" s="38">
        <f>'TX-EGM-GL'!I19+'TX-HPLR-GL '!I19+'TX-HPLC-GL'!I19</f>
        <v>-121104384.44</v>
      </c>
      <c r="J19" s="60">
        <f>'TX-EGM-GL'!J19+'TX-HPLR-GL '!J19+'TX-HPLC-GL'!J19</f>
        <v>-818268</v>
      </c>
      <c r="K19" s="38">
        <f>'TX-EGM-GL'!K19+'TX-HPLR-GL '!K19+'TX-HPLC-GL'!K19</f>
        <v>-1886058.66</v>
      </c>
      <c r="L19" s="60">
        <f>'TX-EGM-GL'!L19+'TX-HPLR-GL '!L19+'TX-HPLC-GL'!L19</f>
        <v>-200502</v>
      </c>
      <c r="M19" s="38">
        <f>'TX-EGM-GL'!M19+'TX-HPLR-GL '!M19+'TX-HPLC-GL'!M19</f>
        <v>-400201.79000000004</v>
      </c>
      <c r="N19" s="60">
        <f>'TX-EGM-GL'!N19+'TX-HPLR-GL '!N19+'TX-HPLC-GL'!N19</f>
        <v>-49584</v>
      </c>
      <c r="O19" s="38">
        <f>'TX-EGM-GL'!O19+'TX-HPLR-GL '!O19+'TX-HPLC-GL'!O19</f>
        <v>-122858.41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1737669.04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1870694.04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-133025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-139069</v>
      </c>
      <c r="E21" s="38">
        <f t="shared" si="2"/>
        <v>-296117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-9997007</v>
      </c>
      <c r="I21" s="38">
        <f>'TX-EGM-GL'!I21+'TX-HPLR-GL '!I21+'TX-HPLC-GL'!I21</f>
        <v>-23266574</v>
      </c>
      <c r="J21" s="60">
        <f>'TX-EGM-GL'!J21+'TX-HPLR-GL '!J21+'TX-HPLC-GL'!J21</f>
        <v>9857938</v>
      </c>
      <c r="K21" s="38">
        <f>'TX-EGM-GL'!K21+'TX-HPLR-GL '!K21+'TX-HPLC-GL'!K21</f>
        <v>22970457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13806</v>
      </c>
      <c r="E23" s="38">
        <f t="shared" si="2"/>
        <v>31381.038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12946</v>
      </c>
      <c r="I23" s="38">
        <f>'TX-EGM-GL'!I23+'TX-HPLR-GL '!I23+'TX-HPLC-GL'!I23</f>
        <v>29426.258000000002</v>
      </c>
      <c r="J23" s="60">
        <f>'TX-EGM-GL'!J23+'TX-HPLR-GL '!J23+'TX-HPLC-GL'!J23</f>
        <v>860</v>
      </c>
      <c r="K23" s="38">
        <f>'TX-EGM-GL'!K23+'TX-HPLR-GL '!K23+'TX-HPLC-GL'!K23</f>
        <v>1954.78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-54731457</v>
      </c>
      <c r="E24" s="39">
        <f t="shared" si="3"/>
        <v>-122185317.22199999</v>
      </c>
      <c r="F24" s="61">
        <f t="shared" si="3"/>
        <v>0</v>
      </c>
      <c r="G24" s="39">
        <f t="shared" si="3"/>
        <v>1725947.04</v>
      </c>
      <c r="H24" s="61">
        <f t="shared" si="3"/>
        <v>-63521901</v>
      </c>
      <c r="I24" s="39">
        <f t="shared" si="3"/>
        <v>-144341532.18200001</v>
      </c>
      <c r="J24" s="61">
        <f t="shared" si="3"/>
        <v>9040530</v>
      </c>
      <c r="K24" s="39">
        <f t="shared" si="3"/>
        <v>21086353.120000001</v>
      </c>
      <c r="L24" s="61">
        <f t="shared" si="3"/>
        <v>-200502</v>
      </c>
      <c r="M24" s="39">
        <f t="shared" si="3"/>
        <v>-533226.79</v>
      </c>
      <c r="N24" s="61">
        <f>SUM(N19:N23)</f>
        <v>-49584</v>
      </c>
      <c r="O24" s="39">
        <f>SUM(O19:O23)</f>
        <v>-122858.41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28159287</v>
      </c>
      <c r="E27" s="38">
        <f>SUM(G27,I27,K27,M27,O27,Q27,S27,U27,W27,Y27,AA27,AC27,AE27)</f>
        <v>65398664.299999997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19275289</v>
      </c>
      <c r="I27" s="38">
        <f>'TX-EGM-GL'!I27+'TX-HPLR-GL '!I27+'TX-HPLC-GL'!I27</f>
        <v>45148671.420000002</v>
      </c>
      <c r="J27" s="60">
        <f>'TX-EGM-GL'!J27+'TX-HPLR-GL '!J27+'TX-HPLC-GL'!J27</f>
        <v>8985619</v>
      </c>
      <c r="K27" s="38">
        <f>'TX-EGM-GL'!K27+'TX-HPLR-GL '!K27+'TX-HPLC-GL'!K27</f>
        <v>20436781.91</v>
      </c>
      <c r="L27" s="60">
        <f>'TX-EGM-GL'!L27+'TX-HPLR-GL '!L27+'TX-HPLC-GL'!L27</f>
        <v>-148947</v>
      </c>
      <c r="M27" s="38">
        <f>'TX-EGM-GL'!M27+'TX-HPLR-GL '!M27+'TX-HPLC-GL'!M27</f>
        <v>-283135.84999999998</v>
      </c>
      <c r="N27" s="60">
        <f>'TX-EGM-GL'!N27+'TX-HPLR-GL '!N27+'TX-HPLC-GL'!N27</f>
        <v>47326</v>
      </c>
      <c r="O27" s="38">
        <f>'TX-EGM-GL'!O27+'TX-HPLR-GL '!O27+'TX-HPLC-GL'!O27</f>
        <v>96346.82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-27639933</v>
      </c>
      <c r="E28" s="38">
        <f>SUM(G28,I28,K28,M28,O28,Q28,S28,U28,W28,Y28,AA28,AC28,AE28)</f>
        <v>-63866989.270000003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-19344155</v>
      </c>
      <c r="I28" s="38">
        <f>'TX-EGM-GL'!I28+'TX-HPLR-GL '!I28+'TX-HPLC-GL'!I28</f>
        <v>-43362561.07</v>
      </c>
      <c r="J28" s="60">
        <f>'TX-EGM-GL'!J28+'TX-HPLR-GL '!J28+'TX-HPLC-GL'!J28</f>
        <v>-8583582</v>
      </c>
      <c r="K28" s="38">
        <f>'TX-EGM-GL'!K28+'TX-HPLR-GL '!K28+'TX-HPLC-GL'!K28</f>
        <v>-21176998.689999998</v>
      </c>
      <c r="L28" s="60">
        <f>'TX-EGM-GL'!L28+'TX-HPLR-GL '!L28+'TX-HPLC-GL'!L28</f>
        <v>296891</v>
      </c>
      <c r="M28" s="38">
        <f>'TX-EGM-GL'!M28+'TX-HPLR-GL '!M28+'TX-HPLC-GL'!M28</f>
        <v>689790.19</v>
      </c>
      <c r="N28" s="60">
        <f>'TX-EGM-GL'!N28+'TX-HPLR-GL '!N28+'TX-HPLC-GL'!N28</f>
        <v>-9087</v>
      </c>
      <c r="O28" s="38">
        <f>'TX-EGM-GL'!O28+'TX-HPLR-GL '!O28+'TX-HPLC-GL'!O28</f>
        <v>-17219.699999999997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519354</v>
      </c>
      <c r="E29" s="39">
        <f t="shared" si="4"/>
        <v>1531675.0299999937</v>
      </c>
      <c r="F29" s="61">
        <f t="shared" si="4"/>
        <v>0</v>
      </c>
      <c r="G29" s="39">
        <f t="shared" si="4"/>
        <v>0</v>
      </c>
      <c r="H29" s="61">
        <f t="shared" si="4"/>
        <v>-68866</v>
      </c>
      <c r="I29" s="39">
        <f t="shared" si="4"/>
        <v>1786110.3500000015</v>
      </c>
      <c r="J29" s="61">
        <f t="shared" si="4"/>
        <v>402037</v>
      </c>
      <c r="K29" s="39">
        <f t="shared" si="4"/>
        <v>-740216.77999999747</v>
      </c>
      <c r="L29" s="61">
        <f t="shared" si="4"/>
        <v>147944</v>
      </c>
      <c r="M29" s="39">
        <f t="shared" si="4"/>
        <v>406654.33999999997</v>
      </c>
      <c r="N29" s="61">
        <f>SUM(N27:N28)</f>
        <v>38239</v>
      </c>
      <c r="O29" s="39">
        <f>SUM(O27:O28)</f>
        <v>79127.12000000001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152830</v>
      </c>
      <c r="E32" s="38">
        <f t="shared" si="5"/>
        <v>347382.81100000185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-9731818</v>
      </c>
      <c r="I32" s="38">
        <f>'TX-EGM-GL'!I32+'TX-HPLR-GL '!I32+'TX-HPLC-GL'!I32</f>
        <v>-22120422.313999999</v>
      </c>
      <c r="J32" s="60">
        <f>'TX-EGM-GL'!J32+'TX-HPLR-GL '!J32+'TX-HPLC-GL'!J32</f>
        <v>9972198</v>
      </c>
      <c r="K32" s="38">
        <f>'TX-EGM-GL'!K32+'TX-HPLR-GL '!K32+'TX-HPLC-GL'!K32</f>
        <v>22666806.348000001</v>
      </c>
      <c r="L32" s="60">
        <f>'TX-EGM-GL'!L32+'TX-HPLR-GL '!L32+'TX-HPLC-GL'!L32</f>
        <v>-184536</v>
      </c>
      <c r="M32" s="38">
        <f>'TX-EGM-GL'!M32+'TX-HPLR-GL '!M32+'TX-HPLC-GL'!M32</f>
        <v>-419450.223</v>
      </c>
      <c r="N32" s="60">
        <f>'TX-EGM-GL'!N32+'TX-HPLR-GL '!N32+'TX-HPLC-GL'!N32</f>
        <v>96986</v>
      </c>
      <c r="O32" s="38">
        <f>'TX-EGM-GL'!O32+'TX-HPLR-GL '!O32+'TX-HPLC-GL'!O32</f>
        <v>220449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152830</v>
      </c>
      <c r="E36" s="39">
        <f t="shared" si="6"/>
        <v>347382.81100000185</v>
      </c>
      <c r="F36" s="61">
        <f t="shared" si="6"/>
        <v>0</v>
      </c>
      <c r="G36" s="39">
        <f t="shared" si="6"/>
        <v>0</v>
      </c>
      <c r="H36" s="61">
        <f t="shared" si="6"/>
        <v>-9731818</v>
      </c>
      <c r="I36" s="39">
        <f t="shared" si="6"/>
        <v>-22120422.313999999</v>
      </c>
      <c r="J36" s="61">
        <f t="shared" si="6"/>
        <v>9972198</v>
      </c>
      <c r="K36" s="39">
        <f t="shared" si="6"/>
        <v>22666806.348000001</v>
      </c>
      <c r="L36" s="61">
        <f t="shared" si="6"/>
        <v>-184536</v>
      </c>
      <c r="M36" s="39">
        <f t="shared" si="6"/>
        <v>-419450.223</v>
      </c>
      <c r="N36" s="61">
        <f>SUM(N32:N35)</f>
        <v>96986</v>
      </c>
      <c r="O36" s="39">
        <f>SUM(O32:O35)</f>
        <v>220449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-120910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-3532309</v>
      </c>
      <c r="E40" s="38">
        <f t="shared" si="7"/>
        <v>-10099457.890000001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-140000</v>
      </c>
      <c r="I40" s="38">
        <f>'TX-EGM-GL'!I40+'TX-HPLR-GL '!I40+'TX-HPLC-GL'!I40</f>
        <v>-299275.48</v>
      </c>
      <c r="J40" s="60">
        <f>'TX-EGM-GL'!J40+'TX-HPLR-GL '!J40+'TX-HPLC-GL'!J40</f>
        <v>-3392419</v>
      </c>
      <c r="K40" s="38">
        <f>'TX-EGM-GL'!K40+'TX-HPLR-GL '!K40+'TX-HPLC-GL'!K40</f>
        <v>-9325121.7200000007</v>
      </c>
      <c r="L40" s="60">
        <f>'TX-EGM-GL'!L40+'TX-HPLR-GL '!L40+'TX-HPLC-GL'!L40</f>
        <v>110</v>
      </c>
      <c r="M40" s="38">
        <f>'TX-EGM-GL'!M40+'TX-HPLR-GL '!M40+'TX-HPLC-GL'!M40</f>
        <v>-476905.68999999994</v>
      </c>
      <c r="N40" s="60">
        <f>'TX-EGM-GL'!N40+'TX-HPLR-GL '!N40+'TX-HPLC-GL'!N40</f>
        <v>0</v>
      </c>
      <c r="O40" s="38">
        <f>'TX-EGM-GL'!O40+'TX-HPLR-GL '!O40+'TX-HPLC-GL'!O40</f>
        <v>1845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-146152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-146152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-3532309</v>
      </c>
      <c r="E42" s="39">
        <f t="shared" si="8"/>
        <v>-10245609.890000001</v>
      </c>
      <c r="F42" s="61">
        <f t="shared" si="8"/>
        <v>0</v>
      </c>
      <c r="G42" s="39">
        <f t="shared" si="8"/>
        <v>-146152</v>
      </c>
      <c r="H42" s="61">
        <f t="shared" si="8"/>
        <v>-140000</v>
      </c>
      <c r="I42" s="39">
        <f t="shared" si="8"/>
        <v>-299275.48</v>
      </c>
      <c r="J42" s="61">
        <f t="shared" si="8"/>
        <v>-3392419</v>
      </c>
      <c r="K42" s="39">
        <f t="shared" si="8"/>
        <v>-9325121.7200000007</v>
      </c>
      <c r="L42" s="61">
        <f t="shared" si="8"/>
        <v>110</v>
      </c>
      <c r="M42" s="39">
        <f t="shared" si="8"/>
        <v>-476905.68999999994</v>
      </c>
      <c r="N42" s="61">
        <f>SUM(N40:N41)</f>
        <v>0</v>
      </c>
      <c r="O42" s="39">
        <f>SUM(O40:O41)</f>
        <v>1845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-3532309</v>
      </c>
      <c r="E43" s="39">
        <f t="shared" si="9"/>
        <v>-10366519.890000001</v>
      </c>
      <c r="F43" s="61">
        <f t="shared" si="9"/>
        <v>0</v>
      </c>
      <c r="G43" s="39">
        <f t="shared" si="9"/>
        <v>-267062</v>
      </c>
      <c r="H43" s="61">
        <f t="shared" si="9"/>
        <v>-140000</v>
      </c>
      <c r="I43" s="39">
        <f t="shared" si="9"/>
        <v>-299275.48</v>
      </c>
      <c r="J43" s="61">
        <f t="shared" si="9"/>
        <v>-3392419</v>
      </c>
      <c r="K43" s="39">
        <f t="shared" si="9"/>
        <v>-9325121.7200000007</v>
      </c>
      <c r="L43" s="61">
        <f t="shared" si="9"/>
        <v>110</v>
      </c>
      <c r="M43" s="39">
        <f t="shared" si="9"/>
        <v>-476905.68999999994</v>
      </c>
      <c r="N43" s="61">
        <f>N42+N39</f>
        <v>0</v>
      </c>
      <c r="O43" s="39">
        <f>O42+O39</f>
        <v>1845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113410.16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151245</v>
      </c>
      <c r="E49" s="38">
        <f>SUM(G49,I49,K49,M49,O49,Q49,S49,U49,W49,Y49,AA49,AC49,AE49)</f>
        <v>343779.73199999961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6458298</v>
      </c>
      <c r="I49" s="38">
        <f>'TX-EGM-GL'!I49+'TX-HPLR-GL '!I49+'TX-HPLC-GL'!I49</f>
        <v>14679711.810000001</v>
      </c>
      <c r="J49" s="60">
        <f>'TX-EGM-GL'!J49+'TX-HPLR-GL '!J49+'TX-HPLC-GL'!J49</f>
        <v>-6047842</v>
      </c>
      <c r="K49" s="38">
        <f>'TX-EGM-GL'!K49+'TX-HPLR-GL '!K49+'TX-HPLC-GL'!K49</f>
        <v>-13746745.335000001</v>
      </c>
      <c r="L49" s="60">
        <f>'TX-EGM-GL'!L49+'TX-HPLR-GL '!L49+'TX-HPLC-GL'!L49</f>
        <v>-10707</v>
      </c>
      <c r="M49" s="38">
        <f>'TX-EGM-GL'!M49+'TX-HPLR-GL '!M49+'TX-HPLC-GL'!M49</f>
        <v>-24336.857999999993</v>
      </c>
      <c r="N49" s="60">
        <f>'TX-EGM-GL'!N49+'TX-HPLR-GL '!N49+'TX-HPLC-GL'!N49</f>
        <v>-248504</v>
      </c>
      <c r="O49" s="38">
        <f>'TX-EGM-GL'!O49+'TX-HPLR-GL '!O49+'TX-HPLC-GL'!O49</f>
        <v>-564849.88500000001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-12946</v>
      </c>
      <c r="I51" s="38">
        <f>'TX-EGM-GL'!I51+'TX-HPLR-GL '!I51+'TX-HPLC-GL'!I51</f>
        <v>-29426.258000000002</v>
      </c>
      <c r="J51" s="60">
        <f>'TX-EGM-GL'!J51+'TX-HPLR-GL '!J51+'TX-HPLC-GL'!J51</f>
        <v>-860</v>
      </c>
      <c r="K51" s="38">
        <f>'TX-EGM-GL'!K51+'TX-HPLR-GL '!K51+'TX-HPLC-GL'!K51</f>
        <v>-1954.78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-16449022</v>
      </c>
      <c r="E54" s="38">
        <f>SUM(G54,I54,K54,M54,O54,Q54,S54,U54,W54,Y54,AA54,AC54,AE54)</f>
        <v>-1767612.96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-1365278</v>
      </c>
      <c r="H54" s="60">
        <f>'TX-EGM-GL'!H54+'TX-HPLR-GL '!H54+'TX-HPLC-GL'!H54</f>
        <v>-6709702</v>
      </c>
      <c r="I54" s="38">
        <f>'TX-EGM-GL'!I54+'TX-HPLR-GL '!I54+'TX-HPLC-GL'!I54</f>
        <v>-213269.27</v>
      </c>
      <c r="J54" s="60">
        <f>'TX-EGM-GL'!J54+'TX-HPLR-GL '!J54+'TX-HPLC-GL'!J54</f>
        <v>-9720573</v>
      </c>
      <c r="K54" s="38">
        <f>'TX-EGM-GL'!K54+'TX-HPLR-GL '!K54+'TX-HPLC-GL'!K54</f>
        <v>-205871.48</v>
      </c>
      <c r="L54" s="60">
        <f>'TX-EGM-GL'!L54+'TX-HPLR-GL '!L54+'TX-HPLC-GL'!L54</f>
        <v>-27495</v>
      </c>
      <c r="M54" s="38">
        <f>'TX-EGM-GL'!M54+'TX-HPLR-GL '!M54+'TX-HPLC-GL'!M54</f>
        <v>10606.04</v>
      </c>
      <c r="N54" s="60">
        <f>'TX-EGM-GL'!N54+'TX-HPLR-GL '!N54+'TX-HPLC-GL'!N54</f>
        <v>8748</v>
      </c>
      <c r="O54" s="38">
        <f>'TX-EGM-GL'!O54+'TX-HPLR-GL '!O54+'TX-HPLC-GL'!O54</f>
        <v>6199.75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-19.059999999999999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8848</v>
      </c>
      <c r="J55" s="60">
        <f>'TX-EGM-GL'!J55+'TX-HPLR-GL '!J55+'TX-HPLC-GL'!J55</f>
        <v>0</v>
      </c>
      <c r="K55" s="38">
        <f>'TX-EGM-GL'!K55+'TX-HPLR-GL '!K55+'TX-HPLC-GL'!K55</f>
        <v>-103300</v>
      </c>
      <c r="L55" s="60">
        <f>'TX-EGM-GL'!L55+'TX-HPLR-GL '!L55+'TX-HPLC-GL'!L55</f>
        <v>0</v>
      </c>
      <c r="M55" s="38">
        <f>'TX-EGM-GL'!M55+'TX-HPLR-GL '!M55+'TX-HPLC-GL'!M55</f>
        <v>1152</v>
      </c>
      <c r="N55" s="60">
        <f>'TX-EGM-GL'!N55+'TX-HPLR-GL '!N55+'TX-HPLC-GL'!N55</f>
        <v>0</v>
      </c>
      <c r="O55" s="38">
        <f>'TX-EGM-GL'!O55+'TX-HPLR-GL '!O55+'TX-HPLC-GL'!O55</f>
        <v>-19.059999999999999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-16449022</v>
      </c>
      <c r="E56" s="39">
        <f t="shared" si="10"/>
        <v>-1767632.02</v>
      </c>
      <c r="F56" s="61">
        <f t="shared" si="10"/>
        <v>0</v>
      </c>
      <c r="G56" s="39">
        <f t="shared" si="10"/>
        <v>-1271978</v>
      </c>
      <c r="H56" s="61">
        <f t="shared" si="10"/>
        <v>-6709702</v>
      </c>
      <c r="I56" s="39">
        <f t="shared" si="10"/>
        <v>-204421.27</v>
      </c>
      <c r="J56" s="61">
        <f t="shared" si="10"/>
        <v>-9720573</v>
      </c>
      <c r="K56" s="39">
        <f t="shared" si="10"/>
        <v>-309171.48</v>
      </c>
      <c r="L56" s="61">
        <f t="shared" si="10"/>
        <v>-27495</v>
      </c>
      <c r="M56" s="39">
        <f t="shared" si="10"/>
        <v>11758.04</v>
      </c>
      <c r="N56" s="61">
        <f>SUM(N54:N55)</f>
        <v>8748</v>
      </c>
      <c r="O56" s="39">
        <f>SUM(O54:O55)</f>
        <v>6180.69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-55559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-55559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-55559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-971.85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-971.85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-971.85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-971.85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-2639306.77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739518.78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-1899787.99</v>
      </c>
      <c r="F72" s="61">
        <f t="shared" si="13"/>
        <v>0</v>
      </c>
      <c r="G72" s="39">
        <f t="shared" si="13"/>
        <v>-1899787.99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1762479.91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-929977.05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692670.96</v>
      </c>
      <c r="N74" s="60">
        <f>'TX-EGM-GL'!N74+'TX-HPLR-GL '!N74+'TX-HPLC-GL'!N74</f>
        <v>0</v>
      </c>
      <c r="O74" s="38">
        <f>'TX-EGM-GL'!O74+'TX-HPLR-GL '!O74+'TX-HPLC-GL'!O74</f>
        <v>1999786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17700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17700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-2541.2800000000002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-2541.2800000000002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-61128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1098199.2130000074</v>
      </c>
      <c r="F82" s="91">
        <f>F16+F24+F29+F36+F43+F45+F47+F49</f>
        <v>0</v>
      </c>
      <c r="G82" s="92">
        <f>SUM(G72:G81)+G16+G24+G29+G36+G43+G45+G47+G49+G51+G56+G61+G66</f>
        <v>-9978867.0100000016</v>
      </c>
      <c r="H82" s="91">
        <f>H16+H24+H29+H36+H43+H45+H47+H49</f>
        <v>0</v>
      </c>
      <c r="I82" s="92">
        <f>SUM(I72:I81)+I16+I24+I29+I36+I43+I45+I47+I49+I51+I56+I61+I66</f>
        <v>13795918.475999985</v>
      </c>
      <c r="J82" s="91">
        <f>J16+J24+J29+J36+J43+J45+J47+J49</f>
        <v>0</v>
      </c>
      <c r="K82" s="92">
        <f>SUM(K72:K81)+K16+K24+K29+K36+K43+K45+K47+K49+K51+K56+K61+K66</f>
        <v>-4164977.2269999967</v>
      </c>
      <c r="L82" s="91">
        <f>L16+L24+L29+L36+L43+L45+L47+L49</f>
        <v>0</v>
      </c>
      <c r="M82" s="92">
        <f>SUM(M72:M81)+M16+M24+M29+M36+M43+M45+M47+M49+M51+M56+M61+M66</f>
        <v>-474052.47100000019</v>
      </c>
      <c r="N82" s="91">
        <f>N16+N24+N29+N36+N43+N45+N47+N49</f>
        <v>0</v>
      </c>
      <c r="O82" s="92">
        <f>SUM(O72:O81)+O16+O24+O29+O36+O43+O45+O47+O49+O51+O56+O61+O66</f>
        <v>1920177.4450000001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2598320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2598320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-2057500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-2057500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540820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1639019.2130000074</v>
      </c>
      <c r="F91" s="155">
        <f t="shared" si="19"/>
        <v>0</v>
      </c>
      <c r="G91" s="155">
        <f t="shared" si="19"/>
        <v>-9438047.0100000016</v>
      </c>
      <c r="H91" s="155">
        <f t="shared" si="19"/>
        <v>0</v>
      </c>
      <c r="I91" s="155">
        <f t="shared" si="19"/>
        <v>13795918.475999985</v>
      </c>
      <c r="J91" s="155">
        <f>+J82+J89</f>
        <v>0</v>
      </c>
      <c r="K91" s="155">
        <f>+K82+K89</f>
        <v>-4164977.2269999967</v>
      </c>
      <c r="L91" s="155">
        <f t="shared" si="19"/>
        <v>0</v>
      </c>
      <c r="M91" s="155">
        <f t="shared" si="19"/>
        <v>-474052.47100000019</v>
      </c>
      <c r="N91" s="155">
        <f t="shared" ref="N91:AE91" si="20">+N82+N89</f>
        <v>0</v>
      </c>
      <c r="O91" s="155">
        <f t="shared" si="20"/>
        <v>1920177.4450000001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13" sqref="O1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41098169</v>
      </c>
      <c r="E11" s="38">
        <f>SUM(G11,I11,K11,M11,O11,Q11,S11,U11,W11,Y11,AA11,AC11,AE11)</f>
        <v>92204414.050000012</v>
      </c>
      <c r="F11" s="60">
        <f>'TIE-OUT'!P11+RECLASS!N11</f>
        <v>0</v>
      </c>
      <c r="G11" s="38">
        <f>'TIE-OUT'!Q11+RECLASS!O11</f>
        <v>0</v>
      </c>
      <c r="H11" s="118">
        <f>+Actuals!E484</f>
        <v>41151063</v>
      </c>
      <c r="I11" s="119">
        <f>+Actuals!F484</f>
        <v>92392968.040000007</v>
      </c>
      <c r="J11" s="118">
        <f>+Actuals!G484</f>
        <v>-87867</v>
      </c>
      <c r="K11" s="119">
        <f>+Actuals!H484</f>
        <v>-269007.28000000003</v>
      </c>
      <c r="L11" s="118">
        <f>+Actuals!I484</f>
        <v>58779</v>
      </c>
      <c r="M11" s="119">
        <f>+Actuals!J484</f>
        <v>128065.06</v>
      </c>
      <c r="N11" s="118">
        <f>+Actuals!K484</f>
        <v>-23806</v>
      </c>
      <c r="O11" s="119">
        <f>+Actuals!L484</f>
        <v>-47611.77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2368361.73</v>
      </c>
      <c r="F12" s="60">
        <f>'TIE-OUT'!P12+RECLASS!N12</f>
        <v>0</v>
      </c>
      <c r="G12" s="38">
        <f>'TIE-OUT'!Q12+RECLASS!O12</f>
        <v>2551788.73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+Actuals!H485-195152</f>
        <v>-195152</v>
      </c>
      <c r="L12" s="118">
        <f>+Actuals!I485</f>
        <v>0</v>
      </c>
      <c r="M12" s="215">
        <f>+Actuals!J485+11725</f>
        <v>11725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'TIE-OUT'!P13+RECLASS!N13</f>
        <v>0</v>
      </c>
      <c r="G13" s="38">
        <f>'TIE-OUT'!Q13+RECLASS!O13</f>
        <v>0</v>
      </c>
      <c r="H13" s="118">
        <f>+Actuals!E486</f>
        <v>19208491</v>
      </c>
      <c r="I13" s="119">
        <f>+Actuals!F486</f>
        <v>45307321</v>
      </c>
      <c r="J13" s="118">
        <f>+Actuals!G486</f>
        <v>-19208491</v>
      </c>
      <c r="K13" s="119">
        <f>+Actuals!H486</f>
        <v>-45307321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1131020.68</v>
      </c>
      <c r="F15" s="81">
        <f>'TIE-OUT'!P15+RECLASS!N15</f>
        <v>0</v>
      </c>
      <c r="G15" s="82">
        <f>'TIE-OUT'!Q15+RECLASS!O15</f>
        <v>0</v>
      </c>
      <c r="H15" s="118">
        <f>+Actuals!E488</f>
        <v>0</v>
      </c>
      <c r="I15" s="119">
        <f>+Actuals!F488</f>
        <v>1129129</v>
      </c>
      <c r="J15" s="118">
        <f>+Actuals!G488</f>
        <v>0</v>
      </c>
      <c r="K15" s="119">
        <f>+Actuals!H488</f>
        <v>1891.68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41098169</v>
      </c>
      <c r="E16" s="39">
        <f t="shared" si="1"/>
        <v>95703796.460000023</v>
      </c>
      <c r="F16" s="61">
        <f t="shared" si="1"/>
        <v>0</v>
      </c>
      <c r="G16" s="39">
        <f t="shared" si="1"/>
        <v>2551788.73</v>
      </c>
      <c r="H16" s="61">
        <f t="shared" si="1"/>
        <v>60359554</v>
      </c>
      <c r="I16" s="39">
        <f t="shared" si="1"/>
        <v>138829418.04000002</v>
      </c>
      <c r="J16" s="61">
        <f t="shared" ref="J16:AO16" si="2">SUM(J11:J15)</f>
        <v>-19296358</v>
      </c>
      <c r="K16" s="39">
        <f t="shared" si="2"/>
        <v>-45769588.600000001</v>
      </c>
      <c r="L16" s="61">
        <f t="shared" si="2"/>
        <v>58779</v>
      </c>
      <c r="M16" s="39">
        <f t="shared" si="2"/>
        <v>139790.06</v>
      </c>
      <c r="N16" s="61">
        <f>SUM(N11:N15)</f>
        <v>-23806</v>
      </c>
      <c r="O16" s="39">
        <f>SUM(O11:O15)</f>
        <v>-47611.77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-42906776</v>
      </c>
      <c r="E19" s="38">
        <f t="shared" si="3"/>
        <v>-96368748.659999982</v>
      </c>
      <c r="F19" s="64">
        <f>'TIE-OUT'!P19+RECLASS!N19</f>
        <v>0</v>
      </c>
      <c r="G19" s="68">
        <f>'TIE-OUT'!Q19+RECLASS!O19</f>
        <v>0</v>
      </c>
      <c r="H19" s="118">
        <f>+Actuals!E489</f>
        <v>-42688795</v>
      </c>
      <c r="I19" s="119">
        <f>+Actuals!F489</f>
        <v>-96195381.11999999</v>
      </c>
      <c r="J19" s="118">
        <f>+Actuals!G489</f>
        <v>-229268</v>
      </c>
      <c r="K19" s="119">
        <f>+Actuals!H489</f>
        <v>-194596.82</v>
      </c>
      <c r="L19" s="118">
        <f>+Actuals!I489</f>
        <v>21407</v>
      </c>
      <c r="M19" s="119">
        <f>+Actuals!J489</f>
        <v>46190.879999999997</v>
      </c>
      <c r="N19" s="118">
        <f>+Actuals!K489</f>
        <v>-10120</v>
      </c>
      <c r="O19" s="119">
        <f>+Actuals!L489</f>
        <v>-24961.599999999999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-76977.850000000006</v>
      </c>
      <c r="F20" s="60">
        <f>'TIE-OUT'!P20+RECLASS!N20</f>
        <v>0</v>
      </c>
      <c r="G20" s="38">
        <f>'TIE-OUT'!Q20+RECLASS!O20</f>
        <v>-76977.850000000006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-67499</v>
      </c>
      <c r="E21" s="38">
        <f t="shared" si="3"/>
        <v>-145658</v>
      </c>
      <c r="F21" s="60">
        <f>'TIE-OUT'!P21+RECLASS!N21</f>
        <v>0</v>
      </c>
      <c r="G21" s="38">
        <f>'TIE-OUT'!Q21+RECLASS!O21</f>
        <v>0</v>
      </c>
      <c r="H21" s="118">
        <f>+Actuals!E491</f>
        <v>-19275990</v>
      </c>
      <c r="I21" s="119">
        <f>+Actuals!F491</f>
        <v>-45452981</v>
      </c>
      <c r="J21" s="118">
        <f>+Actuals!G491</f>
        <v>19208491</v>
      </c>
      <c r="K21" s="119">
        <f>+Actuals!H491</f>
        <v>45307323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719124</v>
      </c>
      <c r="E23" s="38">
        <f t="shared" si="3"/>
        <v>1587106.6679999998</v>
      </c>
      <c r="F23" s="81">
        <f>'TIE-OUT'!P23+RECLASS!N23</f>
        <v>0</v>
      </c>
      <c r="G23" s="82">
        <f>'TIE-OUT'!Q23+RECLASS!O23</f>
        <v>0</v>
      </c>
      <c r="H23" s="118">
        <f>+Actuals!E493</f>
        <v>719145</v>
      </c>
      <c r="I23" s="119">
        <f>+Actuals!F493</f>
        <v>1587153.0149999999</v>
      </c>
      <c r="J23" s="118">
        <f>+Actuals!G493</f>
        <v>-21</v>
      </c>
      <c r="K23" s="119">
        <f>+Actuals!H493</f>
        <v>-46.347000000000001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-42255151</v>
      </c>
      <c r="E24" s="39">
        <f t="shared" si="4"/>
        <v>-95004277.841999978</v>
      </c>
      <c r="F24" s="61">
        <f t="shared" si="4"/>
        <v>0</v>
      </c>
      <c r="G24" s="39">
        <f t="shared" si="4"/>
        <v>-76977.850000000006</v>
      </c>
      <c r="H24" s="61">
        <f t="shared" si="4"/>
        <v>-61245640</v>
      </c>
      <c r="I24" s="39">
        <f t="shared" si="4"/>
        <v>-140061209.10500002</v>
      </c>
      <c r="J24" s="61">
        <f t="shared" ref="J24:AO24" si="5">SUM(J19:J23)</f>
        <v>18979202</v>
      </c>
      <c r="K24" s="39">
        <f t="shared" si="5"/>
        <v>45112679.832999997</v>
      </c>
      <c r="L24" s="61">
        <f t="shared" si="5"/>
        <v>21407</v>
      </c>
      <c r="M24" s="39">
        <f t="shared" si="5"/>
        <v>46190.879999999997</v>
      </c>
      <c r="N24" s="61">
        <f>SUM(N19:N23)</f>
        <v>-10120</v>
      </c>
      <c r="O24" s="39">
        <f>SUM(O19:O23)</f>
        <v>-24961.599999999999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857593</v>
      </c>
      <c r="E27" s="38">
        <f>SUM(G27,I27,K27,M27,O27,Q27,S27,U27,W27,Y27,AA27,AC27,AE27)</f>
        <v>2021036.0799999998</v>
      </c>
      <c r="F27" s="64">
        <f>'TIE-OUT'!P27+RECLASS!N27</f>
        <v>0</v>
      </c>
      <c r="G27" s="68">
        <f>'TIE-OUT'!Q27+RECLASS!O27</f>
        <v>0</v>
      </c>
      <c r="H27" s="118">
        <f>+Actuals!E494</f>
        <v>859628</v>
      </c>
      <c r="I27" s="119">
        <f>+Actuals!F494</f>
        <v>2026388.13</v>
      </c>
      <c r="J27" s="118">
        <f>+Actuals!G494</f>
        <v>-2035</v>
      </c>
      <c r="K27" s="119">
        <f>+Actuals!H494</f>
        <v>-5352.05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'TIE-OUT'!P28+RECLASS!N28</f>
        <v>0</v>
      </c>
      <c r="G28" s="82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857593</v>
      </c>
      <c r="E29" s="39">
        <f t="shared" si="6"/>
        <v>2021036.0799999998</v>
      </c>
      <c r="F29" s="61">
        <f t="shared" si="6"/>
        <v>0</v>
      </c>
      <c r="G29" s="39">
        <f t="shared" si="6"/>
        <v>0</v>
      </c>
      <c r="H29" s="61">
        <f t="shared" si="6"/>
        <v>859628</v>
      </c>
      <c r="I29" s="39">
        <f t="shared" si="6"/>
        <v>2026388.13</v>
      </c>
      <c r="J29" s="61">
        <f t="shared" ref="J29:AO29" si="7">SUM(J27:J28)</f>
        <v>-2035</v>
      </c>
      <c r="K29" s="39">
        <f t="shared" si="7"/>
        <v>-5352.05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-62506</v>
      </c>
      <c r="E32" s="38">
        <f t="shared" si="8"/>
        <v>-137950.74199999988</v>
      </c>
      <c r="F32" s="64">
        <f>'TIE-OUT'!P32+RECLASS!N32</f>
        <v>0</v>
      </c>
      <c r="G32" s="68">
        <f>'TIE-OUT'!Q32+RECLASS!O32</f>
        <v>0</v>
      </c>
      <c r="H32" s="118">
        <f>+Actuals!E496</f>
        <v>-57911</v>
      </c>
      <c r="I32" s="119">
        <f>+Actuals!F496</f>
        <v>-127809.577</v>
      </c>
      <c r="J32" s="118">
        <f>+Actuals!G496</f>
        <v>-1702877</v>
      </c>
      <c r="K32" s="119">
        <f>+Actuals!H496</f>
        <v>-3758249.5389999999</v>
      </c>
      <c r="L32" s="118">
        <f>+Actuals!I496</f>
        <v>1708683</v>
      </c>
      <c r="M32" s="119">
        <f>+Actuals!J496</f>
        <v>3771063.3810000001</v>
      </c>
      <c r="N32" s="118">
        <f>+Actuals!K496</f>
        <v>-10401</v>
      </c>
      <c r="O32" s="119">
        <f>+Actuals!L496</f>
        <v>-22955.007000000001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-570</v>
      </c>
      <c r="E33" s="38">
        <f t="shared" si="8"/>
        <v>-1268.22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-569</v>
      </c>
      <c r="K33" s="119">
        <f>+Actuals!H497</f>
        <v>-1266.03</v>
      </c>
      <c r="L33" s="118">
        <f>+Actuals!I497</f>
        <v>-1</v>
      </c>
      <c r="M33" s="119">
        <f>+Actuals!J497</f>
        <v>-2.19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</v>
      </c>
      <c r="E34" s="38">
        <f t="shared" si="8"/>
        <v>12.9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f>+Actuals!I498</f>
        <v>6</v>
      </c>
      <c r="M34" s="119">
        <f>+Actuals!J498</f>
        <v>12.9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'TIE-OUT'!P35+RECLASS!N35</f>
        <v>0</v>
      </c>
      <c r="G35" s="82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-63070</v>
      </c>
      <c r="E36" s="39">
        <f t="shared" si="9"/>
        <v>-139206.06199999989</v>
      </c>
      <c r="F36" s="61">
        <f t="shared" si="9"/>
        <v>0</v>
      </c>
      <c r="G36" s="39">
        <f t="shared" si="9"/>
        <v>0</v>
      </c>
      <c r="H36" s="61">
        <f t="shared" si="9"/>
        <v>-57911</v>
      </c>
      <c r="I36" s="39">
        <f t="shared" si="9"/>
        <v>-127809.577</v>
      </c>
      <c r="J36" s="61">
        <f t="shared" ref="J36:AO36" si="10">SUM(J32:J35)</f>
        <v>-1703446</v>
      </c>
      <c r="K36" s="39">
        <f t="shared" si="10"/>
        <v>-3759515.5689999997</v>
      </c>
      <c r="L36" s="61">
        <f t="shared" si="10"/>
        <v>1708688</v>
      </c>
      <c r="M36" s="39">
        <f t="shared" si="10"/>
        <v>3771074.091</v>
      </c>
      <c r="N36" s="61">
        <f>SUM(N32:N35)</f>
        <v>-10401</v>
      </c>
      <c r="O36" s="39">
        <f>SUM(O32:O35)</f>
        <v>-22955.007000000001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221557</v>
      </c>
      <c r="E39" s="38">
        <f t="shared" si="11"/>
        <v>488978.93</v>
      </c>
      <c r="F39" s="64">
        <f>'TIE-OUT'!P39+RECLASS!N39</f>
        <v>0</v>
      </c>
      <c r="G39" s="68">
        <f>'TIE-OUT'!Q39+RECLASS!O39</f>
        <v>0</v>
      </c>
      <c r="H39" s="118">
        <f>+Actuals!E500</f>
        <v>3701</v>
      </c>
      <c r="I39" s="119">
        <f>+Actuals!F500</f>
        <v>8168.11</v>
      </c>
      <c r="J39" s="118">
        <f>+Actuals!G500</f>
        <v>217856</v>
      </c>
      <c r="K39" s="119">
        <f>+Actuals!H500</f>
        <v>480810.82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0</v>
      </c>
      <c r="K40" s="119">
        <f>+Actuals!H501</f>
        <v>0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221557</v>
      </c>
      <c r="E43" s="39">
        <f t="shared" si="14"/>
        <v>488978.93</v>
      </c>
      <c r="F43" s="61">
        <f t="shared" si="14"/>
        <v>0</v>
      </c>
      <c r="G43" s="39">
        <f t="shared" si="14"/>
        <v>0</v>
      </c>
      <c r="H43" s="61">
        <f t="shared" si="14"/>
        <v>3701</v>
      </c>
      <c r="I43" s="39">
        <f t="shared" si="14"/>
        <v>8168.11</v>
      </c>
      <c r="J43" s="61">
        <f t="shared" ref="J43:AO43" si="15">J42+J39</f>
        <v>217856</v>
      </c>
      <c r="K43" s="39">
        <f t="shared" si="15"/>
        <v>480810.82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140902</v>
      </c>
      <c r="E49" s="38">
        <f>SUM(G49,I49,K49,M49,O49,Q49,S49,U49,W49,Y49,AA49,AC49,AE49)</f>
        <v>310970.71399999992</v>
      </c>
      <c r="F49" s="60">
        <f>'TIE-OUT'!P49+RECLASS!N49</f>
        <v>0</v>
      </c>
      <c r="G49" s="38">
        <f>'TIE-OUT'!Q49+RECLASS!O49</f>
        <v>0</v>
      </c>
      <c r="H49" s="118">
        <f>+Actuals!E505</f>
        <v>80668</v>
      </c>
      <c r="I49" s="119">
        <f>+Actuals!F505</f>
        <v>178034.27600000001</v>
      </c>
      <c r="J49" s="118">
        <f>+Actuals!G505</f>
        <v>1804781</v>
      </c>
      <c r="K49" s="119">
        <f>+Actuals!H505</f>
        <v>3983151.6669999999</v>
      </c>
      <c r="L49" s="118">
        <f>+Actuals!I505</f>
        <v>-1788874</v>
      </c>
      <c r="M49" s="119">
        <f>+Actuals!J505</f>
        <v>-3948044.9180000001</v>
      </c>
      <c r="N49" s="118">
        <f>+Actuals!K505</f>
        <v>44327</v>
      </c>
      <c r="O49" s="119">
        <f>+Actuals!L505</f>
        <v>97829.688999999998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-719124</v>
      </c>
      <c r="E51" s="38">
        <f>SUM(G51,I51,K51,M51,O51,Q51,S51,U51,W51,Y51,AA51,AC51,AE51)</f>
        <v>-1587106.6679999998</v>
      </c>
      <c r="F51" s="60">
        <f>'TIE-OUT'!P51+RECLASS!N51</f>
        <v>0</v>
      </c>
      <c r="G51" s="38">
        <f>'TIE-OUT'!Q51+RECLASS!O51</f>
        <v>0</v>
      </c>
      <c r="H51" s="118">
        <f>+Actuals!E506</f>
        <v>-719145</v>
      </c>
      <c r="I51" s="119">
        <f>+Actuals!F506</f>
        <v>-1587153.0149999999</v>
      </c>
      <c r="J51" s="118">
        <f>+Actuals!G506</f>
        <v>21</v>
      </c>
      <c r="K51" s="119">
        <f>+Actuals!H506</f>
        <v>46.347000000000001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-25543694</v>
      </c>
      <c r="E54" s="38">
        <f>SUM(G54,I54,K54,M54,O54,Q54,S54,U54,W54,Y54,AA54,AC54,AE54)</f>
        <v>-393621.56</v>
      </c>
      <c r="F54" s="64">
        <f>'TIE-OUT'!P54+RECLASS!N54</f>
        <v>0</v>
      </c>
      <c r="G54" s="68">
        <f>'TIE-OUT'!Q54+RECLASS!O54</f>
        <v>0</v>
      </c>
      <c r="H54" s="118">
        <f>+Actuals!E507</f>
        <v>-24183369</v>
      </c>
      <c r="I54" s="119">
        <f>+Actuals!F507</f>
        <v>-379380.82</v>
      </c>
      <c r="J54" s="118">
        <f>+Actuals!G507</f>
        <v>-2294047</v>
      </c>
      <c r="K54" s="119">
        <f>+Actuals!H507</f>
        <v>-14240.75</v>
      </c>
      <c r="L54" s="118">
        <f>+Actuals!I507</f>
        <v>1699793</v>
      </c>
      <c r="M54" s="119">
        <f>+Actuals!J507</f>
        <v>9.9999999999980105E-3</v>
      </c>
      <c r="N54" s="118">
        <f>+Actuals!K507</f>
        <v>-766071</v>
      </c>
      <c r="O54" s="119">
        <f>+Actuals!L507</f>
        <v>1.3500311979441904E-13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-5448663.5700000003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-2278451.4500000002</v>
      </c>
      <c r="J55" s="118">
        <f>+Actuals!G508</f>
        <v>0</v>
      </c>
      <c r="K55" s="119">
        <f>+Actuals!H508</f>
        <v>-3170212.12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-25543694</v>
      </c>
      <c r="E56" s="39">
        <f t="shared" si="16"/>
        <v>-5842285.1299999999</v>
      </c>
      <c r="F56" s="61">
        <f t="shared" si="16"/>
        <v>0</v>
      </c>
      <c r="G56" s="39">
        <f t="shared" si="16"/>
        <v>0</v>
      </c>
      <c r="H56" s="61">
        <f t="shared" si="16"/>
        <v>-24183369</v>
      </c>
      <c r="I56" s="39">
        <f t="shared" si="16"/>
        <v>-2657832.27</v>
      </c>
      <c r="J56" s="61">
        <f t="shared" ref="J56:AO56" si="17">SUM(J54:J55)</f>
        <v>-2294047</v>
      </c>
      <c r="K56" s="39">
        <f t="shared" si="17"/>
        <v>-3184452.87</v>
      </c>
      <c r="L56" s="61">
        <f t="shared" si="17"/>
        <v>1699793</v>
      </c>
      <c r="M56" s="39">
        <f t="shared" si="17"/>
        <v>9.9999999999980105E-3</v>
      </c>
      <c r="N56" s="61">
        <f>SUM(N54:N55)</f>
        <v>-766071</v>
      </c>
      <c r="O56" s="39">
        <f>SUM(O54:O55)</f>
        <v>1.3500311979441904E-13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6953222</v>
      </c>
      <c r="F70" s="64">
        <f>'TIE-OUT'!P70+RECLASS!N70</f>
        <v>0</v>
      </c>
      <c r="G70" s="68">
        <f>'TIE-OUT'!Q70+RECLASS!O70</f>
        <v>6953222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-2053660</v>
      </c>
      <c r="F71" s="81">
        <f>'TIE-OUT'!P71+RECLASS!N71</f>
        <v>0</v>
      </c>
      <c r="G71" s="82">
        <f>'TIE-OUT'!Q71+RECLASS!O71</f>
        <v>-2053660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4899562</v>
      </c>
      <c r="F72" s="61">
        <f t="shared" si="22"/>
        <v>0</v>
      </c>
      <c r="G72" s="39">
        <f t="shared" si="22"/>
        <v>4899562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1433657.44</v>
      </c>
      <c r="F74" s="60">
        <f>'TIE-OUT'!P74+RECLASS!N74</f>
        <v>0</v>
      </c>
      <c r="G74" s="60">
        <f>'TIE-OUT'!Q74+RECLASS!O74</f>
        <v>1421257.44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215">
        <f>+Actuals!J516+12400</f>
        <v>12400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354800</v>
      </c>
      <c r="F75" s="60">
        <f>'TIE-OUT'!P75+RECLASS!N75</f>
        <v>0</v>
      </c>
      <c r="G75" s="60">
        <f>'TIE-OUT'!Q75+RECLASS!O75</f>
        <v>354800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-10021.69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-9739.94</v>
      </c>
      <c r="J76" s="118">
        <f>+Actuals!G518</f>
        <v>0</v>
      </c>
      <c r="K76" s="119">
        <f>+Actuals!H518</f>
        <v>-281.75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7142.86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2637047.0920000458</v>
      </c>
      <c r="F82" s="91">
        <f>F16+F24+F29+F36+F43+F45+F47+F49</f>
        <v>0</v>
      </c>
      <c r="G82" s="92">
        <f>SUM(G72:G81)+G16+G24+G29+G36+G43+G45+G47+G49+G51+G56+G61+G66</f>
        <v>9150430.3200000003</v>
      </c>
      <c r="H82" s="91">
        <f>H16+H24+H29+H36+H43+H45+H47+H49</f>
        <v>0</v>
      </c>
      <c r="I82" s="92">
        <f>SUM(I72:I81)+I16+I24+I29+I36+I43+I45+I47+I49+I51+I56+I61+I66</f>
        <v>-3394592.4910000106</v>
      </c>
      <c r="J82" s="91">
        <f>J16+J24+J29+J36+J43+J45+J47+J49</f>
        <v>0</v>
      </c>
      <c r="K82" s="137">
        <f>SUM(K72:K81)+K16+K24+K29+K36+K43+K45+K47+K49+K51+K56+K61+K66</f>
        <v>-3142502.1720000049</v>
      </c>
      <c r="L82" s="91">
        <f>L16+L24+L29+L36+L43+L45+L47+L49</f>
        <v>0</v>
      </c>
      <c r="M82" s="92">
        <f>SUM(M72:M81)+M16+M24+M29+M36+M43+M45+M47+M49+M51+M56+M61+M66</f>
        <v>21410.122999999894</v>
      </c>
      <c r="N82" s="91">
        <f>N16+N24+N29+N36+N43+N45+N47+N49</f>
        <v>0</v>
      </c>
      <c r="O82" s="92">
        <f>SUM(O72:O81)+O16+O24+O29+O36+O43+O45+O47+O49+O51+O56+O61+O66</f>
        <v>2301.3120000000054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59" activePane="bottomRight" state="frozen"/>
      <selection activeCell="N31" sqref="N31"/>
      <selection pane="topRight" activeCell="N31" sqref="N31"/>
      <selection pane="bottomLeft" activeCell="N31" sqref="N31"/>
      <selection pane="bottomRight" activeCell="O75" sqref="O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4109285</v>
      </c>
      <c r="E11" s="38">
        <f>SUM(G11,I11,K11,M11,O11,Q11,S11,U11,W11,Y11,AA11,AC11,AE11)</f>
        <v>8933225.290000001</v>
      </c>
      <c r="F11" s="60">
        <f>'TIE-OUT'!R11+RECLASS!P11</f>
        <v>0</v>
      </c>
      <c r="G11" s="38">
        <f>'TIE-OUT'!S11+RECLASS!Q11</f>
        <v>0</v>
      </c>
      <c r="H11" s="118">
        <f>+Actuals!E204</f>
        <v>4255797</v>
      </c>
      <c r="I11" s="119">
        <f>+Actuals!F204</f>
        <v>9230933.0700000003</v>
      </c>
      <c r="J11" s="118">
        <f>+Actuals!G204</f>
        <v>-800585</v>
      </c>
      <c r="K11" s="119">
        <f>+Actuals!H204</f>
        <v>-1724157.76</v>
      </c>
      <c r="L11" s="118">
        <f>+Actuals!I204</f>
        <v>654073</v>
      </c>
      <c r="M11" s="119">
        <f>+Actuals!J204</f>
        <v>1426449.98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-386881.57</v>
      </c>
      <c r="F12" s="60">
        <f>'TIE-OUT'!R12+RECLASS!P12</f>
        <v>0</v>
      </c>
      <c r="G12" s="38">
        <f>'TIE-OUT'!S12+RECLASS!Q12</f>
        <v>-386881.57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354469</v>
      </c>
      <c r="E13" s="38">
        <f t="shared" si="0"/>
        <v>818936</v>
      </c>
      <c r="F13" s="60">
        <f>'TIE-OUT'!R13+RECLASS!P13</f>
        <v>0</v>
      </c>
      <c r="G13" s="38">
        <f>'TIE-OUT'!S13+RECLASS!Q13</f>
        <v>0</v>
      </c>
      <c r="H13" s="118">
        <f>+Actuals!E206</f>
        <v>4105116</v>
      </c>
      <c r="I13" s="119">
        <f>+Actuals!F206</f>
        <v>9214231</v>
      </c>
      <c r="J13" s="118">
        <f>+Actuals!G206</f>
        <v>-3750647</v>
      </c>
      <c r="K13" s="119">
        <f>+Actuals!H206</f>
        <v>-8395295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4463754</v>
      </c>
      <c r="E16" s="39">
        <f t="shared" si="1"/>
        <v>9371412.1400000006</v>
      </c>
      <c r="F16" s="61">
        <f t="shared" si="1"/>
        <v>0</v>
      </c>
      <c r="G16" s="39">
        <f t="shared" si="1"/>
        <v>-386881.57</v>
      </c>
      <c r="H16" s="61">
        <f t="shared" si="1"/>
        <v>8360913</v>
      </c>
      <c r="I16" s="39">
        <f t="shared" si="1"/>
        <v>18451296.490000002</v>
      </c>
      <c r="J16" s="61">
        <f t="shared" ref="J16:AO16" si="2">SUM(J11:J15)</f>
        <v>-4551232</v>
      </c>
      <c r="K16" s="39">
        <f t="shared" si="2"/>
        <v>-10119452.76</v>
      </c>
      <c r="L16" s="61">
        <f t="shared" si="2"/>
        <v>654073</v>
      </c>
      <c r="M16" s="39">
        <f t="shared" si="2"/>
        <v>1426449.98</v>
      </c>
      <c r="N16" s="61">
        <f>SUM(N11:N15)</f>
        <v>0</v>
      </c>
      <c r="O16" s="39">
        <f>SUM(O11:O15)</f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-4880727</v>
      </c>
      <c r="E19" s="38">
        <f t="shared" si="3"/>
        <v>-10188373.58</v>
      </c>
      <c r="F19" s="64">
        <f>'TIE-OUT'!R19+RECLASS!P19</f>
        <v>0</v>
      </c>
      <c r="G19" s="68">
        <f>'TIE-OUT'!S19+RECLASS!Q19</f>
        <v>0</v>
      </c>
      <c r="H19" s="118">
        <f>+Actuals!E209</f>
        <v>-5156799</v>
      </c>
      <c r="I19" s="119">
        <f>+Actuals!F209</f>
        <v>-11003538.18</v>
      </c>
      <c r="J19" s="118">
        <f>+Actuals!G209</f>
        <v>1015831</v>
      </c>
      <c r="K19" s="119">
        <f>+Actuals!H209</f>
        <v>2401256.29</v>
      </c>
      <c r="L19" s="118">
        <f>+Actuals!I209</f>
        <v>-739759</v>
      </c>
      <c r="M19" s="119">
        <f>+Actuals!J209</f>
        <v>-1586091.69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263447.03999999998</v>
      </c>
      <c r="F20" s="60">
        <f>'TIE-OUT'!R20+RECLASS!P20</f>
        <v>0</v>
      </c>
      <c r="G20" s="38">
        <f>'TIE-OUT'!S20+RECLASS!Q20</f>
        <v>263447.03999999998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-219</v>
      </c>
      <c r="F21" s="60">
        <f>'TIE-OUT'!R21+RECLASS!P21</f>
        <v>0</v>
      </c>
      <c r="G21" s="38">
        <f>'TIE-OUT'!S21+RECLASS!Q21</f>
        <v>0</v>
      </c>
      <c r="H21" s="118">
        <f>+Actuals!E211</f>
        <v>-3759464</v>
      </c>
      <c r="I21" s="119">
        <f>+Actuals!F211</f>
        <v>-8415663</v>
      </c>
      <c r="J21" s="118">
        <f>+Actuals!G211</f>
        <v>3759371</v>
      </c>
      <c r="K21" s="119">
        <f>+Actuals!H211</f>
        <v>8415444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2687</v>
      </c>
      <c r="E23" s="38">
        <f t="shared" si="3"/>
        <v>5798.5460000000003</v>
      </c>
      <c r="F23" s="81">
        <f>'TIE-OUT'!R23+RECLASS!P23</f>
        <v>0</v>
      </c>
      <c r="G23" s="82">
        <f>'TIE-OUT'!S23+RECLASS!Q23</f>
        <v>0</v>
      </c>
      <c r="H23" s="118">
        <f>+Actuals!E213</f>
        <v>2687</v>
      </c>
      <c r="I23" s="119">
        <f>+Actuals!F213</f>
        <v>5798.5460000000003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-4878133</v>
      </c>
      <c r="E24" s="39">
        <f t="shared" si="4"/>
        <v>-9919346.9940000009</v>
      </c>
      <c r="F24" s="61">
        <f t="shared" si="4"/>
        <v>0</v>
      </c>
      <c r="G24" s="39">
        <f t="shared" si="4"/>
        <v>263447.03999999998</v>
      </c>
      <c r="H24" s="61">
        <f t="shared" si="4"/>
        <v>-8913576</v>
      </c>
      <c r="I24" s="39">
        <f t="shared" si="4"/>
        <v>-19413402.634</v>
      </c>
      <c r="J24" s="61">
        <f t="shared" ref="J24:AO24" si="5">SUM(J19:J23)</f>
        <v>4775202</v>
      </c>
      <c r="K24" s="39">
        <f t="shared" si="5"/>
        <v>10816700.289999999</v>
      </c>
      <c r="L24" s="61">
        <f t="shared" si="5"/>
        <v>-739759</v>
      </c>
      <c r="M24" s="39">
        <f t="shared" si="5"/>
        <v>-1586091.69</v>
      </c>
      <c r="N24" s="61">
        <f>SUM(N19:N23)</f>
        <v>0</v>
      </c>
      <c r="O24" s="39">
        <f>SUM(O19:O23)</f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-3181</v>
      </c>
      <c r="E32" s="38">
        <f t="shared" si="7"/>
        <v>14910.360000000015</v>
      </c>
      <c r="F32" s="64">
        <f>'TIE-OUT'!R32+RECLASS!P32</f>
        <v>0</v>
      </c>
      <c r="G32" s="68">
        <f>'TIE-OUT'!S32+RECLASS!Q32</f>
        <v>0</v>
      </c>
      <c r="H32" s="118">
        <f>+Actuals!E216</f>
        <v>69347</v>
      </c>
      <c r="I32" s="119">
        <f>+Actuals!F216</f>
        <v>171425.78400000001</v>
      </c>
      <c r="J32" s="118">
        <f>+Actuals!G216</f>
        <v>-72528</v>
      </c>
      <c r="K32" s="119">
        <f>+Actuals!H216</f>
        <v>-156515.424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-3181</v>
      </c>
      <c r="E36" s="39">
        <f t="shared" si="8"/>
        <v>14910.360000000015</v>
      </c>
      <c r="F36" s="61">
        <f t="shared" si="8"/>
        <v>0</v>
      </c>
      <c r="G36" s="39">
        <f t="shared" si="8"/>
        <v>0</v>
      </c>
      <c r="H36" s="61">
        <f t="shared" si="8"/>
        <v>69347</v>
      </c>
      <c r="I36" s="39">
        <f t="shared" si="8"/>
        <v>171425.78400000001</v>
      </c>
      <c r="J36" s="61">
        <f t="shared" ref="J36:AO36" si="9">SUM(J32:J35)</f>
        <v>-72528</v>
      </c>
      <c r="K36" s="39">
        <f t="shared" si="9"/>
        <v>-156515.424</v>
      </c>
      <c r="L36" s="61">
        <f t="shared" si="9"/>
        <v>0</v>
      </c>
      <c r="M36" s="39">
        <f t="shared" si="9"/>
        <v>0</v>
      </c>
      <c r="N36" s="61">
        <f>SUM(N32:N35)</f>
        <v>0</v>
      </c>
      <c r="O36" s="39">
        <f>SUM(O32:O35)</f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417560</v>
      </c>
      <c r="E49" s="38">
        <f>SUM(G49,I49,K49,M49,O49,Q49,S49,U49,W49,Y49,AA49,AC49,AE49)</f>
        <v>901094.48</v>
      </c>
      <c r="F49" s="60">
        <f>'TIE-OUT'!R49+RECLASS!P49</f>
        <v>0</v>
      </c>
      <c r="G49" s="38">
        <f>'TIE-OUT'!S49+RECLASS!Q49</f>
        <v>0</v>
      </c>
      <c r="H49" s="118">
        <f>+Actuals!E225</f>
        <v>483316</v>
      </c>
      <c r="I49" s="119">
        <f>+Actuals!F225</f>
        <v>1042995.928</v>
      </c>
      <c r="J49" s="118">
        <f>+Actuals!G225</f>
        <v>-151442</v>
      </c>
      <c r="K49" s="119">
        <f>+Actuals!H225</f>
        <v>-326811.83600000001</v>
      </c>
      <c r="L49" s="118">
        <f>+Actuals!I225</f>
        <v>85686</v>
      </c>
      <c r="M49" s="119">
        <f>+Actuals!J225</f>
        <v>184910.38800000001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-2687</v>
      </c>
      <c r="E51" s="38">
        <f>SUM(G51,I51,K51,M51,O51,Q51,S51,U51,W51,Y51,AA51,AC51,AE51)</f>
        <v>-5798.5460000000003</v>
      </c>
      <c r="F51" s="60">
        <f>'TIE-OUT'!R51+RECLASS!P51</f>
        <v>0</v>
      </c>
      <c r="G51" s="38">
        <f>'TIE-OUT'!S51+RECLASS!Q51</f>
        <v>0</v>
      </c>
      <c r="H51" s="118">
        <f>+Actuals!E226</f>
        <v>-2687</v>
      </c>
      <c r="I51" s="119">
        <f>+Actuals!F226</f>
        <v>-5798.5460000000003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-7503498</v>
      </c>
      <c r="E54" s="38">
        <f>SUM(G54,I54,K54,M54,O54,Q54,S54,U54,W54,Y54,AA54,AC54,AE54)</f>
        <v>-108503.09</v>
      </c>
      <c r="F54" s="64">
        <f>'TIE-OUT'!R54+RECLASS!P54</f>
        <v>0</v>
      </c>
      <c r="G54" s="68">
        <f>'TIE-OUT'!S54+RECLASS!Q54</f>
        <v>0</v>
      </c>
      <c r="H54" s="118">
        <f>+Actuals!E227</f>
        <v>-7210765</v>
      </c>
      <c r="I54" s="119">
        <f>+Actuals!F227</f>
        <v>-87576.6</v>
      </c>
      <c r="J54" s="118">
        <f>+Actuals!G227</f>
        <v>1817205</v>
      </c>
      <c r="K54" s="119">
        <f>+Actuals!H227</f>
        <v>-39282.769999999997</v>
      </c>
      <c r="L54" s="118">
        <f>+Actuals!I227</f>
        <v>-2182684</v>
      </c>
      <c r="M54" s="119">
        <f>+Actuals!J227</f>
        <v>0</v>
      </c>
      <c r="N54" s="118">
        <f>+Actuals!K227</f>
        <v>72746</v>
      </c>
      <c r="O54" s="119">
        <f>+Actuals!L227</f>
        <v>18356.28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-339324.11000000004</v>
      </c>
      <c r="F55" s="81">
        <f>'TIE-OUT'!R55+RECLASS!P55</f>
        <v>0</v>
      </c>
      <c r="G55" s="82">
        <f>'TIE-OUT'!S55+RECLASS!Q55</f>
        <v>362654</v>
      </c>
      <c r="H55" s="118">
        <f>+Actuals!E228</f>
        <v>0</v>
      </c>
      <c r="I55" s="119">
        <f>+Actuals!F228</f>
        <v>-718092.03</v>
      </c>
      <c r="J55" s="118">
        <f>+Actuals!G228</f>
        <v>0</v>
      </c>
      <c r="K55" s="119">
        <f>+Actuals!H228</f>
        <v>16113.92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-7503498</v>
      </c>
      <c r="E56" s="39">
        <f t="shared" si="15"/>
        <v>-447827.20000000007</v>
      </c>
      <c r="F56" s="61">
        <f t="shared" si="15"/>
        <v>0</v>
      </c>
      <c r="G56" s="39">
        <f t="shared" si="15"/>
        <v>362654</v>
      </c>
      <c r="H56" s="61">
        <f t="shared" si="15"/>
        <v>-7210765</v>
      </c>
      <c r="I56" s="39">
        <f t="shared" si="15"/>
        <v>-805668.63</v>
      </c>
      <c r="J56" s="61">
        <f t="shared" si="15"/>
        <v>1817205</v>
      </c>
      <c r="K56" s="39">
        <f t="shared" si="15"/>
        <v>-23168.85</v>
      </c>
      <c r="L56" s="61">
        <f t="shared" si="15"/>
        <v>-2182684</v>
      </c>
      <c r="M56" s="39">
        <f t="shared" si="15"/>
        <v>0</v>
      </c>
      <c r="N56" s="61">
        <f>SUM(N54:N55)</f>
        <v>72746</v>
      </c>
      <c r="O56" s="39">
        <f>SUM(O54:O55)</f>
        <v>18356.28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-97941</v>
      </c>
      <c r="F74" s="60">
        <f>'TIE-OUT'!R74+RECLASS!P74</f>
        <v>0</v>
      </c>
      <c r="G74" s="60">
        <f>'TIE-OUT'!S74+RECLASS!Q74</f>
        <v>-79341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v>-18600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416492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215">
        <f>+Actuals!J243-416492</f>
        <v>-416492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-183496.76000000036</v>
      </c>
      <c r="F82" s="91">
        <f>F16+F24+F29+F36+F43+F45+F47+F49</f>
        <v>0</v>
      </c>
      <c r="G82" s="92">
        <f>SUM(G72:G81)+G16+G24+G29+G36+G43+G45+G47+G49+G51+G56+G61+G66</f>
        <v>576370.47</v>
      </c>
      <c r="H82" s="91">
        <f>H16+H24+H29+H36+H43+H45+H47+H49</f>
        <v>0</v>
      </c>
      <c r="I82" s="92">
        <f>SUM(I72:I81)+I16+I24+I29+I36+I43+I45+I47+I49+I51+I56+I61+I66</f>
        <v>-559151.60799999756</v>
      </c>
      <c r="J82" s="91">
        <f>J16+J24+J29+J36+J43+J45+J47+J49</f>
        <v>0</v>
      </c>
      <c r="K82" s="137">
        <f>SUM(K72:K81)+K16+K24+K29+K36+K43+K45+K47+K49+K51+K56+K61+K66</f>
        <v>190751.41999999931</v>
      </c>
      <c r="L82" s="91">
        <f>L16+L24+L29+L36+L43+L45+L47+L49</f>
        <v>0</v>
      </c>
      <c r="M82" s="92">
        <f>SUM(M72:M81)+M16+M24+M29+M36+M43+M45+M47+M49+M51+M56+M61+M66</f>
        <v>-391223.32199999993</v>
      </c>
      <c r="N82" s="91">
        <f>N16+N24+N29+N36+N43+N45+N47+N49</f>
        <v>0</v>
      </c>
      <c r="O82" s="92">
        <f>SUM(O72:O81)+O16+O24+O29+O36+O43+O45+O47+O49+O51+O56+O61+O66</f>
        <v>-243.72000000000116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215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-101722</v>
      </c>
      <c r="F86" s="145">
        <f>'TIE-OUT'!R86+RECLASS!P86</f>
        <v>0</v>
      </c>
      <c r="G86" s="184">
        <f>'TIE-OUT'!S86+RECLASS!Q86</f>
        <v>-101722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-402</v>
      </c>
      <c r="F87" s="146">
        <f>'TIE-OUT'!R87+RECLASS!P87</f>
        <v>0</v>
      </c>
      <c r="G87" s="185">
        <f>'TIE-OUT'!S87+RECLASS!Q87</f>
        <v>-402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-102124</v>
      </c>
      <c r="F89" s="155">
        <f t="shared" si="22"/>
        <v>0</v>
      </c>
      <c r="G89" s="155">
        <f t="shared" si="22"/>
        <v>-102124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-285620.76000000036</v>
      </c>
      <c r="F91" s="155">
        <f t="shared" si="23"/>
        <v>0</v>
      </c>
      <c r="G91" s="155">
        <f t="shared" si="23"/>
        <v>474246.47</v>
      </c>
      <c r="H91" s="155">
        <f t="shared" si="23"/>
        <v>0</v>
      </c>
      <c r="I91" s="155">
        <f t="shared" si="23"/>
        <v>-559151.60799999756</v>
      </c>
      <c r="J91" s="155">
        <f t="shared" si="23"/>
        <v>0</v>
      </c>
      <c r="K91" s="155">
        <f t="shared" si="23"/>
        <v>190751.41999999931</v>
      </c>
      <c r="L91" s="155">
        <f t="shared" si="23"/>
        <v>0</v>
      </c>
      <c r="M91" s="155">
        <f t="shared" si="23"/>
        <v>-391223.32199999993</v>
      </c>
      <c r="N91" s="155">
        <f t="shared" si="23"/>
        <v>0</v>
      </c>
      <c r="O91" s="155">
        <f t="shared" si="23"/>
        <v>-243.72000000000116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35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I51" activePane="bottomRight" state="frozen"/>
      <selection activeCell="N31" sqref="N31"/>
      <selection pane="topRight" activeCell="N31" sqref="N31"/>
      <selection pane="bottomLeft" activeCell="N31" sqref="N31"/>
      <selection pane="bottomRight" activeCell="O55" sqref="O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23304830</v>
      </c>
      <c r="E11" s="38">
        <f>SUM(G11,I11,K11,M11,O11,Q11,S11,U11,W11,Y11,AA11,AC11,AE11)</f>
        <v>41112226.57</v>
      </c>
      <c r="F11" s="60">
        <f>'TIE-OUT'!AF11+RECLASS!AF11</f>
        <v>0</v>
      </c>
      <c r="G11" s="38">
        <f>'TIE-OUT'!AG11+RECLASS!AG11</f>
        <v>-24754232</v>
      </c>
      <c r="H11" s="118">
        <f>+Actuals!E124</f>
        <v>23096407</v>
      </c>
      <c r="I11" s="121">
        <f>+Actuals!F124</f>
        <v>65418776.439999998</v>
      </c>
      <c r="J11" s="118">
        <f>+Actuals!G124</f>
        <v>213423</v>
      </c>
      <c r="K11" s="121">
        <f>+Actuals!H124</f>
        <v>448095.63</v>
      </c>
      <c r="L11" s="118">
        <f>+Actuals!I124</f>
        <v>-7000</v>
      </c>
      <c r="M11" s="121">
        <f>+Actuals!J124</f>
        <v>-17304</v>
      </c>
      <c r="N11" s="118">
        <f>+Actuals!K124</f>
        <v>2000</v>
      </c>
      <c r="O11" s="121">
        <f>+Actuals!L124</f>
        <v>16890.5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15355051</v>
      </c>
      <c r="E13" s="38">
        <f t="shared" si="0"/>
        <v>43310974</v>
      </c>
      <c r="F13" s="60">
        <f>'TIE-OUT'!AF13+RECLASS!AF13</f>
        <v>0</v>
      </c>
      <c r="G13" s="38">
        <f>'TIE-OUT'!AG13+RECLASS!AG13</f>
        <v>0</v>
      </c>
      <c r="H13" s="120">
        <f>+Actuals!E126</f>
        <v>53673045</v>
      </c>
      <c r="I13" s="121">
        <f>+Actuals!F126</f>
        <v>204754459</v>
      </c>
      <c r="J13" s="120">
        <f>+Actuals!G126</f>
        <v>-38317994</v>
      </c>
      <c r="K13" s="121">
        <f>+Actuals!H126</f>
        <v>-161443485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10488652.91</v>
      </c>
      <c r="F15" s="81">
        <f>'TIE-OUT'!AF15+RECLASS!AF15</f>
        <v>0</v>
      </c>
      <c r="G15" s="82">
        <f>'TIE-OUT'!AG15+RECLASS!AG15</f>
        <v>6508442</v>
      </c>
      <c r="H15" s="120">
        <f>+Actuals!E128</f>
        <v>0</v>
      </c>
      <c r="I15" s="121">
        <f>+Actuals!F128</f>
        <v>14447150</v>
      </c>
      <c r="J15" s="120">
        <f>+Actuals!G128</f>
        <v>0</v>
      </c>
      <c r="K15" s="121">
        <f>+Actuals!H128</f>
        <v>-10449416</v>
      </c>
      <c r="L15" s="120">
        <f>+Actuals!I128</f>
        <v>0</v>
      </c>
      <c r="M15" s="121">
        <f>+Actuals!J128</f>
        <v>-17523.09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38659881</v>
      </c>
      <c r="E16" s="39">
        <f t="shared" si="1"/>
        <v>94911853.479999989</v>
      </c>
      <c r="F16" s="61">
        <f t="shared" si="1"/>
        <v>0</v>
      </c>
      <c r="G16" s="39">
        <f t="shared" si="1"/>
        <v>-18245790</v>
      </c>
      <c r="H16" s="61">
        <f t="shared" si="1"/>
        <v>76769452</v>
      </c>
      <c r="I16" s="39">
        <f t="shared" si="1"/>
        <v>284620385.44</v>
      </c>
      <c r="J16" s="61">
        <f t="shared" ref="J16:AO16" si="2">SUM(J11:J15)</f>
        <v>-38104571</v>
      </c>
      <c r="K16" s="39">
        <f t="shared" si="2"/>
        <v>-171444805.37</v>
      </c>
      <c r="L16" s="61">
        <f t="shared" si="2"/>
        <v>-7000</v>
      </c>
      <c r="M16" s="39">
        <f t="shared" si="2"/>
        <v>-34827.089999999997</v>
      </c>
      <c r="N16" s="61">
        <f>SUM(N11:N15)</f>
        <v>2000</v>
      </c>
      <c r="O16" s="39">
        <f>SUM(O11:O15)</f>
        <v>16890.5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-7055119</v>
      </c>
      <c r="E19" s="38">
        <f t="shared" si="3"/>
        <v>-15135379.41</v>
      </c>
      <c r="F19" s="64">
        <f>'TIE-OUT'!AF19+RECLASS!AF19</f>
        <v>0</v>
      </c>
      <c r="G19" s="68">
        <f>'TIE-OUT'!AG19+RECLASS!AG19</f>
        <v>3924785</v>
      </c>
      <c r="H19" s="120">
        <f>+Actuals!E129</f>
        <v>-6914217</v>
      </c>
      <c r="I19" s="121">
        <f>+Actuals!F129</f>
        <v>-18314703.440000001</v>
      </c>
      <c r="J19" s="120">
        <f>+Actuals!G129</f>
        <v>-143367</v>
      </c>
      <c r="K19" s="121">
        <f>+Actuals!H129</f>
        <v>-748218.44</v>
      </c>
      <c r="L19" s="120">
        <f>+Actuals!I129</f>
        <v>2465</v>
      </c>
      <c r="M19" s="121">
        <f>+Actuals!J129</f>
        <v>2757.47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-241521</v>
      </c>
      <c r="F20" s="60">
        <f>'TIE-OUT'!AF20+RECLASS!AF20</f>
        <v>0</v>
      </c>
      <c r="G20" s="38">
        <f>'TIE-OUT'!AG20+RECLASS!AG20</f>
        <v>-241521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-18600694</v>
      </c>
      <c r="E21" s="38">
        <f t="shared" si="3"/>
        <v>-47844773</v>
      </c>
      <c r="F21" s="60">
        <f>'TIE-OUT'!AF21+RECLASS!AF21</f>
        <v>0</v>
      </c>
      <c r="G21" s="38">
        <f>'TIE-OUT'!AG21+RECLASS!AG21</f>
        <v>0</v>
      </c>
      <c r="H21" s="120">
        <f>+Actuals!E131</f>
        <v>-56862831</v>
      </c>
      <c r="I21" s="121">
        <f>+Actuals!F131</f>
        <v>-209309087</v>
      </c>
      <c r="J21" s="120">
        <f>+Actuals!G131</f>
        <v>38286561</v>
      </c>
      <c r="K21" s="121">
        <f>+Actuals!H131</f>
        <v>161527669</v>
      </c>
      <c r="L21" s="120">
        <f>+Actuals!I131</f>
        <v>-24727</v>
      </c>
      <c r="M21" s="121">
        <f>+Actuals!J131</f>
        <v>-64116</v>
      </c>
      <c r="N21" s="120">
        <f>+Actuals!K131</f>
        <v>303</v>
      </c>
      <c r="O21" s="121">
        <f>+Actuals!L131</f>
        <v>761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-25655813</v>
      </c>
      <c r="E24" s="39">
        <f t="shared" si="4"/>
        <v>-63221673.409999996</v>
      </c>
      <c r="F24" s="61">
        <f t="shared" si="4"/>
        <v>0</v>
      </c>
      <c r="G24" s="39">
        <f t="shared" si="4"/>
        <v>3683264</v>
      </c>
      <c r="H24" s="61">
        <f t="shared" si="4"/>
        <v>-63777048</v>
      </c>
      <c r="I24" s="39">
        <f t="shared" si="4"/>
        <v>-227623790.44</v>
      </c>
      <c r="J24" s="61">
        <f t="shared" ref="J24:AO24" si="5">SUM(J19:J23)</f>
        <v>38143194</v>
      </c>
      <c r="K24" s="39">
        <f t="shared" si="5"/>
        <v>160779450.56</v>
      </c>
      <c r="L24" s="61">
        <f t="shared" si="5"/>
        <v>-22262</v>
      </c>
      <c r="M24" s="39">
        <f t="shared" si="5"/>
        <v>-61358.53</v>
      </c>
      <c r="N24" s="61">
        <f>SUM(N19:N23)</f>
        <v>303</v>
      </c>
      <c r="O24" s="39">
        <f>SUM(O19:O23)</f>
        <v>761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-60039</v>
      </c>
      <c r="E35" s="38">
        <f t="shared" si="8"/>
        <v>-315734</v>
      </c>
      <c r="F35" s="81">
        <f>'TIE-OUT'!AF35+RECLASS!AF35</f>
        <v>-60039</v>
      </c>
      <c r="G35" s="82">
        <f>'TIE-OUT'!AG35+RECLASS!AG35</f>
        <v>-315734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-60039</v>
      </c>
      <c r="E36" s="39">
        <f t="shared" si="9"/>
        <v>-315734</v>
      </c>
      <c r="F36" s="61">
        <f t="shared" si="9"/>
        <v>-60039</v>
      </c>
      <c r="G36" s="39">
        <f t="shared" si="9"/>
        <v>-315734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-15642229</v>
      </c>
      <c r="E40" s="38">
        <f t="shared" si="11"/>
        <v>-15767237.98</v>
      </c>
      <c r="F40" s="60">
        <f>'TIE-OUT'!AF40+RECLASS!AF40</f>
        <v>60039</v>
      </c>
      <c r="G40" s="38">
        <f>'TIE-OUT'!AG40+RECLASS!AG40</f>
        <v>25122846</v>
      </c>
      <c r="H40" s="120">
        <f>+Actuals!E141</f>
        <v>-15713032</v>
      </c>
      <c r="I40" s="121">
        <f>+Actuals!F141</f>
        <v>-41116357.149999999</v>
      </c>
      <c r="J40" s="120">
        <f>+Actuals!G141</f>
        <v>13877</v>
      </c>
      <c r="K40" s="121">
        <f>+Actuals!H141</f>
        <v>234820.85</v>
      </c>
      <c r="L40" s="120">
        <f>+Actuals!I141</f>
        <v>-1183</v>
      </c>
      <c r="M40" s="121">
        <f>+Actuals!J141</f>
        <v>-3266.96</v>
      </c>
      <c r="N40" s="120">
        <f>+Actuals!K141</f>
        <v>-1930</v>
      </c>
      <c r="O40" s="121">
        <f>+Actuals!L141</f>
        <v>-5280.72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-15642229</v>
      </c>
      <c r="E42" s="39">
        <f t="shared" si="12"/>
        <v>-15767237.98</v>
      </c>
      <c r="F42" s="61">
        <f t="shared" si="12"/>
        <v>60039</v>
      </c>
      <c r="G42" s="39">
        <f t="shared" si="12"/>
        <v>25122846</v>
      </c>
      <c r="H42" s="61">
        <f t="shared" si="12"/>
        <v>-15713032</v>
      </c>
      <c r="I42" s="39">
        <f t="shared" si="12"/>
        <v>-41116357.149999999</v>
      </c>
      <c r="J42" s="61">
        <f t="shared" ref="J42:AO42" si="13">SUM(J40:J41)</f>
        <v>13877</v>
      </c>
      <c r="K42" s="39">
        <f t="shared" si="13"/>
        <v>234820.85</v>
      </c>
      <c r="L42" s="61">
        <f t="shared" si="13"/>
        <v>-1183</v>
      </c>
      <c r="M42" s="39">
        <f t="shared" si="13"/>
        <v>-3266.96</v>
      </c>
      <c r="N42" s="61">
        <f>SUM(N40:N41)</f>
        <v>-1930</v>
      </c>
      <c r="O42" s="39">
        <f>SUM(O40:O41)</f>
        <v>-5280.72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-15642229</v>
      </c>
      <c r="E43" s="39">
        <f t="shared" si="14"/>
        <v>-15767237.98</v>
      </c>
      <c r="F43" s="61">
        <f t="shared" si="14"/>
        <v>60039</v>
      </c>
      <c r="G43" s="39">
        <f t="shared" si="14"/>
        <v>25122846</v>
      </c>
      <c r="H43" s="61">
        <f t="shared" si="14"/>
        <v>-15713032</v>
      </c>
      <c r="I43" s="39">
        <f t="shared" si="14"/>
        <v>-41116357.149999999</v>
      </c>
      <c r="J43" s="61">
        <f t="shared" ref="J43:AO43" si="15">J42+J39</f>
        <v>13877</v>
      </c>
      <c r="K43" s="39">
        <f t="shared" si="15"/>
        <v>234820.85</v>
      </c>
      <c r="L43" s="61">
        <f t="shared" si="15"/>
        <v>-1183</v>
      </c>
      <c r="M43" s="39">
        <f t="shared" si="15"/>
        <v>-3266.96</v>
      </c>
      <c r="N43" s="61">
        <f>N42+N39</f>
        <v>-1930</v>
      </c>
      <c r="O43" s="39">
        <f>O42+O39</f>
        <v>-5280.72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2698200</v>
      </c>
      <c r="E49" s="38">
        <f>SUM(G49,I49,K49,M49,O49,Q49,S49,U49,W49,Y49,AA49,AC49,AE49)</f>
        <v>6669950.4000000004</v>
      </c>
      <c r="F49" s="60">
        <f>'TIE-OUT'!AF49+RECLASS!AF49</f>
        <v>0</v>
      </c>
      <c r="G49" s="38">
        <f>'TIE-OUT'!AG49+RECLASS!AG49</f>
        <v>0</v>
      </c>
      <c r="H49" s="120">
        <f>+Actuals!E145</f>
        <v>2720628</v>
      </c>
      <c r="I49" s="121">
        <f>+Actuals!F145</f>
        <v>6725392.4160000002</v>
      </c>
      <c r="J49" s="120">
        <f>+Actuals!G145</f>
        <v>-52500</v>
      </c>
      <c r="K49" s="121">
        <f>+Actuals!H145</f>
        <v>-129780</v>
      </c>
      <c r="L49" s="120">
        <f>+Actuals!I145</f>
        <v>30445</v>
      </c>
      <c r="M49" s="121">
        <f>+Actuals!J145</f>
        <v>75260.039999999994</v>
      </c>
      <c r="N49" s="120">
        <f>+Actuals!K145</f>
        <v>-373</v>
      </c>
      <c r="O49" s="121">
        <f>+Actuals!L145</f>
        <v>-922.05600000000004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732012</v>
      </c>
      <c r="E51" s="38">
        <f>SUM(G51,I51,K51,M51,O51,Q51,S51,U51,W51,Y51,AA51,AC51,AE51)</f>
        <v>1809533.6640000001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732012</v>
      </c>
      <c r="O51" s="121">
        <f>+Actuals!L146</f>
        <v>1809533.6640000001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-31502898</v>
      </c>
      <c r="E54" s="38">
        <f>SUM(G54,I54,K54,M54,O54,Q54,S54,U54,W54,Y54,AA54,AC54,AE54)</f>
        <v>-1284601.6399999997</v>
      </c>
      <c r="F54" s="64">
        <f>'TIE-OUT'!AF54+RECLASS!AF54</f>
        <v>0</v>
      </c>
      <c r="G54" s="68">
        <f>'TIE-OUT'!AG54+RECLASS!AG54</f>
        <v>-57250</v>
      </c>
      <c r="H54" s="120">
        <f>+Actuals!E147</f>
        <v>-29851311</v>
      </c>
      <c r="I54" s="121">
        <f>+Actuals!F147</f>
        <v>-1140474.8999999999</v>
      </c>
      <c r="J54" s="120">
        <f>+Actuals!G147</f>
        <v>-1649603</v>
      </c>
      <c r="K54" s="121">
        <f>+Actuals!H147</f>
        <v>-92298.69</v>
      </c>
      <c r="L54" s="120">
        <f>+Actuals!I147</f>
        <v>4524</v>
      </c>
      <c r="M54" s="121">
        <f>+Actuals!J147</f>
        <v>5834.12</v>
      </c>
      <c r="N54" s="120">
        <f>+Actuals!K147</f>
        <v>-6508</v>
      </c>
      <c r="O54" s="121">
        <f>+Actuals!L147</f>
        <v>-412.17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-10476793.15</v>
      </c>
      <c r="F55" s="81">
        <f>'TIE-OUT'!AF55+RECLASS!AF55</f>
        <v>0</v>
      </c>
      <c r="G55" s="82">
        <f>'TIE-OUT'!AG55+RECLASS!AG55</f>
        <v>-37782</v>
      </c>
      <c r="H55" s="120">
        <f>+Actuals!E148</f>
        <v>0</v>
      </c>
      <c r="I55" s="121">
        <f>+Actuals!F148</f>
        <v>-10481852.52</v>
      </c>
      <c r="J55" s="120">
        <f>+Actuals!G148</f>
        <v>0</v>
      </c>
      <c r="K55" s="121">
        <f>+Actuals!H148</f>
        <v>86576.37</v>
      </c>
      <c r="L55" s="120">
        <f>+Actuals!I148</f>
        <v>0</v>
      </c>
      <c r="M55" s="215">
        <f>+Actuals!J148-43735</f>
        <v>-43735</v>
      </c>
      <c r="N55" s="120">
        <f>+Actuals!K148</f>
        <v>0</v>
      </c>
      <c r="O55" s="121"/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-31502898</v>
      </c>
      <c r="E56" s="39">
        <f t="shared" si="16"/>
        <v>-11761394.789999999</v>
      </c>
      <c r="F56" s="61">
        <f t="shared" si="16"/>
        <v>0</v>
      </c>
      <c r="G56" s="39">
        <f t="shared" si="16"/>
        <v>-95032</v>
      </c>
      <c r="H56" s="61">
        <f t="shared" si="16"/>
        <v>-29851311</v>
      </c>
      <c r="I56" s="39">
        <f t="shared" si="16"/>
        <v>-11622327.42</v>
      </c>
      <c r="J56" s="61">
        <f t="shared" ref="J56:AO56" si="17">SUM(J54:J55)</f>
        <v>-1649603</v>
      </c>
      <c r="K56" s="39">
        <f t="shared" si="17"/>
        <v>-5722.320000000007</v>
      </c>
      <c r="L56" s="61">
        <f t="shared" si="17"/>
        <v>4524</v>
      </c>
      <c r="M56" s="39">
        <f t="shared" si="17"/>
        <v>-37900.879999999997</v>
      </c>
      <c r="N56" s="61">
        <f>SUM(N54:N55)</f>
        <v>-6508</v>
      </c>
      <c r="O56" s="39">
        <f>SUM(O54:O55)</f>
        <v>-412.17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-413011</v>
      </c>
      <c r="F70" s="64">
        <f>'TIE-OUT'!AF70+RECLASS!AF70</f>
        <v>0</v>
      </c>
      <c r="G70" s="68">
        <f>'TIE-OUT'!AG70+RECLASS!AG70</f>
        <v>-413011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-413011</v>
      </c>
      <c r="F72" s="61">
        <f t="shared" si="22"/>
        <v>0</v>
      </c>
      <c r="G72" s="39">
        <f t="shared" si="22"/>
        <v>-413011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-6638313.71</v>
      </c>
      <c r="F74" s="60">
        <f>'TIE-OUT'!AF74+RECLASS!AF74</f>
        <v>0</v>
      </c>
      <c r="G74" s="60">
        <f>'TIE-OUT'!AG74+RECLASS!AG74</f>
        <v>-6638313.71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5273972.6539999992</v>
      </c>
      <c r="F82" s="91">
        <f>F16+F24+F29+F36+F43+F45+F47+F49</f>
        <v>0</v>
      </c>
      <c r="G82" s="92">
        <f>SUM(G72:G81)+G16+G24+G29+G36+G43+G45+G47+G49+G51+G56+G61+G66</f>
        <v>3098229.2899999991</v>
      </c>
      <c r="H82" s="91">
        <f>H16+H24+H29+H36+H43+H45+H47+H49</f>
        <v>0</v>
      </c>
      <c r="I82" s="92">
        <f>SUM(I72:I81)+I16+I24+I29+I36+I43+I45+I47+I49+I51+I56+I61+I66</f>
        <v>10983302.846000003</v>
      </c>
      <c r="J82" s="91">
        <f>J16+J24+J29+J36+J43+J45+J47+J49</f>
        <v>0</v>
      </c>
      <c r="K82" s="137">
        <f>SUM(K72:K81)+K16+K24+K29+K36+K43+K45+K47+K49+K51+K56+K61+K66</f>
        <v>-10566036.280000003</v>
      </c>
      <c r="L82" s="91">
        <f>L16+L24+L29+L36+L43+L45+L47+L49</f>
        <v>0</v>
      </c>
      <c r="M82" s="92">
        <f>SUM(M72:M81)+M16+M24+M29+M36+M43+M45+M47+M49+M51+M56+M61+M66</f>
        <v>-62093.420000000006</v>
      </c>
      <c r="N82" s="91">
        <f>N16+N24+N29+N36+N43+N45+N47+N49</f>
        <v>0</v>
      </c>
      <c r="O82" s="92">
        <f>SUM(O72:O81)+O16+O24+O29+O36+O43+O45+O47+O49+O51+O56+O61+O66</f>
        <v>1820570.2180000001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13" sqref="O1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208</v>
      </c>
      <c r="D13" s="60">
        <f t="shared" si="0"/>
        <v>0</v>
      </c>
      <c r="E13" s="38">
        <f t="shared" si="0"/>
        <v>6032630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3">
        <v>0</v>
      </c>
      <c r="L13" s="60"/>
      <c r="M13" s="38">
        <v>6032630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6032630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0</v>
      </c>
      <c r="L16" s="61">
        <f t="shared" si="1"/>
        <v>0</v>
      </c>
      <c r="M16" s="39">
        <f t="shared" si="1"/>
        <v>6032630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146152</v>
      </c>
      <c r="F41" s="81">
        <f>'TIE-OUT'!Z41+RECLASS!X41</f>
        <v>0</v>
      </c>
      <c r="G41" s="82">
        <f>'TIE-OUT'!AA41+RECLASS!Y41</f>
        <v>146152</v>
      </c>
      <c r="H41" s="60"/>
      <c r="I41" s="38"/>
      <c r="J41" s="60"/>
      <c r="K41" s="213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146152</v>
      </c>
      <c r="F42" s="61">
        <f t="shared" si="8"/>
        <v>0</v>
      </c>
      <c r="G42" s="39">
        <f t="shared" si="8"/>
        <v>146152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146152</v>
      </c>
      <c r="F43" s="61">
        <f t="shared" si="9"/>
        <v>0</v>
      </c>
      <c r="G43" s="39">
        <f t="shared" si="9"/>
        <v>146152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209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5">
        <v>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96833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210</v>
      </c>
      <c r="D70" s="60">
        <f>SUM(F70,H70,J70,L70,N70,P70,R70,T70,V70,X70,Z70,AB70,AD70)</f>
        <v>0</v>
      </c>
      <c r="E70" s="38">
        <f>SUM(G70,I70,K70,M70,O70,Q70,S70,U70,W70,Y70,AA70,AC70,AE70)</f>
        <v>-3011096</v>
      </c>
      <c r="F70" s="64">
        <f>'TIE-OUT'!Z70+RECLASS!X70</f>
        <v>0</v>
      </c>
      <c r="G70" s="68">
        <f>'TIE-OUT'!AA70+RECLASS!Y70</f>
        <v>207406</v>
      </c>
      <c r="H70" s="60"/>
      <c r="I70" s="38">
        <v>0</v>
      </c>
      <c r="J70" s="60"/>
      <c r="K70" s="215">
        <v>0</v>
      </c>
      <c r="L70" s="60"/>
      <c r="M70" s="38">
        <v>-3218502</v>
      </c>
      <c r="N70" s="60"/>
      <c r="O70" s="38"/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-1085483</v>
      </c>
      <c r="F71" s="81">
        <f>'TIE-OUT'!Z71+RECLASS!X71</f>
        <v>0</v>
      </c>
      <c r="G71" s="82">
        <f>'TIE-OUT'!AA71+RECLASS!Y71</f>
        <v>-1085483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-4096579</v>
      </c>
      <c r="F72" s="61">
        <f t="shared" si="13"/>
        <v>0</v>
      </c>
      <c r="G72" s="39">
        <f t="shared" si="13"/>
        <v>-878077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4">
        <f t="shared" si="13"/>
        <v>0</v>
      </c>
      <c r="L72" s="61">
        <f t="shared" si="13"/>
        <v>0</v>
      </c>
      <c r="M72" s="39">
        <f t="shared" si="13"/>
        <v>-3218502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-281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3">
        <v>-281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1656275.2999999998</v>
      </c>
      <c r="F74" s="60">
        <f>'TIE-OUT'!Z74+RECLASS!X74</f>
        <v>0</v>
      </c>
      <c r="G74" s="60">
        <f>'TIE-OUT'!AA74+RECLASS!Y74</f>
        <v>1656275.2999999998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-9625</v>
      </c>
      <c r="F76" s="60">
        <f>'TIE-OUT'!Z76+RECLASS!X76</f>
        <v>0</v>
      </c>
      <c r="G76" s="60">
        <f>'TIE-OUT'!AA76+RECLASS!Y76</f>
        <v>-9625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211</v>
      </c>
      <c r="D78" s="60">
        <f t="shared" si="14"/>
        <v>0</v>
      </c>
      <c r="E78" s="38">
        <f t="shared" si="14"/>
        <v>820000</v>
      </c>
      <c r="F78" s="60">
        <f>'TIE-OUT'!Z78+RECLASS!X78</f>
        <v>0</v>
      </c>
      <c r="G78" s="60">
        <f>'TIE-OUT'!AA78+RECLASS!Y78</f>
        <v>820000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212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213</v>
      </c>
      <c r="D80" s="60">
        <f t="shared" si="14"/>
        <v>0</v>
      </c>
      <c r="E80" s="38">
        <f t="shared" si="14"/>
        <v>-98257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-89431</v>
      </c>
      <c r="L80" s="60"/>
      <c r="M80" s="38">
        <v>-8826</v>
      </c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4080570.3</v>
      </c>
      <c r="F82" s="91">
        <f>F16+F24+F29+F36+F43+F45+F47+F49</f>
        <v>0</v>
      </c>
      <c r="G82" s="92">
        <f>SUM(G72:G81)+G16+G24+G29+G36+G43+G45+G47+G49+G51+G56+G61+G66</f>
        <v>1734725.2999999998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-459457</v>
      </c>
      <c r="L82" s="91">
        <f>L16+L24+L29+L36+L43+L45+L47+L49</f>
        <v>0</v>
      </c>
      <c r="M82" s="92">
        <f>SUM(M72:M81)+M16+M24+M29+M36+M43+M45+M47+M49+M51+M56+M61+M66</f>
        <v>2805302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-4096579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K75" activePane="bottomRight" state="frozen"/>
      <selection activeCell="N31" sqref="N31"/>
      <selection pane="topRight" activeCell="N31" sqref="N31"/>
      <selection pane="bottomLeft" activeCell="N31" sqref="N31"/>
      <selection pane="bottomRight" activeCell="O87" sqref="O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38378987</v>
      </c>
      <c r="E11" s="38">
        <f>SUM(G11,I11,K11,M11,O11,Q11,S11,U11,W11,Y11,AA11,AC11,AE11)</f>
        <v>88075060.319999993</v>
      </c>
      <c r="F11" s="60">
        <f>'TIE-OUT'!AB11+RECLASS!Z11</f>
        <v>0</v>
      </c>
      <c r="G11" s="38">
        <f>'TIE-OUT'!AC11+RECLASS!AA11</f>
        <v>0</v>
      </c>
      <c r="H11" s="118">
        <f>+Actuals!E284</f>
        <v>37751028</v>
      </c>
      <c r="I11" s="119">
        <f>+Actuals!F284</f>
        <v>86842907.959999993</v>
      </c>
      <c r="J11" s="118">
        <f>+Actuals!G284</f>
        <v>0</v>
      </c>
      <c r="K11" s="119">
        <f>+Actuals!H284</f>
        <v>-243551.48</v>
      </c>
      <c r="L11" s="118">
        <f>+Actuals!I284</f>
        <v>0</v>
      </c>
      <c r="M11" s="119">
        <f>+Actuals!J284</f>
        <v>0</v>
      </c>
      <c r="N11" s="118">
        <f>+Actuals!K284</f>
        <v>627959</v>
      </c>
      <c r="O11" s="119">
        <f>+Actuals!L284</f>
        <v>1475703.84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5720848.6699999999</v>
      </c>
      <c r="F12" s="60">
        <f>'TIE-OUT'!AB12+RECLASS!Z12</f>
        <v>0</v>
      </c>
      <c r="G12" s="38">
        <f>'TIE-OUT'!AC12+RECLASS!AA12</f>
        <v>5720848.6699999999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1700653</v>
      </c>
      <c r="E13" s="38">
        <f t="shared" si="0"/>
        <v>4279414</v>
      </c>
      <c r="F13" s="60">
        <f>'TIE-OUT'!AB13+RECLASS!Z13</f>
        <v>0</v>
      </c>
      <c r="G13" s="38">
        <f>'TIE-OUT'!AC13+RECLASS!AA13</f>
        <v>0</v>
      </c>
      <c r="H13" s="118">
        <f>+Actuals!E286</f>
        <v>3709833</v>
      </c>
      <c r="I13" s="119">
        <f>+Actuals!F286</f>
        <v>9157794</v>
      </c>
      <c r="J13" s="118">
        <f>+Actuals!G286</f>
        <v>-2009725</v>
      </c>
      <c r="K13" s="119">
        <f>+Actuals!H286</f>
        <v>-4881944</v>
      </c>
      <c r="L13" s="118">
        <f>+Actuals!I286</f>
        <v>0</v>
      </c>
      <c r="M13" s="119">
        <f>+Actuals!J286</f>
        <v>0</v>
      </c>
      <c r="N13" s="118">
        <f>+Actuals!K286</f>
        <v>545</v>
      </c>
      <c r="O13" s="119">
        <f>+Actuals!L286</f>
        <v>3564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40079640</v>
      </c>
      <c r="E16" s="39">
        <f t="shared" si="1"/>
        <v>98075322.989999995</v>
      </c>
      <c r="F16" s="61">
        <f t="shared" si="1"/>
        <v>0</v>
      </c>
      <c r="G16" s="39">
        <f t="shared" si="1"/>
        <v>5720848.6699999999</v>
      </c>
      <c r="H16" s="61">
        <f t="shared" si="1"/>
        <v>41460861</v>
      </c>
      <c r="I16" s="39">
        <f t="shared" si="1"/>
        <v>96000701.959999993</v>
      </c>
      <c r="J16" s="61">
        <f t="shared" si="1"/>
        <v>-2009725</v>
      </c>
      <c r="K16" s="39">
        <f t="shared" si="1"/>
        <v>-5125495.4800000004</v>
      </c>
      <c r="L16" s="61">
        <f t="shared" si="1"/>
        <v>0</v>
      </c>
      <c r="M16" s="39">
        <f t="shared" si="1"/>
        <v>0</v>
      </c>
      <c r="N16" s="61">
        <f>SUM(N11:N15)</f>
        <v>628504</v>
      </c>
      <c r="O16" s="39">
        <f>SUM(O11:O15)</f>
        <v>1479267.84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-41717681</v>
      </c>
      <c r="E19" s="38">
        <f t="shared" si="2"/>
        <v>-97143601.280000016</v>
      </c>
      <c r="F19" s="64">
        <f>'TIE-OUT'!AB19+RECLASS!Z19</f>
        <v>0</v>
      </c>
      <c r="G19" s="68">
        <f>'TIE-OUT'!AC19+RECLASS!AA19</f>
        <v>0</v>
      </c>
      <c r="H19" s="118">
        <f>+Actuals!E289</f>
        <v>-41086985</v>
      </c>
      <c r="I19" s="119">
        <f>+Actuals!F289</f>
        <v>-95951544.220000014</v>
      </c>
      <c r="J19" s="118">
        <f>+Actuals!G289</f>
        <v>-2729</v>
      </c>
      <c r="K19" s="119">
        <f>+Actuals!H289</f>
        <v>283665.39</v>
      </c>
      <c r="L19" s="118">
        <f>+Actuals!I289</f>
        <v>609669</v>
      </c>
      <c r="M19" s="119">
        <f>+Actuals!J289</f>
        <v>1426625</v>
      </c>
      <c r="N19" s="118">
        <f>+Actuals!K289</f>
        <v>-1237636</v>
      </c>
      <c r="O19" s="119">
        <f>+Actuals!L289</f>
        <v>-2902347.45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-4881100.3499999996</v>
      </c>
      <c r="F20" s="60">
        <f>'TIE-OUT'!AB20+RECLASS!Z20</f>
        <v>0</v>
      </c>
      <c r="G20" s="38">
        <f>'TIE-OUT'!AC20+RECLASS!AA20</f>
        <v>-4881100.3499999996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-144182</v>
      </c>
      <c r="E21" s="38">
        <f t="shared" si="2"/>
        <v>-342421</v>
      </c>
      <c r="F21" s="60">
        <f>'TIE-OUT'!AB21+RECLASS!Z21</f>
        <v>0</v>
      </c>
      <c r="G21" s="38">
        <f>'TIE-OUT'!AC21+RECLASS!AA21</f>
        <v>0</v>
      </c>
      <c r="H21" s="118">
        <f>+Actuals!E291</f>
        <v>-139182</v>
      </c>
      <c r="I21" s="119">
        <f>+Actuals!F291</f>
        <v>-331021</v>
      </c>
      <c r="J21" s="118">
        <f>+Actuals!G291</f>
        <v>-5000</v>
      </c>
      <c r="K21" s="119">
        <f>+Actuals!H291</f>
        <v>-11400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65362</v>
      </c>
      <c r="E23" s="38">
        <f t="shared" si="2"/>
        <v>176477.4</v>
      </c>
      <c r="F23" s="81">
        <f>'TIE-OUT'!AB23+RECLASS!Z23</f>
        <v>0</v>
      </c>
      <c r="G23" s="82">
        <f>'TIE-OUT'!AC23+RECLASS!AA23</f>
        <v>0</v>
      </c>
      <c r="H23" s="118">
        <f>+Actuals!E293</f>
        <v>4620</v>
      </c>
      <c r="I23" s="119">
        <f>+Actuals!F293</f>
        <v>12474</v>
      </c>
      <c r="J23" s="118">
        <f>+Actuals!G293</f>
        <v>60742</v>
      </c>
      <c r="K23" s="119">
        <f>+Actuals!H293</f>
        <v>164003.4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-41796501</v>
      </c>
      <c r="E24" s="39">
        <f t="shared" si="3"/>
        <v>-102190645.23</v>
      </c>
      <c r="F24" s="61">
        <f t="shared" si="3"/>
        <v>0</v>
      </c>
      <c r="G24" s="39">
        <f t="shared" si="3"/>
        <v>-4881100.3499999996</v>
      </c>
      <c r="H24" s="61">
        <f t="shared" si="3"/>
        <v>-41221547</v>
      </c>
      <c r="I24" s="39">
        <f t="shared" si="3"/>
        <v>-96270091.220000014</v>
      </c>
      <c r="J24" s="61">
        <f t="shared" si="3"/>
        <v>53013</v>
      </c>
      <c r="K24" s="39">
        <f t="shared" si="3"/>
        <v>436268.79000000004</v>
      </c>
      <c r="L24" s="61">
        <f t="shared" si="3"/>
        <v>609669</v>
      </c>
      <c r="M24" s="39">
        <f t="shared" si="3"/>
        <v>1426625</v>
      </c>
      <c r="N24" s="61">
        <f>SUM(N19:N23)</f>
        <v>-1237636</v>
      </c>
      <c r="O24" s="39">
        <f>SUM(O19:O23)</f>
        <v>-2902347.45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857327</v>
      </c>
      <c r="E32" s="38">
        <f t="shared" si="5"/>
        <v>2314782.9</v>
      </c>
      <c r="F32" s="64">
        <f>'TIE-OUT'!AB32+RECLASS!Z32</f>
        <v>0</v>
      </c>
      <c r="G32" s="68">
        <f>'TIE-OUT'!AC32+RECLASS!AA32</f>
        <v>0</v>
      </c>
      <c r="H32" s="118">
        <f>+Actuals!E296</f>
        <v>-358303</v>
      </c>
      <c r="I32" s="119">
        <f>+Actuals!F296</f>
        <v>-967418.1</v>
      </c>
      <c r="J32" s="118">
        <f>+Actuals!G296</f>
        <v>1218756</v>
      </c>
      <c r="K32" s="119">
        <f>+Actuals!H296</f>
        <v>3290641.2</v>
      </c>
      <c r="L32" s="118">
        <f>+Actuals!I296</f>
        <v>0</v>
      </c>
      <c r="M32" s="119">
        <f>+Actuals!J296</f>
        <v>0</v>
      </c>
      <c r="N32" s="118">
        <f>+Actuals!K296</f>
        <v>-3126</v>
      </c>
      <c r="O32" s="119">
        <f>+Actuals!L296</f>
        <v>-8440.2000000000007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857327</v>
      </c>
      <c r="E36" s="39">
        <f t="shared" si="6"/>
        <v>2314782.9</v>
      </c>
      <c r="F36" s="61">
        <f t="shared" si="6"/>
        <v>0</v>
      </c>
      <c r="G36" s="39">
        <f t="shared" si="6"/>
        <v>0</v>
      </c>
      <c r="H36" s="61">
        <f t="shared" si="6"/>
        <v>-358303</v>
      </c>
      <c r="I36" s="39">
        <f t="shared" si="6"/>
        <v>-967418.1</v>
      </c>
      <c r="J36" s="61">
        <f t="shared" si="6"/>
        <v>1218756</v>
      </c>
      <c r="K36" s="39">
        <f t="shared" si="6"/>
        <v>3290641.2</v>
      </c>
      <c r="L36" s="61">
        <f t="shared" si="6"/>
        <v>0</v>
      </c>
      <c r="M36" s="39">
        <f t="shared" si="6"/>
        <v>0</v>
      </c>
      <c r="N36" s="61">
        <f>SUM(N32:N35)</f>
        <v>-3126</v>
      </c>
      <c r="O36" s="39">
        <f>SUM(O32:O35)</f>
        <v>-8440.2000000000007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859534</v>
      </c>
      <c r="E49" s="38">
        <f>SUM(G49,I49,K49,M49,O49,Q49,S49,U49,W49,Y49,AA49,AC49,AE49)</f>
        <v>2320741.7999999998</v>
      </c>
      <c r="F49" s="60">
        <f>'TIE-OUT'!AB49+RECLASS!Z49</f>
        <v>0</v>
      </c>
      <c r="G49" s="38">
        <f>'TIE-OUT'!AC49+RECLASS!AA49</f>
        <v>0</v>
      </c>
      <c r="H49" s="118">
        <f>+Actuals!E305</f>
        <v>118989</v>
      </c>
      <c r="I49" s="119">
        <f>+Actuals!F305</f>
        <v>321270.3</v>
      </c>
      <c r="J49" s="118">
        <f>+Actuals!G305</f>
        <v>737956</v>
      </c>
      <c r="K49" s="119">
        <f>+Actuals!H305</f>
        <v>1992481.2</v>
      </c>
      <c r="L49" s="118">
        <f>+Actuals!I305</f>
        <v>-609669</v>
      </c>
      <c r="M49" s="119">
        <f>+Actuals!J305</f>
        <v>-1646106.3</v>
      </c>
      <c r="N49" s="118">
        <f>+Actuals!K305</f>
        <v>612258</v>
      </c>
      <c r="O49" s="119">
        <f>+Actuals!L305</f>
        <v>1653096.6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-65362</v>
      </c>
      <c r="E51" s="38">
        <f>SUM(G51,I51,K51,M51,O51,Q51,S51,U51,W51,Y51,AA51,AC51,AE51)</f>
        <v>-176477.4</v>
      </c>
      <c r="F51" s="60">
        <f>'TIE-OUT'!AB51+RECLASS!Z51</f>
        <v>0</v>
      </c>
      <c r="G51" s="38">
        <f>'TIE-OUT'!AC51+RECLASS!AA51</f>
        <v>0</v>
      </c>
      <c r="H51" s="118">
        <f>+Actuals!E306</f>
        <v>-4620</v>
      </c>
      <c r="I51" s="119">
        <f>+Actuals!F306</f>
        <v>-12474</v>
      </c>
      <c r="J51" s="118">
        <f>+Actuals!G306</f>
        <v>-60742</v>
      </c>
      <c r="K51" s="119">
        <f>+Actuals!H306</f>
        <v>-164003.4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-138204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-138293.92000000001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89.92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-138204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-138293.92000000001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89.92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1508208.52</v>
      </c>
      <c r="F70" s="64">
        <f>'TIE-OUT'!AB70+RECLASS!Z70</f>
        <v>0</v>
      </c>
      <c r="G70" s="68">
        <f>'TIE-OUT'!AC70+RECLASS!AA70</f>
        <v>1508208.52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-708911.52</v>
      </c>
      <c r="F71" s="81">
        <f>'TIE-OUT'!AB71+RECLASS!Z71</f>
        <v>0</v>
      </c>
      <c r="G71" s="82">
        <f>'TIE-OUT'!AC71+RECLASS!AA71</f>
        <v>-708911.52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799297</v>
      </c>
      <c r="F72" s="61">
        <f t="shared" si="13"/>
        <v>0</v>
      </c>
      <c r="G72" s="183">
        <f t="shared" si="13"/>
        <v>799297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-318309.51</v>
      </c>
      <c r="F74" s="60">
        <f>'TIE-OUT'!AB74+RECLASS!Z74</f>
        <v>0</v>
      </c>
      <c r="G74" s="60">
        <f>'TIE-OUT'!AC74+RECLASS!AA74</f>
        <v>-318309.51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-342.73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-342.73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686165.81999999552</v>
      </c>
      <c r="F82" s="91">
        <f>F16+F24+F29+F36+F43+F45+F47+F49</f>
        <v>0</v>
      </c>
      <c r="G82" s="92">
        <f>SUM(G72:G81)+G16+G24+G29+G36+G43+G45+G47+G49+G51+G56+G61+G66</f>
        <v>1320735.8100000005</v>
      </c>
      <c r="H82" s="91">
        <f>H16+H24+H29+H36+H43+H45+H47+H49</f>
        <v>0</v>
      </c>
      <c r="I82" s="92">
        <f>SUM(I72:I81)+I16+I24+I29+I36+I43+I45+I47+I49+I51+I56+I61+I66</f>
        <v>-928353.79000002448</v>
      </c>
      <c r="J82" s="91">
        <f>J16+J24+J29+J36+J43+J45+J47+J49</f>
        <v>0</v>
      </c>
      <c r="K82" s="140">
        <f>SUM(K72:K81)+K16+K24+K29+K36+K43+K45+K47+K49+K51+K56+K61+K66</f>
        <v>291598.38999999966</v>
      </c>
      <c r="L82" s="91">
        <f>L16+L24+L29+L36+L43+L45+L47+L49</f>
        <v>0</v>
      </c>
      <c r="M82" s="92">
        <f>SUM(M72:M81)+M16+M24+M29+M36+M43+M45+M47+M49+M51+M56+M61+M66</f>
        <v>-219481.30000000005</v>
      </c>
      <c r="N82" s="91">
        <f>N16+N24+N29+N36+N43+N45+N47+N49</f>
        <v>0</v>
      </c>
      <c r="O82" s="92">
        <f>SUM(O72:O81)+O16+O24+O29+O36+O43+O45+O47+O49+O51+O56+O61+O66</f>
        <v>221666.71000000005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-235704.59</v>
      </c>
      <c r="F86" s="145">
        <f>'TIE-OUT'!AB86+RECLASS!Z86</f>
        <v>0</v>
      </c>
      <c r="G86" s="184">
        <f>'TIE-OUT'!AC86+RECLASS!AA86</f>
        <v>-197030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151433.41</v>
      </c>
      <c r="N86" s="145">
        <v>0</v>
      </c>
      <c r="O86" s="145">
        <v>-190108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-9295</v>
      </c>
      <c r="F87" s="146">
        <f>'TIE-OUT'!AB87+RECLASS!Z87</f>
        <v>0</v>
      </c>
      <c r="G87" s="185">
        <f>'TIE-OUT'!AC87+RECLASS!AA87</f>
        <v>-9295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-244999.59</v>
      </c>
      <c r="F89" s="155">
        <f t="shared" si="16"/>
        <v>0</v>
      </c>
      <c r="G89" s="155">
        <f t="shared" si="16"/>
        <v>-206325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151433.41</v>
      </c>
      <c r="N89" s="155">
        <f t="shared" ref="N89:AE89" si="17">SUM(N86:N88)</f>
        <v>0</v>
      </c>
      <c r="O89" s="155">
        <f t="shared" si="17"/>
        <v>-190108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441166.22999999556</v>
      </c>
      <c r="F91" s="155">
        <f t="shared" si="19"/>
        <v>0</v>
      </c>
      <c r="G91" s="155">
        <f t="shared" si="19"/>
        <v>1114410.8100000005</v>
      </c>
      <c r="H91" s="155">
        <f t="shared" si="19"/>
        <v>0</v>
      </c>
      <c r="I91" s="155">
        <f t="shared" si="19"/>
        <v>-928353.79000002448</v>
      </c>
      <c r="J91" s="155">
        <f t="shared" si="19"/>
        <v>0</v>
      </c>
      <c r="K91" s="155">
        <f t="shared" si="19"/>
        <v>291598.38999999966</v>
      </c>
      <c r="L91" s="155">
        <f t="shared" si="19"/>
        <v>0</v>
      </c>
      <c r="M91" s="155">
        <f t="shared" si="19"/>
        <v>-68047.890000000043</v>
      </c>
      <c r="N91" s="155">
        <f t="shared" ref="N91:AE91" si="20">+N82+N89</f>
        <v>0</v>
      </c>
      <c r="O91" s="155">
        <f t="shared" si="20"/>
        <v>31558.71000000005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32" sqref="D3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86480259</v>
      </c>
      <c r="E11" s="66">
        <f>'CE-FLSH'!M11</f>
        <v>202895435</v>
      </c>
      <c r="F11" s="60">
        <f>CE_GL!D11</f>
        <v>86279798</v>
      </c>
      <c r="G11" s="38">
        <f>CE_GL!E11</f>
        <v>201066632.95000002</v>
      </c>
      <c r="H11" s="60">
        <f>F11-D11</f>
        <v>-200461</v>
      </c>
      <c r="I11" s="38">
        <f>G11-E11</f>
        <v>-1828802.0499999821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5424924.2400000002</v>
      </c>
      <c r="H12" s="60">
        <f>F12-D12</f>
        <v>0</v>
      </c>
      <c r="I12" s="38">
        <f>G12-E12</f>
        <v>5424924.2400000002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41011971</v>
      </c>
      <c r="E13" s="66">
        <f>'CE-FLSH'!M13</f>
        <v>97311530</v>
      </c>
      <c r="F13" s="60">
        <f>CE_GL!D13</f>
        <v>19727875</v>
      </c>
      <c r="G13" s="38">
        <f>CE_GL!E13</f>
        <v>46844900</v>
      </c>
      <c r="H13" s="60">
        <f t="shared" ref="H13:I15" si="0">F13-D13</f>
        <v>-21284096</v>
      </c>
      <c r="I13" s="38">
        <f t="shared" si="0"/>
        <v>-50466630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2952125.18</v>
      </c>
      <c r="H15" s="60">
        <f t="shared" si="0"/>
        <v>0</v>
      </c>
      <c r="I15" s="38">
        <f t="shared" si="0"/>
        <v>2952125.18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127492230</v>
      </c>
      <c r="E16" s="39">
        <f t="shared" si="1"/>
        <v>300206965</v>
      </c>
      <c r="F16" s="61">
        <f t="shared" si="1"/>
        <v>106007673</v>
      </c>
      <c r="G16" s="39">
        <f t="shared" si="1"/>
        <v>256288582.37000003</v>
      </c>
      <c r="H16" s="61">
        <f t="shared" si="1"/>
        <v>-21484557</v>
      </c>
      <c r="I16" s="39">
        <f t="shared" si="1"/>
        <v>-43918382.62999998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-95357565</v>
      </c>
      <c r="E19" s="66">
        <f>'CE-FLSH'!M19</f>
        <v>-222705101</v>
      </c>
      <c r="F19" s="60">
        <f>CE_GL!D19</f>
        <v>-96232149</v>
      </c>
      <c r="G19" s="38">
        <f>CE_GL!E19</f>
        <v>-227994485.46999997</v>
      </c>
      <c r="H19" s="60">
        <f>F19-D19</f>
        <v>-874584</v>
      </c>
      <c r="I19" s="38">
        <f>G19-E19</f>
        <v>-5289384.469999969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-36885.989999999991</v>
      </c>
      <c r="H20" s="60">
        <f>F20-D20</f>
        <v>0</v>
      </c>
      <c r="I20" s="38">
        <f>G20-E20</f>
        <v>-36885.989999999991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-32340740</v>
      </c>
      <c r="E21" s="66">
        <f>'CE-FLSH'!M21</f>
        <v>-77121536</v>
      </c>
      <c r="F21" s="60">
        <f>CE_GL!D21</f>
        <v>-11470390</v>
      </c>
      <c r="G21" s="38">
        <f>CE_GL!E21</f>
        <v>-27188862</v>
      </c>
      <c r="H21" s="60">
        <f t="shared" ref="H21:I23" si="2">F21-D21</f>
        <v>20870350</v>
      </c>
      <c r="I21" s="38">
        <f t="shared" si="2"/>
        <v>49932674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331530</v>
      </c>
      <c r="E23" s="66">
        <f>'CE-FLSH'!M23</f>
        <v>764277</v>
      </c>
      <c r="F23" s="60">
        <f>CE_GL!D23</f>
        <v>811540</v>
      </c>
      <c r="G23" s="38">
        <f>CE_GL!E23</f>
        <v>1884395.8800000001</v>
      </c>
      <c r="H23" s="60">
        <f t="shared" si="2"/>
        <v>480010</v>
      </c>
      <c r="I23" s="38">
        <f t="shared" si="2"/>
        <v>1120118.8800000001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-127366775</v>
      </c>
      <c r="E24" s="39">
        <f t="shared" si="3"/>
        <v>-299062360</v>
      </c>
      <c r="F24" s="61">
        <f t="shared" si="3"/>
        <v>-106890999</v>
      </c>
      <c r="G24" s="39">
        <f t="shared" si="3"/>
        <v>-253335837.57999998</v>
      </c>
      <c r="H24" s="61">
        <f t="shared" si="3"/>
        <v>20475776</v>
      </c>
      <c r="I24" s="39">
        <f t="shared" si="3"/>
        <v>45726522.420000032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156898</v>
      </c>
      <c r="G27" s="38">
        <f>CE_GL!E27</f>
        <v>360096.24</v>
      </c>
      <c r="H27" s="60">
        <f>F27-D27</f>
        <v>156898</v>
      </c>
      <c r="I27" s="38">
        <f>G27-E27</f>
        <v>360096.24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-108664</v>
      </c>
      <c r="G28" s="38">
        <f>CE_GL!E28</f>
        <v>-275999.67</v>
      </c>
      <c r="H28" s="60">
        <f>F28-D28</f>
        <v>-108664</v>
      </c>
      <c r="I28" s="38">
        <f>G28-E28</f>
        <v>-275999.67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48234</v>
      </c>
      <c r="G29" s="70">
        <f t="shared" si="4"/>
        <v>84096.57</v>
      </c>
      <c r="H29" s="69">
        <f t="shared" si="4"/>
        <v>48234</v>
      </c>
      <c r="I29" s="70">
        <f t="shared" si="4"/>
        <v>84096.57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16861</v>
      </c>
      <c r="E32" s="66">
        <f>'CE-FLSH'!M32</f>
        <v>16125</v>
      </c>
      <c r="F32" s="60">
        <f>CE_GL!D32</f>
        <v>-243898</v>
      </c>
      <c r="G32" s="38">
        <f>CE_GL!E32</f>
        <v>-566331.15599999961</v>
      </c>
      <c r="H32" s="60">
        <f>F32-D32</f>
        <v>-260759</v>
      </c>
      <c r="I32" s="38">
        <f>G32-E32</f>
        <v>-582456.15599999961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-83544</v>
      </c>
      <c r="G33" s="38">
        <f>CE_GL!E33</f>
        <v>-202085.82</v>
      </c>
      <c r="H33" s="60">
        <f t="shared" ref="H33:I35" si="5">F33-D33</f>
        <v>-83544</v>
      </c>
      <c r="I33" s="38">
        <f t="shared" si="5"/>
        <v>-202085.82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60535</v>
      </c>
      <c r="G34" s="38">
        <f>CE_GL!E34</f>
        <v>135006.99</v>
      </c>
      <c r="H34" s="60">
        <f t="shared" si="5"/>
        <v>60535</v>
      </c>
      <c r="I34" s="38">
        <f t="shared" si="5"/>
        <v>135006.99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252323</v>
      </c>
      <c r="E35" s="66">
        <f>'CE-FLSH'!M35</f>
        <v>582089</v>
      </c>
      <c r="F35" s="60">
        <f>CE_GL!D35</f>
        <v>0</v>
      </c>
      <c r="G35" s="38">
        <f>CE_GL!E35</f>
        <v>0</v>
      </c>
      <c r="H35" s="60">
        <f t="shared" si="5"/>
        <v>-252323</v>
      </c>
      <c r="I35" s="38">
        <f t="shared" si="5"/>
        <v>-582089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269184</v>
      </c>
      <c r="E36" s="39">
        <f t="shared" si="6"/>
        <v>598214</v>
      </c>
      <c r="F36" s="61">
        <f t="shared" si="6"/>
        <v>-266907</v>
      </c>
      <c r="G36" s="39">
        <f t="shared" si="6"/>
        <v>-633409.98599999957</v>
      </c>
      <c r="H36" s="61">
        <f t="shared" si="6"/>
        <v>-536091</v>
      </c>
      <c r="I36" s="39">
        <f t="shared" si="6"/>
        <v>-1231623.9859999996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15000</v>
      </c>
      <c r="E39" s="66">
        <f>'CE-FLSH'!M39</f>
        <v>40875</v>
      </c>
      <c r="F39" s="60">
        <f>CE_GL!D39</f>
        <v>521888</v>
      </c>
      <c r="G39" s="38">
        <f>CE_GL!E39</f>
        <v>1211823.93</v>
      </c>
      <c r="H39" s="60">
        <f t="shared" ref="H39:I41" si="7">F39-D39</f>
        <v>506888</v>
      </c>
      <c r="I39" s="38">
        <f t="shared" si="7"/>
        <v>1170948.93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-396449</v>
      </c>
      <c r="E40" s="66">
        <f>'CE-FLSH'!M40</f>
        <v>-952639</v>
      </c>
      <c r="F40" s="60">
        <f>CE_GL!D40</f>
        <v>-645126</v>
      </c>
      <c r="G40" s="38">
        <f>CE_GL!E40</f>
        <v>-1401722.22</v>
      </c>
      <c r="H40" s="60">
        <f t="shared" si="7"/>
        <v>-248677</v>
      </c>
      <c r="I40" s="38">
        <f t="shared" si="7"/>
        <v>-449083.22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-396449</v>
      </c>
      <c r="E42" s="70">
        <f t="shared" si="8"/>
        <v>-952639</v>
      </c>
      <c r="F42" s="69">
        <f t="shared" si="8"/>
        <v>-645126</v>
      </c>
      <c r="G42" s="70">
        <f t="shared" si="8"/>
        <v>-1401722.22</v>
      </c>
      <c r="H42" s="69">
        <f t="shared" si="8"/>
        <v>-248677</v>
      </c>
      <c r="I42" s="70">
        <f t="shared" si="8"/>
        <v>-449083.22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-381449</v>
      </c>
      <c r="E43" s="39">
        <f t="shared" si="9"/>
        <v>-911764</v>
      </c>
      <c r="F43" s="61">
        <f t="shared" si="9"/>
        <v>-123238</v>
      </c>
      <c r="G43" s="39">
        <f t="shared" si="9"/>
        <v>-189898.29000000004</v>
      </c>
      <c r="H43" s="61">
        <f t="shared" si="9"/>
        <v>258211</v>
      </c>
      <c r="I43" s="39">
        <f t="shared" si="9"/>
        <v>721865.71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-13190</v>
      </c>
      <c r="E49" s="66">
        <f>'CE-FLSH'!M49</f>
        <v>-30627.18</v>
      </c>
      <c r="F49" s="60">
        <f>CE_GL!D49</f>
        <v>1225237</v>
      </c>
      <c r="G49" s="38">
        <f>CE_GL!E49</f>
        <v>2845000.3139999984</v>
      </c>
      <c r="H49" s="60">
        <f>F49-D49</f>
        <v>1238427</v>
      </c>
      <c r="I49" s="38">
        <f>G49-E49</f>
        <v>2875627.4939999986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-331530</v>
      </c>
      <c r="E51" s="66">
        <f>'CE-FLSH'!M51</f>
        <v>-764277</v>
      </c>
      <c r="F51" s="60">
        <f>CE_GL!D51</f>
        <v>-811540</v>
      </c>
      <c r="G51" s="38">
        <f>CE_GL!E51</f>
        <v>-1884395.8800000001</v>
      </c>
      <c r="H51" s="60">
        <f>F51-D51</f>
        <v>-480010</v>
      </c>
      <c r="I51" s="38">
        <f>G51-E51</f>
        <v>-1120118.8800000001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-195130</v>
      </c>
      <c r="F54" s="60">
        <f>CE_GL!D54</f>
        <v>-62477450</v>
      </c>
      <c r="G54" s="38">
        <f>CE_GL!E54</f>
        <v>-538391.08000000007</v>
      </c>
      <c r="H54" s="60">
        <f>F54-D54</f>
        <v>-62477450</v>
      </c>
      <c r="I54" s="38">
        <f>G54-E54</f>
        <v>-343261.08000000007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-2688464</v>
      </c>
      <c r="F55" s="60">
        <f>CE_GL!D55</f>
        <v>0</v>
      </c>
      <c r="G55" s="38">
        <f>CE_GL!E55</f>
        <v>-2144478.8000000003</v>
      </c>
      <c r="H55" s="60">
        <f>F55-D55</f>
        <v>0</v>
      </c>
      <c r="I55" s="38">
        <f>G55-E55</f>
        <v>543985.19999999972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-2883594</v>
      </c>
      <c r="F56" s="61">
        <f t="shared" si="10"/>
        <v>-62477450</v>
      </c>
      <c r="G56" s="39">
        <f t="shared" si="10"/>
        <v>-2682869.8800000004</v>
      </c>
      <c r="H56" s="61">
        <f t="shared" si="10"/>
        <v>-62477450</v>
      </c>
      <c r="I56" s="39">
        <f t="shared" si="10"/>
        <v>200724.11999999965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7591856.8829999994</v>
      </c>
      <c r="F70" s="60">
        <f>CE_GL!D70</f>
        <v>0</v>
      </c>
      <c r="G70" s="38">
        <f>CE_GL!E70</f>
        <v>7591856.8799999999</v>
      </c>
      <c r="H70" s="60">
        <f>F70-D70</f>
        <v>0</v>
      </c>
      <c r="I70" s="38">
        <f>G70-E70</f>
        <v>-2.9999995604157448E-3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-1768211</v>
      </c>
      <c r="F71" s="60">
        <f>CE_GL!D71</f>
        <v>0</v>
      </c>
      <c r="G71" s="38">
        <f>CE_GL!E71</f>
        <v>-1768212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5823645.8829999994</v>
      </c>
      <c r="F72" s="69">
        <f t="shared" si="13"/>
        <v>0</v>
      </c>
      <c r="G72" s="70">
        <f t="shared" si="13"/>
        <v>5823644.8799999999</v>
      </c>
      <c r="H72" s="69">
        <f t="shared" si="13"/>
        <v>0</v>
      </c>
      <c r="I72" s="70">
        <f t="shared" si="13"/>
        <v>-1.0029999995604157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-1002755</v>
      </c>
      <c r="F74" s="60">
        <f>CE_GL!D74</f>
        <v>0</v>
      </c>
      <c r="G74" s="38">
        <f>CE_GL!E74</f>
        <v>934514.08999999985</v>
      </c>
      <c r="H74" s="60">
        <f t="shared" ref="H74:I79" si="14">F74-D74</f>
        <v>0</v>
      </c>
      <c r="I74" s="38">
        <f t="shared" si="14"/>
        <v>1937269.0899999999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49575</v>
      </c>
      <c r="F75" s="60">
        <f>CE_GL!D75</f>
        <v>0</v>
      </c>
      <c r="G75" s="38">
        <f>CE_GL!E75</f>
        <v>51500</v>
      </c>
      <c r="H75" s="60">
        <f t="shared" si="14"/>
        <v>0</v>
      </c>
      <c r="I75" s="38">
        <f t="shared" si="14"/>
        <v>1925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-8354</v>
      </c>
      <c r="F76" s="60">
        <f>CE_GL!D76</f>
        <v>0</v>
      </c>
      <c r="G76" s="38">
        <f>CE_GL!E76</f>
        <v>-12463.66</v>
      </c>
      <c r="H76" s="60">
        <f t="shared" si="14"/>
        <v>0</v>
      </c>
      <c r="I76" s="38">
        <f t="shared" si="14"/>
        <v>-4109.66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1211768.94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-1211768.94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-5057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5057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3221380.6430000141</v>
      </c>
      <c r="F82" s="71">
        <f>F16+F24+F29+F36+F43+F45+F47+F49</f>
        <v>0</v>
      </c>
      <c r="G82" s="72">
        <f>SUM(G72:G81)+G16+G24+G29+G36+G43+G45+G47+G49+G51+G56+G61+G66</f>
        <v>7288462.9480000511</v>
      </c>
      <c r="H82" s="71">
        <f>H16+H24+H29+H36+H43+H45+H47+H49</f>
        <v>0</v>
      </c>
      <c r="I82" s="72">
        <f>SUM(I72:I81)+I16+I24+I29+I36+I43+I45+I47+I49+I51+I56+I61+I66</f>
        <v>4067082.3050000533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7555750</v>
      </c>
      <c r="E11" s="66">
        <f>'SITHE-FLSH'!M11</f>
        <v>17429803</v>
      </c>
      <c r="F11" s="60">
        <f>SITHE_GL!D11</f>
        <v>7555752</v>
      </c>
      <c r="G11" s="38">
        <f>SITHE_GL!E11</f>
        <v>18913657.91</v>
      </c>
      <c r="H11" s="60">
        <f>F11-D11</f>
        <v>2</v>
      </c>
      <c r="I11" s="38">
        <f>G11-E11</f>
        <v>1483854.9100000001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-694586.38</v>
      </c>
      <c r="H12" s="60">
        <f>F12-D12</f>
        <v>0</v>
      </c>
      <c r="I12" s="38">
        <f>G12-E12</f>
        <v>-694586.38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3927553</v>
      </c>
      <c r="E13" s="66">
        <f>'SITHE-FLSH'!M13</f>
        <v>9502443</v>
      </c>
      <c r="F13" s="60">
        <f>SITHE_GL!D13</f>
        <v>97419</v>
      </c>
      <c r="G13" s="38">
        <f>SITHE_GL!E13</f>
        <v>275844</v>
      </c>
      <c r="H13" s="60">
        <f t="shared" ref="H13:I15" si="0">F13-D13</f>
        <v>-3830134</v>
      </c>
      <c r="I13" s="38">
        <f t="shared" si="0"/>
        <v>-9226599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11483303</v>
      </c>
      <c r="E16" s="39">
        <f t="shared" si="1"/>
        <v>26932246</v>
      </c>
      <c r="F16" s="61">
        <f t="shared" si="1"/>
        <v>7653171</v>
      </c>
      <c r="G16" s="39">
        <f t="shared" si="1"/>
        <v>18494915.530000001</v>
      </c>
      <c r="H16" s="61">
        <f t="shared" si="1"/>
        <v>-3830132</v>
      </c>
      <c r="I16" s="39">
        <f t="shared" si="1"/>
        <v>-8437330.4700000007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-4678366</v>
      </c>
      <c r="E19" s="66">
        <f>'SITHE-FLSH'!M19</f>
        <v>-11156729</v>
      </c>
      <c r="F19" s="60">
        <f>SITHE_GL!D19</f>
        <v>-1123774</v>
      </c>
      <c r="G19" s="38">
        <f>SITHE_GL!E19</f>
        <v>-3106881.2600000002</v>
      </c>
      <c r="H19" s="60">
        <f>F19-D19</f>
        <v>3554592</v>
      </c>
      <c r="I19" s="38">
        <f>G19-E19</f>
        <v>8049847.7400000002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-6889.5</v>
      </c>
      <c r="H20" s="60">
        <f>F20-D20</f>
        <v>0</v>
      </c>
      <c r="I20" s="38">
        <f>G20-E20</f>
        <v>-6889.5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-6777912</v>
      </c>
      <c r="E21" s="66">
        <f>'SITHE-FLSH'!M21</f>
        <v>-15769833</v>
      </c>
      <c r="F21" s="60">
        <f>SITHE_GL!D21</f>
        <v>-3635325</v>
      </c>
      <c r="G21" s="38">
        <f>SITHE_GL!E21</f>
        <v>-8726513</v>
      </c>
      <c r="H21" s="60">
        <f t="shared" ref="H21:I23" si="2">F21-D21</f>
        <v>3142587</v>
      </c>
      <c r="I21" s="38">
        <f t="shared" si="2"/>
        <v>7043320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84</v>
      </c>
      <c r="E23" s="66">
        <f>'SITHE-FLSH'!M23</f>
        <v>200</v>
      </c>
      <c r="F23" s="60">
        <f>SITHE_GL!D23</f>
        <v>0</v>
      </c>
      <c r="G23" s="38">
        <f>SITHE_GL!E23</f>
        <v>0</v>
      </c>
      <c r="H23" s="60">
        <f t="shared" si="2"/>
        <v>-84</v>
      </c>
      <c r="I23" s="38">
        <f t="shared" si="2"/>
        <v>-200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-11456194</v>
      </c>
      <c r="E24" s="39">
        <f t="shared" si="3"/>
        <v>-26926362</v>
      </c>
      <c r="F24" s="61">
        <f t="shared" si="3"/>
        <v>-4759099</v>
      </c>
      <c r="G24" s="39">
        <f t="shared" si="3"/>
        <v>-11840283.76</v>
      </c>
      <c r="H24" s="61">
        <f t="shared" si="3"/>
        <v>6697095</v>
      </c>
      <c r="I24" s="39">
        <f t="shared" si="3"/>
        <v>15086078.24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-56791</v>
      </c>
      <c r="E32" s="66">
        <f>'SITHE-FLSH'!M32</f>
        <v>-58</v>
      </c>
      <c r="F32" s="60">
        <f>SITHE_GL!D32</f>
        <v>0</v>
      </c>
      <c r="G32" s="38">
        <f>SITHE_GL!E32</f>
        <v>0</v>
      </c>
      <c r="H32" s="60">
        <f>F32-D32</f>
        <v>56791</v>
      </c>
      <c r="I32" s="38">
        <f>G32-E32</f>
        <v>58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-56791</v>
      </c>
      <c r="E36" s="39">
        <f t="shared" si="6"/>
        <v>-58</v>
      </c>
      <c r="F36" s="61">
        <f t="shared" si="6"/>
        <v>0</v>
      </c>
      <c r="G36" s="39">
        <f t="shared" si="6"/>
        <v>0</v>
      </c>
      <c r="H36" s="61">
        <f t="shared" si="6"/>
        <v>56791</v>
      </c>
      <c r="I36" s="39">
        <f t="shared" si="6"/>
        <v>58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29682</v>
      </c>
      <c r="E49" s="66">
        <f>'SITHE-FLSH'!M49</f>
        <v>67877.929239970021</v>
      </c>
      <c r="F49" s="60">
        <f>SITHE_GL!D49</f>
        <v>-2894072</v>
      </c>
      <c r="G49" s="38">
        <f>SITHE_GL!E49</f>
        <v>-6618742.6639999999</v>
      </c>
      <c r="H49" s="60">
        <f>F49-D49</f>
        <v>-2923754</v>
      </c>
      <c r="I49" s="38">
        <f>G49-E49</f>
        <v>-6686620.5932399696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-84</v>
      </c>
      <c r="E51" s="66">
        <f>'SITHE-FLSH'!M51</f>
        <v>-200</v>
      </c>
      <c r="F51" s="60">
        <f>SITHE_GL!D51</f>
        <v>0</v>
      </c>
      <c r="G51" s="38">
        <f>SITHE_GL!E51</f>
        <v>0</v>
      </c>
      <c r="H51" s="60">
        <f>F51-D51</f>
        <v>84</v>
      </c>
      <c r="I51" s="38">
        <f>G51-E51</f>
        <v>200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-64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64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-7483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7483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-7547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7547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-322863.26569999999</v>
      </c>
      <c r="F70" s="60">
        <f>SITHE_GL!D70</f>
        <v>0</v>
      </c>
      <c r="G70" s="38">
        <f>SITHE_GL!E70</f>
        <v>-400747</v>
      </c>
      <c r="H70" s="60">
        <f>F70-D70</f>
        <v>0</v>
      </c>
      <c r="I70" s="38">
        <f>G70-E70</f>
        <v>-77883.734300000011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-77884</v>
      </c>
      <c r="F71" s="60">
        <f>SITHE_GL!D71</f>
        <v>0</v>
      </c>
      <c r="G71" s="38">
        <f>SITHE_GL!E71</f>
        <v>0</v>
      </c>
      <c r="H71" s="60">
        <f>F71-D71</f>
        <v>0</v>
      </c>
      <c r="I71" s="38">
        <f>G71-E71</f>
        <v>77884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-400747.26569999999</v>
      </c>
      <c r="F72" s="69">
        <f t="shared" si="13"/>
        <v>0</v>
      </c>
      <c r="G72" s="70">
        <f t="shared" si="13"/>
        <v>-400747</v>
      </c>
      <c r="H72" s="69">
        <f t="shared" si="13"/>
        <v>0</v>
      </c>
      <c r="I72" s="70">
        <f t="shared" si="13"/>
        <v>0.26569999998901039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453414</v>
      </c>
      <c r="F74" s="60">
        <f>SITHE_GL!D74</f>
        <v>0</v>
      </c>
      <c r="G74" s="38">
        <f>SITHE_GL!E74</f>
        <v>451953.34</v>
      </c>
      <c r="H74" s="60">
        <f t="shared" ref="H74:I79" si="14">F74-D74</f>
        <v>0</v>
      </c>
      <c r="I74" s="38">
        <f t="shared" si="14"/>
        <v>-1460.6599999999744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153274</v>
      </c>
      <c r="F81" s="60">
        <f>SITHE_GL!D81</f>
        <v>0</v>
      </c>
      <c r="G81" s="38">
        <f>SITHE_GL!E81</f>
        <v>153274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271897.66353996878</v>
      </c>
      <c r="F82" s="71">
        <f>F16+F24+F29+F36+F43+F45+F47+F49</f>
        <v>0</v>
      </c>
      <c r="G82" s="72">
        <f>SUM(G72:G81)+G16+G24+G29+G36+G43+G45+G47+G49+G51+G56+G61+G66</f>
        <v>240369.44600000139</v>
      </c>
      <c r="H82" s="71">
        <f>H16+H24+H29+H36+H43+H45+H47+H49</f>
        <v>0</v>
      </c>
      <c r="I82" s="72">
        <f>SUM(I72:I81)+I16+I24+I29+I36+I43+I45+I47+I49+I51+I56+I61+I66</f>
        <v>-31528.217539970763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16545855</v>
      </c>
      <c r="E11" s="66">
        <f>'ARUBA-FLSH'!M11</f>
        <v>40536583</v>
      </c>
      <c r="F11" s="60">
        <f>ARUBA_GL!D11</f>
        <v>16539748</v>
      </c>
      <c r="G11" s="38">
        <f>ARUBA_GL!E11</f>
        <v>39841775.309999995</v>
      </c>
      <c r="H11" s="60">
        <f>F11-D11</f>
        <v>-6107</v>
      </c>
      <c r="I11" s="38">
        <f>G11-E11</f>
        <v>-694807.69000000507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497314.76</v>
      </c>
      <c r="H12" s="60">
        <f>F12-D12</f>
        <v>0</v>
      </c>
      <c r="I12" s="38">
        <f>G12-E12</f>
        <v>497314.76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25646524</v>
      </c>
      <c r="E13" s="66">
        <f>'ARUBA-FLSH'!M13</f>
        <v>62333419</v>
      </c>
      <c r="F13" s="60">
        <f>ARUBA_GL!D13</f>
        <v>9052758</v>
      </c>
      <c r="G13" s="38">
        <f>ARUBA_GL!E13</f>
        <v>21609190</v>
      </c>
      <c r="H13" s="60">
        <f t="shared" ref="H13:I15" si="0">F13-D13</f>
        <v>-16593766</v>
      </c>
      <c r="I13" s="38">
        <f t="shared" si="0"/>
        <v>-40724229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3058363.5</v>
      </c>
      <c r="H15" s="60">
        <f t="shared" si="0"/>
        <v>0</v>
      </c>
      <c r="I15" s="38">
        <f t="shared" si="0"/>
        <v>3058363.5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42192379</v>
      </c>
      <c r="E16" s="39">
        <f t="shared" si="1"/>
        <v>102870002</v>
      </c>
      <c r="F16" s="61">
        <f t="shared" si="1"/>
        <v>25592506</v>
      </c>
      <c r="G16" s="39">
        <f t="shared" si="1"/>
        <v>65006643.569999993</v>
      </c>
      <c r="H16" s="61">
        <f t="shared" si="1"/>
        <v>-16599873</v>
      </c>
      <c r="I16" s="39">
        <f t="shared" si="1"/>
        <v>-37863358.430000007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-11681391</v>
      </c>
      <c r="E19" s="66">
        <f>'ARUBA-FLSH'!M19</f>
        <v>-27562027</v>
      </c>
      <c r="F19" s="60">
        <f>ARUBA_GL!D19</f>
        <v>-11681017</v>
      </c>
      <c r="G19" s="38">
        <f>ARUBA_GL!E19</f>
        <v>-27284908.069999997</v>
      </c>
      <c r="H19" s="60">
        <f>F19-D19</f>
        <v>374</v>
      </c>
      <c r="I19" s="38">
        <f>G19-E19</f>
        <v>277118.93000000343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-336602.09</v>
      </c>
      <c r="H20" s="60">
        <f>F20-D20</f>
        <v>0</v>
      </c>
      <c r="I20" s="38">
        <f>G20-E20</f>
        <v>-336602.09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-30848646</v>
      </c>
      <c r="E21" s="66">
        <f>'ARUBA-FLSH'!M21</f>
        <v>-74567387</v>
      </c>
      <c r="F21" s="60">
        <f>ARUBA_GL!D21</f>
        <v>-14244885</v>
      </c>
      <c r="G21" s="38">
        <f>ARUBA_GL!E21</f>
        <v>-33815447</v>
      </c>
      <c r="H21" s="60">
        <f t="shared" ref="H21:I23" si="2">F21-D21</f>
        <v>16603761</v>
      </c>
      <c r="I21" s="38">
        <f t="shared" si="2"/>
        <v>40751940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325104</v>
      </c>
      <c r="E23" s="66">
        <f>'ARUBA-FLSH'!M23</f>
        <v>773031</v>
      </c>
      <c r="F23" s="60">
        <f>ARUBA_GL!D23</f>
        <v>0</v>
      </c>
      <c r="G23" s="38">
        <f>ARUBA_GL!E23</f>
        <v>0</v>
      </c>
      <c r="H23" s="60">
        <f t="shared" si="2"/>
        <v>-325104</v>
      </c>
      <c r="I23" s="38">
        <f t="shared" si="2"/>
        <v>-773031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-42204933</v>
      </c>
      <c r="E24" s="39">
        <f t="shared" si="3"/>
        <v>-101356383</v>
      </c>
      <c r="F24" s="61">
        <f t="shared" si="3"/>
        <v>-25925902</v>
      </c>
      <c r="G24" s="39">
        <f t="shared" si="3"/>
        <v>-61436957.159999996</v>
      </c>
      <c r="H24" s="61">
        <f t="shared" si="3"/>
        <v>16279031</v>
      </c>
      <c r="I24" s="39">
        <f t="shared" si="3"/>
        <v>39919425.840000004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12554</v>
      </c>
      <c r="E49" s="66">
        <f>'ARUBA-FLSH'!M49</f>
        <v>29721.637375299964</v>
      </c>
      <c r="F49" s="60">
        <f>ARUBA_GL!D49</f>
        <v>333396</v>
      </c>
      <c r="G49" s="38">
        <f>ARUBA_GL!E49</f>
        <v>789481.728</v>
      </c>
      <c r="H49" s="60">
        <f>F49-D49</f>
        <v>320842</v>
      </c>
      <c r="I49" s="38">
        <f>G49-E49</f>
        <v>759760.09062470007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-325104</v>
      </c>
      <c r="E51" s="66">
        <f>'ARUBA-FLSH'!M51</f>
        <v>-773031</v>
      </c>
      <c r="F51" s="60">
        <f>ARUBA_GL!D51</f>
        <v>0</v>
      </c>
      <c r="G51" s="38">
        <f>ARUBA_GL!E51</f>
        <v>0</v>
      </c>
      <c r="H51" s="60">
        <f>F51-D51</f>
        <v>325104</v>
      </c>
      <c r="I51" s="38">
        <f>G51-E51</f>
        <v>773031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-71026</v>
      </c>
      <c r="F54" s="60">
        <f>ARUBA_GL!D54</f>
        <v>-7936514</v>
      </c>
      <c r="G54" s="38">
        <f>ARUBA_GL!E54</f>
        <v>-142054.03</v>
      </c>
      <c r="H54" s="60">
        <f>F54-D54</f>
        <v>-7936514</v>
      </c>
      <c r="I54" s="38">
        <f>G54-E54</f>
        <v>-71028.03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-3576629.01</v>
      </c>
      <c r="H55" s="60">
        <f>F55-D55</f>
        <v>0</v>
      </c>
      <c r="I55" s="38">
        <f>G55-E55</f>
        <v>-3576629.01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-71026</v>
      </c>
      <c r="F56" s="61">
        <f t="shared" si="10"/>
        <v>-7936514</v>
      </c>
      <c r="G56" s="39">
        <f t="shared" si="10"/>
        <v>-3718683.0399999996</v>
      </c>
      <c r="H56" s="61">
        <f t="shared" si="10"/>
        <v>-7936514</v>
      </c>
      <c r="I56" s="39">
        <f t="shared" si="10"/>
        <v>-3647657.0399999996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12261468.489899993</v>
      </c>
      <c r="F70" s="60">
        <f>ARUBA_GL!D70</f>
        <v>0</v>
      </c>
      <c r="G70" s="38">
        <f>ARUBA_GL!E70</f>
        <v>12261468.49</v>
      </c>
      <c r="H70" s="60">
        <f>F70-D70</f>
        <v>0</v>
      </c>
      <c r="I70" s="38">
        <f>G70-E70</f>
        <v>1.0000728070735931E-4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-14085870</v>
      </c>
      <c r="F71" s="60">
        <f>ARUBA_GL!D71</f>
        <v>0</v>
      </c>
      <c r="G71" s="38">
        <f>ARUBA_GL!E71</f>
        <v>-14085867</v>
      </c>
      <c r="H71" s="60">
        <f>F71-D71</f>
        <v>0</v>
      </c>
      <c r="I71" s="38">
        <f>G71-E71</f>
        <v>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-1824401.5101000071</v>
      </c>
      <c r="F72" s="69">
        <f t="shared" si="13"/>
        <v>0</v>
      </c>
      <c r="G72" s="70">
        <f t="shared" si="13"/>
        <v>-1824398.5099999998</v>
      </c>
      <c r="H72" s="69">
        <f t="shared" si="13"/>
        <v>0</v>
      </c>
      <c r="I72" s="70">
        <f t="shared" si="13"/>
        <v>3.0001000072807074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670073.51010000007</v>
      </c>
      <c r="F74" s="60">
        <f>ARUBA_GL!D74</f>
        <v>0</v>
      </c>
      <c r="G74" s="38">
        <f>ARUBA_GL!E74</f>
        <v>683322.53</v>
      </c>
      <c r="H74" s="60">
        <f t="shared" ref="H74:I79" si="14">F74-D74</f>
        <v>0</v>
      </c>
      <c r="I74" s="38">
        <f t="shared" si="14"/>
        <v>13249.019899999956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12711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-12711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-442333.36262470006</v>
      </c>
      <c r="F82" s="71">
        <f>F16+F24+F29+F36+F43+F45+F47+F49</f>
        <v>0</v>
      </c>
      <c r="G82" s="72">
        <f>SUM(G72:G81)+G16+G24+G29+G36+G43+G45+G47+G49+G51+G56+G61+G66</f>
        <v>-500590.88199999975</v>
      </c>
      <c r="H82" s="71">
        <f>H16+H24+H29+H36+H43+H45+H47+H49</f>
        <v>0</v>
      </c>
      <c r="I82" s="72">
        <f>SUM(I72:I81)+I16+I24+I29+I36+I43+I45+I47+I49+I51+I56+I61+I66</f>
        <v>-58257.519375292119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196234304</v>
      </c>
      <c r="E11" s="66">
        <f>'EAST-EGM-FLSH'!M11</f>
        <v>490071985.8439247</v>
      </c>
      <c r="F11" s="60">
        <f>'EAST-EGM-GL'!D11</f>
        <v>193051117</v>
      </c>
      <c r="G11" s="38">
        <f>'EAST-EGM-GL'!E11</f>
        <v>487071650.59999996</v>
      </c>
      <c r="H11" s="60">
        <f>F11-D11</f>
        <v>-3183187</v>
      </c>
      <c r="I11" s="38">
        <f>G11-E11</f>
        <v>-3000335.243924737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-3880244.07</v>
      </c>
      <c r="H12" s="60">
        <f>F12-D12</f>
        <v>0</v>
      </c>
      <c r="I12" s="38">
        <f>G12-E12</f>
        <v>-3880244.07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78004071</v>
      </c>
      <c r="E13" s="66">
        <f>'EAST-EGM-FLSH'!M13</f>
        <v>201341832</v>
      </c>
      <c r="F13" s="60">
        <f>'EAST-EGM-GL'!D13</f>
        <v>20295362</v>
      </c>
      <c r="G13" s="38">
        <f>'EAST-EGM-GL'!E13</f>
        <v>51966198</v>
      </c>
      <c r="H13" s="60">
        <f t="shared" ref="H13:I15" si="0">F13-D13</f>
        <v>-57708709</v>
      </c>
      <c r="I13" s="38">
        <f t="shared" si="0"/>
        <v>-149375634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5733061.2600000007</v>
      </c>
      <c r="H15" s="60">
        <f t="shared" si="0"/>
        <v>0</v>
      </c>
      <c r="I15" s="38">
        <f t="shared" si="0"/>
        <v>5733061.2600000007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274238375</v>
      </c>
      <c r="E16" s="39">
        <f t="shared" si="1"/>
        <v>691413321.84392476</v>
      </c>
      <c r="F16" s="61">
        <f t="shared" si="1"/>
        <v>213346479</v>
      </c>
      <c r="G16" s="39">
        <f t="shared" si="1"/>
        <v>540890665.78999996</v>
      </c>
      <c r="H16" s="61">
        <f t="shared" si="1"/>
        <v>-60891896</v>
      </c>
      <c r="I16" s="39">
        <f t="shared" si="1"/>
        <v>-150522656.05392474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-181648816</v>
      </c>
      <c r="E19" s="66">
        <f>'EAST-EGM-FLSH'!M19</f>
        <v>-442342911</v>
      </c>
      <c r="F19" s="60">
        <f>'EAST-EGM-GL'!D19</f>
        <v>-188888571</v>
      </c>
      <c r="G19" s="38">
        <f>'EAST-EGM-GL'!E19</f>
        <v>-446824810.43000001</v>
      </c>
      <c r="H19" s="60">
        <f>F19-D19</f>
        <v>-7239755</v>
      </c>
      <c r="I19" s="38">
        <f>G19-E19</f>
        <v>-4481899.4300000072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-82385658</v>
      </c>
      <c r="E21" s="66">
        <f>'EAST-EGM-FLSH'!M21</f>
        <v>-214966656</v>
      </c>
      <c r="F21" s="60">
        <f>'EAST-EGM-GL'!D21</f>
        <v>-19756732</v>
      </c>
      <c r="G21" s="38">
        <f>'EAST-EGM-GL'!E21</f>
        <v>-54147992</v>
      </c>
      <c r="H21" s="60">
        <f t="shared" ref="H21:I23" si="2">F21-D21</f>
        <v>62628926</v>
      </c>
      <c r="I21" s="38">
        <f t="shared" si="2"/>
        <v>160818664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514927</v>
      </c>
      <c r="E23" s="66">
        <f>'EAST-EGM-FLSH'!M23</f>
        <v>1274153</v>
      </c>
      <c r="F23" s="60">
        <f>'EAST-EGM-GL'!D23</f>
        <v>1438618</v>
      </c>
      <c r="G23" s="38">
        <f>'EAST-EGM-GL'!E23</f>
        <v>3284934.946</v>
      </c>
      <c r="H23" s="60">
        <f t="shared" si="2"/>
        <v>923691</v>
      </c>
      <c r="I23" s="38">
        <f t="shared" si="2"/>
        <v>2010781.946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-263519547</v>
      </c>
      <c r="E24" s="39">
        <f t="shared" si="3"/>
        <v>-656035414</v>
      </c>
      <c r="F24" s="61">
        <f t="shared" si="3"/>
        <v>-207206685</v>
      </c>
      <c r="G24" s="39">
        <f t="shared" si="3"/>
        <v>-506889422.67400002</v>
      </c>
      <c r="H24" s="61">
        <f t="shared" si="3"/>
        <v>56312862</v>
      </c>
      <c r="I24" s="39">
        <f t="shared" si="3"/>
        <v>149145991.32600001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11337226</v>
      </c>
      <c r="G27" s="38">
        <f>'EAST-EGM-GL'!E27</f>
        <v>27276734.16</v>
      </c>
      <c r="H27" s="60">
        <f>F27-D27</f>
        <v>11337226</v>
      </c>
      <c r="I27" s="38">
        <f>G27-E27</f>
        <v>27276734.16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-7952335</v>
      </c>
      <c r="G28" s="38">
        <f>'EAST-EGM-GL'!E28</f>
        <v>-19480700.919999998</v>
      </c>
      <c r="H28" s="60">
        <f>F28-D28</f>
        <v>-7952335</v>
      </c>
      <c r="I28" s="38">
        <f>G28-E28</f>
        <v>-19480700.919999998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3384891</v>
      </c>
      <c r="G29" s="70">
        <f t="shared" si="4"/>
        <v>7796033.2400000021</v>
      </c>
      <c r="H29" s="69">
        <f t="shared" si="4"/>
        <v>3384891</v>
      </c>
      <c r="I29" s="70">
        <f t="shared" si="4"/>
        <v>7796033.2400000021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-2118787</v>
      </c>
      <c r="E32" s="66">
        <f>'EAST-EGM-FLSH'!M32</f>
        <v>-5274638</v>
      </c>
      <c r="F32" s="60">
        <f>'EAST-EGM-GL'!D32</f>
        <v>-1726201</v>
      </c>
      <c r="G32" s="38">
        <f>'EAST-EGM-GL'!E32</f>
        <v>-4051393.7470000004</v>
      </c>
      <c r="H32" s="60">
        <f>F32-D32</f>
        <v>392586</v>
      </c>
      <c r="I32" s="38">
        <f>G32-E32</f>
        <v>1223244.2529999996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407133</v>
      </c>
      <c r="E33" s="66">
        <f>'EAST-EGM-FLSH'!M33</f>
        <v>929952</v>
      </c>
      <c r="F33" s="60">
        <f>'EAST-EGM-GL'!D33</f>
        <v>-3106022</v>
      </c>
      <c r="G33" s="38">
        <f>'EAST-EGM-GL'!E33</f>
        <v>-2207237.5699999998</v>
      </c>
      <c r="H33" s="60">
        <f t="shared" ref="H33:I35" si="5">F33-D33</f>
        <v>-3513155</v>
      </c>
      <c r="I33" s="38">
        <f t="shared" si="5"/>
        <v>-3137189.57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-816595</v>
      </c>
      <c r="E34" s="66">
        <f>'EAST-EGM-FLSH'!M34</f>
        <v>-1863552</v>
      </c>
      <c r="F34" s="60">
        <f>'EAST-EGM-GL'!D34</f>
        <v>2533309</v>
      </c>
      <c r="G34" s="38">
        <f>'EAST-EGM-GL'!E34</f>
        <v>1039877.84</v>
      </c>
      <c r="H34" s="60">
        <f t="shared" si="5"/>
        <v>3349904</v>
      </c>
      <c r="I34" s="38">
        <f t="shared" si="5"/>
        <v>2903429.84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-939991</v>
      </c>
      <c r="E35" s="66">
        <f>'EAST-EGM-FLSH'!M35</f>
        <v>-2167386</v>
      </c>
      <c r="F35" s="60">
        <f>'EAST-EGM-GL'!D35</f>
        <v>-1460000</v>
      </c>
      <c r="G35" s="38">
        <f>'EAST-EGM-GL'!E35</f>
        <v>-4392333.01</v>
      </c>
      <c r="H35" s="60">
        <f t="shared" si="5"/>
        <v>-520009</v>
      </c>
      <c r="I35" s="38">
        <f t="shared" si="5"/>
        <v>-2224947.0099999998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-3758914</v>
      </c>
      <c r="G36" s="39">
        <f t="shared" si="6"/>
        <v>-9611086.4869999997</v>
      </c>
      <c r="H36" s="61">
        <f t="shared" si="6"/>
        <v>-290674</v>
      </c>
      <c r="I36" s="39">
        <f t="shared" si="6"/>
        <v>-1235462.4870000002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925403</v>
      </c>
      <c r="E39" s="66">
        <f>'EAST-EGM-FLSH'!M39</f>
        <v>2183950</v>
      </c>
      <c r="F39" s="60">
        <f>'EAST-EGM-GL'!D39</f>
        <v>-4</v>
      </c>
      <c r="G39" s="38">
        <f>'EAST-EGM-GL'!E39</f>
        <v>-9.4000000000014552</v>
      </c>
      <c r="H39" s="60">
        <f t="shared" ref="H39:I41" si="7">F39-D39</f>
        <v>-925407</v>
      </c>
      <c r="I39" s="38">
        <f t="shared" si="7"/>
        <v>-2183959.4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-5802948</v>
      </c>
      <c r="E40" s="66">
        <f>'EAST-EGM-FLSH'!M40</f>
        <v>-14112628</v>
      </c>
      <c r="F40" s="60">
        <f>'EAST-EGM-GL'!D40</f>
        <v>-3374806</v>
      </c>
      <c r="G40" s="38">
        <f>'EAST-EGM-GL'!E40</f>
        <v>-8076129.7299999995</v>
      </c>
      <c r="H40" s="60">
        <f t="shared" si="7"/>
        <v>2428142</v>
      </c>
      <c r="I40" s="38">
        <f t="shared" si="7"/>
        <v>6036498.2700000005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-5802948</v>
      </c>
      <c r="E42" s="70">
        <f t="shared" si="8"/>
        <v>-14112628</v>
      </c>
      <c r="F42" s="69">
        <f t="shared" si="8"/>
        <v>-3374806</v>
      </c>
      <c r="G42" s="70">
        <f t="shared" si="8"/>
        <v>-8076129.7299999995</v>
      </c>
      <c r="H42" s="69">
        <f t="shared" si="8"/>
        <v>2428142</v>
      </c>
      <c r="I42" s="70">
        <f t="shared" si="8"/>
        <v>6036498.2700000005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-4877545</v>
      </c>
      <c r="E43" s="39">
        <f t="shared" si="9"/>
        <v>-11928678</v>
      </c>
      <c r="F43" s="61">
        <f t="shared" si="9"/>
        <v>-3374810</v>
      </c>
      <c r="G43" s="39">
        <f t="shared" si="9"/>
        <v>-8076139.1299999999</v>
      </c>
      <c r="H43" s="61">
        <f t="shared" si="9"/>
        <v>1502735</v>
      </c>
      <c r="I43" s="39">
        <f t="shared" si="9"/>
        <v>3852538.8700000006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-2373043</v>
      </c>
      <c r="E49" s="66">
        <f>'EAST-EGM-FLSH'!M49</f>
        <v>-5720449.3496866329</v>
      </c>
      <c r="F49" s="60">
        <f>'EAST-EGM-GL'!D49</f>
        <v>-2390961</v>
      </c>
      <c r="G49" s="38">
        <f>'EAST-EGM-GL'!E49</f>
        <v>-5611585.4669999965</v>
      </c>
      <c r="H49" s="60">
        <f>F49-D49</f>
        <v>-17918</v>
      </c>
      <c r="I49" s="38">
        <f>G49-E49</f>
        <v>108863.88268663641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-514927</v>
      </c>
      <c r="E51" s="66">
        <f>'EAST-EGM-FLSH'!M51</f>
        <v>-1274153</v>
      </c>
      <c r="F51" s="60">
        <f>'EAST-EGM-GL'!D51</f>
        <v>-2170630</v>
      </c>
      <c r="G51" s="38">
        <f>'EAST-EGM-GL'!E51</f>
        <v>-5094468.6100000003</v>
      </c>
      <c r="H51" s="60">
        <f>F51-D51</f>
        <v>-1655703</v>
      </c>
      <c r="I51" s="38">
        <f>G51-E51</f>
        <v>-3820315.6100000003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-1569739</v>
      </c>
      <c r="F54" s="60">
        <f>'EAST-EGM-GL'!D54</f>
        <v>-131780752</v>
      </c>
      <c r="G54" s="38">
        <f>'EAST-EGM-GL'!E54</f>
        <v>-2971354.58</v>
      </c>
      <c r="H54" s="60">
        <f>F54-D54</f>
        <v>-131780752</v>
      </c>
      <c r="I54" s="38">
        <f>G54-E54</f>
        <v>-1401615.58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-1298289</v>
      </c>
      <c r="F55" s="60">
        <f>'EAST-EGM-GL'!D55</f>
        <v>0</v>
      </c>
      <c r="G55" s="38">
        <f>'EAST-EGM-GL'!E55</f>
        <v>-6962042.2200000007</v>
      </c>
      <c r="H55" s="60">
        <f>F55-D55</f>
        <v>0</v>
      </c>
      <c r="I55" s="38">
        <f>G55-E55</f>
        <v>-5663753.2200000007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-131780752</v>
      </c>
      <c r="G56" s="39">
        <f t="shared" si="10"/>
        <v>-9933396.8000000007</v>
      </c>
      <c r="H56" s="61">
        <f t="shared" si="10"/>
        <v>-131780752</v>
      </c>
      <c r="I56" s="39">
        <f t="shared" si="10"/>
        <v>-7065368.8000000007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65182.55</v>
      </c>
      <c r="H59" s="60">
        <f>F59-D59</f>
        <v>0</v>
      </c>
      <c r="I59" s="38">
        <f>G59-E59</f>
        <v>65182.55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65182.55</v>
      </c>
      <c r="H61" s="69">
        <f t="shared" si="11"/>
        <v>0</v>
      </c>
      <c r="I61" s="70">
        <f t="shared" si="11"/>
        <v>147709.54999999999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55220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-55220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13133657.730900001</v>
      </c>
      <c r="F70" s="60">
        <f>'EAST-EGM-GL'!D70</f>
        <v>0</v>
      </c>
      <c r="G70" s="38">
        <f>'EAST-EGM-GL'!E70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-5194256.8949999996</v>
      </c>
      <c r="F71" s="60">
        <f>'EAST-EGM-GL'!D71</f>
        <v>0</v>
      </c>
      <c r="G71" s="38">
        <f>'EAST-EGM-GL'!E71</f>
        <v>-5194257</v>
      </c>
      <c r="H71" s="60">
        <f>F71-D71</f>
        <v>0</v>
      </c>
      <c r="I71" s="38">
        <f>G71-E71</f>
        <v>-0.10500000044703484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-6295590</v>
      </c>
      <c r="F74" s="60">
        <f>'EAST-EGM-GL'!D74</f>
        <v>0</v>
      </c>
      <c r="G74" s="38">
        <f>'EAST-EGM-GL'!E74</f>
        <v>-6928831.620000001</v>
      </c>
      <c r="H74" s="60">
        <f t="shared" ref="H74:I79" si="14">F74-D74</f>
        <v>0</v>
      </c>
      <c r="I74" s="38">
        <f t="shared" si="14"/>
        <v>-633241.62000000104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311193</v>
      </c>
      <c r="F75" s="60">
        <f>'EAST-EGM-GL'!D75</f>
        <v>0</v>
      </c>
      <c r="G75" s="38">
        <f>'EAST-EGM-GL'!E75</f>
        <v>323400</v>
      </c>
      <c r="H75" s="60">
        <f t="shared" si="14"/>
        <v>0</v>
      </c>
      <c r="I75" s="38">
        <f t="shared" si="14"/>
        <v>12207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-10461</v>
      </c>
      <c r="F76" s="60">
        <f>'EAST-EGM-GL'!D76</f>
        <v>0</v>
      </c>
      <c r="G76" s="38">
        <f>'EAST-EGM-GL'!E76</f>
        <v>-5528.49</v>
      </c>
      <c r="H76" s="60">
        <f t="shared" si="14"/>
        <v>0</v>
      </c>
      <c r="I76" s="38">
        <f t="shared" si="14"/>
        <v>4932.51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-2658334</v>
      </c>
      <c r="H77" s="60">
        <f t="shared" si="14"/>
        <v>0</v>
      </c>
      <c r="I77" s="38">
        <f t="shared" si="14"/>
        <v>-2621525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412862</v>
      </c>
      <c r="F81" s="60">
        <f>'EAST-EGM-GL'!D81</f>
        <v>0</v>
      </c>
      <c r="G81" s="38">
        <f>'EAST-EGM-GL'!E81</f>
        <v>-0.41000000000349246</v>
      </c>
      <c r="H81" s="60">
        <f>F81-D81</f>
        <v>0</v>
      </c>
      <c r="I81" s="38">
        <f>G81-E81</f>
        <v>-412862.41000000003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7528788.2751381285</v>
      </c>
      <c r="F82" s="71">
        <f>F16+F24+F29+F36+F43+F45+F47+F49</f>
        <v>0</v>
      </c>
      <c r="G82" s="72">
        <f>SUM(G72:G81)+G16+G24+G29+G36+G43+G45+G47+G49+G51+G56+G61+G66</f>
        <v>2231167.6219999818</v>
      </c>
      <c r="H82" s="71">
        <f>H16+H24+H29+H36+H43+H45+H47+H49</f>
        <v>0</v>
      </c>
      <c r="I82" s="72">
        <f>SUM(I72:I81)+I16+I24+I29+I36+I43+I45+I47+I49+I51+I56+I61+I66</f>
        <v>-5297620.6531380899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477104</v>
      </c>
      <c r="F86" s="145">
        <f>'EAST-EGM-GL'!D86</f>
        <v>0</v>
      </c>
      <c r="G86" s="145">
        <f>'EAST-EGM-GL'!E86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477104</v>
      </c>
      <c r="F89" s="160">
        <f t="shared" si="16"/>
        <v>0</v>
      </c>
      <c r="G89" s="160">
        <f t="shared" si="16"/>
        <v>477103</v>
      </c>
      <c r="H89" s="160">
        <f t="shared" si="16"/>
        <v>0</v>
      </c>
      <c r="I89" s="160">
        <f t="shared" si="16"/>
        <v>-1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8005892.2751381285</v>
      </c>
      <c r="F91" s="160">
        <f t="shared" si="17"/>
        <v>0</v>
      </c>
      <c r="G91" s="160">
        <f t="shared" si="17"/>
        <v>2708270.6219999818</v>
      </c>
      <c r="H91" s="160">
        <f t="shared" si="17"/>
        <v>0</v>
      </c>
      <c r="I91" s="160">
        <f t="shared" si="17"/>
        <v>-5297621.6531380899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16544177</v>
      </c>
      <c r="E11" s="66">
        <f>'EAST-LRC-FLSH'!M11</f>
        <v>39980461.156075291</v>
      </c>
      <c r="F11" s="60">
        <f>'EAST-LRC-GL'!D11</f>
        <v>8645984</v>
      </c>
      <c r="G11" s="38">
        <f>'EAST-LRC-GL'!E11</f>
        <v>21017318.75</v>
      </c>
      <c r="H11" s="60">
        <f>F11-D11</f>
        <v>-7898193</v>
      </c>
      <c r="I11" s="38">
        <f>G11-E11</f>
        <v>-18963142.406075291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11664.26999999999</v>
      </c>
      <c r="H12" s="60">
        <f>F12-D12</f>
        <v>0</v>
      </c>
      <c r="I12" s="38">
        <f>G12-E12</f>
        <v>11664.26999999999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16544177</v>
      </c>
      <c r="E16" s="39">
        <f t="shared" si="1"/>
        <v>39980461.156075291</v>
      </c>
      <c r="F16" s="61">
        <f t="shared" si="1"/>
        <v>8645984</v>
      </c>
      <c r="G16" s="39">
        <f t="shared" si="1"/>
        <v>21028983.02</v>
      </c>
      <c r="H16" s="61">
        <f t="shared" si="1"/>
        <v>-7898193</v>
      </c>
      <c r="I16" s="39">
        <f t="shared" si="1"/>
        <v>-18951478.136075292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-16435098</v>
      </c>
      <c r="E19" s="66">
        <f>'EAST-LRC-FLSH'!M19</f>
        <v>-39771828</v>
      </c>
      <c r="F19" s="60">
        <f>'EAST-LRC-GL'!D19</f>
        <v>-1378521</v>
      </c>
      <c r="G19" s="38">
        <f>'EAST-LRC-GL'!E19</f>
        <v>-3264588.6900000004</v>
      </c>
      <c r="H19" s="60">
        <f>F19-D19</f>
        <v>15056577</v>
      </c>
      <c r="I19" s="38">
        <f>G19-E19</f>
        <v>36507239.310000002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-26393</v>
      </c>
      <c r="G23" s="38">
        <f>'EAST-LRC-GL'!E23</f>
        <v>-57693.76999999999</v>
      </c>
      <c r="H23" s="60">
        <f t="shared" si="2"/>
        <v>-26393</v>
      </c>
      <c r="I23" s="38">
        <f t="shared" si="2"/>
        <v>-57693.76999999999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-16435098</v>
      </c>
      <c r="E24" s="39">
        <f t="shared" si="3"/>
        <v>-39771828</v>
      </c>
      <c r="F24" s="61">
        <f t="shared" si="3"/>
        <v>-1404914</v>
      </c>
      <c r="G24" s="39">
        <f t="shared" si="3"/>
        <v>-3322282.4600000004</v>
      </c>
      <c r="H24" s="61">
        <f t="shared" si="3"/>
        <v>15030184</v>
      </c>
      <c r="I24" s="39">
        <f t="shared" si="3"/>
        <v>36449545.539999999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6733256</v>
      </c>
      <c r="G27" s="38">
        <f>'EAST-LRC-GL'!E27</f>
        <v>16330556.539999999</v>
      </c>
      <c r="H27" s="60">
        <f>F27-D27</f>
        <v>6733256</v>
      </c>
      <c r="I27" s="38">
        <f>G27-E27</f>
        <v>16330556.539999999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-11489709</v>
      </c>
      <c r="G28" s="38">
        <f>'EAST-LRC-GL'!E28</f>
        <v>-27606880</v>
      </c>
      <c r="H28" s="60">
        <f>F28-D28</f>
        <v>-11489709</v>
      </c>
      <c r="I28" s="38">
        <f>G28-E28</f>
        <v>-27606880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-4756453</v>
      </c>
      <c r="G29" s="70">
        <f t="shared" si="4"/>
        <v>-11276323.460000001</v>
      </c>
      <c r="H29" s="69">
        <f t="shared" si="4"/>
        <v>-4756453</v>
      </c>
      <c r="I29" s="70">
        <f t="shared" si="4"/>
        <v>-11276323.460000001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-134742</v>
      </c>
      <c r="G32" s="38">
        <f>'EAST-LRC-GL'!E32</f>
        <v>-316239.46899999998</v>
      </c>
      <c r="H32" s="60">
        <f>F32-D32</f>
        <v>-134742</v>
      </c>
      <c r="I32" s="38">
        <f>G32-E32</f>
        <v>-316239.46899999998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-134742</v>
      </c>
      <c r="G36" s="39">
        <f t="shared" si="6"/>
        <v>-316239.46899999998</v>
      </c>
      <c r="H36" s="61">
        <f t="shared" si="6"/>
        <v>-134742</v>
      </c>
      <c r="I36" s="39">
        <f t="shared" si="6"/>
        <v>-316239.46899999998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642669</v>
      </c>
      <c r="E39" s="66">
        <f>'EAST-LRC-FLSH'!M39</f>
        <v>1516700</v>
      </c>
      <c r="F39" s="60">
        <f>'EAST-LRC-GL'!D39</f>
        <v>750236</v>
      </c>
      <c r="G39" s="38">
        <f>'EAST-LRC-GL'!E39</f>
        <v>1519302.92</v>
      </c>
      <c r="H39" s="60">
        <f t="shared" ref="H39:I41" si="7">F39-D39</f>
        <v>107567</v>
      </c>
      <c r="I39" s="38">
        <f t="shared" si="7"/>
        <v>2602.9199999999255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-3133651</v>
      </c>
      <c r="E40" s="66">
        <f>'EAST-LRC-FLSH'!M40</f>
        <v>-7395416</v>
      </c>
      <c r="F40" s="60">
        <f>'EAST-LRC-GL'!D40</f>
        <v>-3244542</v>
      </c>
      <c r="G40" s="38">
        <f>'EAST-LRC-GL'!E40</f>
        <v>-6571522.0100000007</v>
      </c>
      <c r="H40" s="60">
        <f t="shared" si="7"/>
        <v>-110891</v>
      </c>
      <c r="I40" s="38">
        <f t="shared" si="7"/>
        <v>823893.98999999929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-3133651</v>
      </c>
      <c r="E42" s="70">
        <f t="shared" si="8"/>
        <v>-7395416</v>
      </c>
      <c r="F42" s="69">
        <f t="shared" si="8"/>
        <v>-3244542</v>
      </c>
      <c r="G42" s="70">
        <f t="shared" si="8"/>
        <v>-6571522.0100000007</v>
      </c>
      <c r="H42" s="69">
        <f t="shared" si="8"/>
        <v>-110891</v>
      </c>
      <c r="I42" s="70">
        <f t="shared" si="8"/>
        <v>823893.98999999929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-2490982</v>
      </c>
      <c r="E43" s="39">
        <f t="shared" si="9"/>
        <v>-5878716</v>
      </c>
      <c r="F43" s="61">
        <f t="shared" si="9"/>
        <v>-2494306</v>
      </c>
      <c r="G43" s="39">
        <f t="shared" si="9"/>
        <v>-5052219.0900000008</v>
      </c>
      <c r="H43" s="61">
        <f t="shared" si="9"/>
        <v>-3324</v>
      </c>
      <c r="I43" s="39">
        <f t="shared" si="9"/>
        <v>826496.90999999922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4326</v>
      </c>
      <c r="G45" s="38">
        <f>'EAST-LRC-GL'!E45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2381903</v>
      </c>
      <c r="E49" s="66">
        <f>'EAST-LRC-FLSH'!M49</f>
        <v>5741243.7696866328</v>
      </c>
      <c r="F49" s="60">
        <f>'EAST-LRC-GL'!D49</f>
        <v>140105</v>
      </c>
      <c r="G49" s="38">
        <f>'EAST-LRC-GL'!E49</f>
        <v>328826.435</v>
      </c>
      <c r="H49" s="60">
        <f>F49-D49</f>
        <v>-2241798</v>
      </c>
      <c r="I49" s="38">
        <f>G49-E49</f>
        <v>-5412417.3346866332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-55521</v>
      </c>
      <c r="G51" s="38">
        <f>'EAST-LRC-GL'!E51</f>
        <v>-117203.71</v>
      </c>
      <c r="H51" s="60">
        <f>F51-D51</f>
        <v>-55521</v>
      </c>
      <c r="I51" s="38">
        <f>G51-E51</f>
        <v>-117203.71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-796718</v>
      </c>
      <c r="G54" s="38">
        <f>'EAST-LRC-GL'!E54</f>
        <v>-23901.54</v>
      </c>
      <c r="H54" s="60">
        <f>F54-D54</f>
        <v>-796718</v>
      </c>
      <c r="I54" s="38">
        <f>G54-E54</f>
        <v>-23901.54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-796718</v>
      </c>
      <c r="G56" s="39">
        <f t="shared" si="10"/>
        <v>-23901.54</v>
      </c>
      <c r="H56" s="61">
        <f t="shared" si="10"/>
        <v>-796718</v>
      </c>
      <c r="I56" s="39">
        <f t="shared" si="10"/>
        <v>-23901.54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2838395</v>
      </c>
      <c r="G59" s="38">
        <f>'EAST-LRC-GL'!E59</f>
        <v>-131171.89000000001</v>
      </c>
      <c r="H59" s="60">
        <f>F59-D59</f>
        <v>2838395</v>
      </c>
      <c r="I59" s="38">
        <f>G59-E59</f>
        <v>-131171.89000000001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954</v>
      </c>
      <c r="G60" s="38">
        <f>'EAST-LRC-GL'!E60</f>
        <v>170000</v>
      </c>
      <c r="H60" s="60">
        <f>F60-D60</f>
        <v>954</v>
      </c>
      <c r="I60" s="38">
        <f>G60-E60</f>
        <v>87473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2839349</v>
      </c>
      <c r="G61" s="70">
        <f t="shared" si="11"/>
        <v>38828.109999999986</v>
      </c>
      <c r="H61" s="69">
        <f t="shared" si="11"/>
        <v>2839349</v>
      </c>
      <c r="I61" s="70">
        <f t="shared" si="11"/>
        <v>-43698.890000000014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-24119525</v>
      </c>
      <c r="G64" s="38">
        <f>'EAST-LRC-GL'!E64</f>
        <v>-2911525.15</v>
      </c>
      <c r="H64" s="60">
        <f>F64-D64</f>
        <v>-24119525</v>
      </c>
      <c r="I64" s="38">
        <f>G64-E64</f>
        <v>-2911525.15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24119525</v>
      </c>
      <c r="G65" s="38">
        <f>'EAST-LRC-GL'!E65</f>
        <v>2911525.15</v>
      </c>
      <c r="H65" s="60">
        <f>F65-D65</f>
        <v>24119525</v>
      </c>
      <c r="I65" s="38">
        <f>G65-E65</f>
        <v>2911525.15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-3743312.0742380759</v>
      </c>
      <c r="F82" s="71">
        <f>F16+F24+F29+F36+F43+F45+F47+F49</f>
        <v>0</v>
      </c>
      <c r="G82" s="72">
        <f>SUM(G72:G81)+G16+G24+G29+G36+G43+G45+G47+G49+G51+G56+G61+G66</f>
        <v>1288484.8459999976</v>
      </c>
      <c r="H82" s="71">
        <f>H16+H24+H29+H36+H43+H45+H47+H49</f>
        <v>0</v>
      </c>
      <c r="I82" s="72">
        <f>SUM(I72:I81)+I16+I24+I29+I36+I43+I45+I47+I49+I51+I56+I61+I66</f>
        <v>5031796.920238073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212778481</v>
      </c>
      <c r="E11" s="66">
        <f>'EAST-CON-FLSH'!M11</f>
        <v>530052447</v>
      </c>
      <c r="F11" s="60">
        <f>'EAST-CON-GL '!D11</f>
        <v>201697101</v>
      </c>
      <c r="G11" s="38">
        <f>'EAST-CON-GL '!E11</f>
        <v>508088969.34999996</v>
      </c>
      <c r="H11" s="60">
        <f>F11-D11</f>
        <v>-11081380</v>
      </c>
      <c r="I11" s="38">
        <f>G11-E11</f>
        <v>-21963477.650000036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-3868579.8</v>
      </c>
      <c r="H12" s="60">
        <f>F12-D12</f>
        <v>0</v>
      </c>
      <c r="I12" s="38">
        <f>G12-E12</f>
        <v>-3868579.8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78004071</v>
      </c>
      <c r="E13" s="66">
        <f>'EAST-CON-FLSH'!M13</f>
        <v>201341832</v>
      </c>
      <c r="F13" s="60">
        <f>'EAST-CON-GL '!D13</f>
        <v>20295362</v>
      </c>
      <c r="G13" s="38">
        <f>'EAST-CON-GL '!E13</f>
        <v>51966198</v>
      </c>
      <c r="H13" s="60">
        <f t="shared" ref="H13:I15" si="0">F13-D13</f>
        <v>-57708709</v>
      </c>
      <c r="I13" s="38">
        <f t="shared" si="0"/>
        <v>-149375634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5733061.2600000007</v>
      </c>
      <c r="H15" s="60">
        <f t="shared" si="0"/>
        <v>0</v>
      </c>
      <c r="I15" s="38">
        <f t="shared" si="0"/>
        <v>5733061.2600000007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290782552</v>
      </c>
      <c r="E16" s="39">
        <f t="shared" si="1"/>
        <v>731393783</v>
      </c>
      <c r="F16" s="61">
        <f t="shared" si="1"/>
        <v>221992463</v>
      </c>
      <c r="G16" s="39">
        <f t="shared" si="1"/>
        <v>561919648.80999994</v>
      </c>
      <c r="H16" s="61">
        <f t="shared" si="1"/>
        <v>-68790089</v>
      </c>
      <c r="I16" s="39">
        <f t="shared" si="1"/>
        <v>-169474134.19000006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-198083914</v>
      </c>
      <c r="E19" s="66">
        <f>'EAST-CON-FLSH'!M19</f>
        <v>-482114739</v>
      </c>
      <c r="F19" s="60">
        <f>'EAST-CON-GL '!D19</f>
        <v>-190267092</v>
      </c>
      <c r="G19" s="38">
        <f>'EAST-CON-GL '!E19</f>
        <v>-450089399.12</v>
      </c>
      <c r="H19" s="60">
        <f>F19-D19</f>
        <v>7816822</v>
      </c>
      <c r="I19" s="38">
        <f>G19-E19</f>
        <v>32025339.879999995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-82385658</v>
      </c>
      <c r="E21" s="66">
        <f>'EAST-CON-FLSH'!M21</f>
        <v>-214966656</v>
      </c>
      <c r="F21" s="60">
        <f>'EAST-CON-GL '!D21</f>
        <v>-19756732</v>
      </c>
      <c r="G21" s="38">
        <f>'EAST-CON-GL '!E21</f>
        <v>-54147992</v>
      </c>
      <c r="H21" s="60">
        <f t="shared" ref="H21:I23" si="2">F21-D21</f>
        <v>62628926</v>
      </c>
      <c r="I21" s="38">
        <f t="shared" si="2"/>
        <v>160818664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514927</v>
      </c>
      <c r="E23" s="66">
        <f>'EAST-CON-FLSH'!M23</f>
        <v>1274153</v>
      </c>
      <c r="F23" s="60">
        <f>'EAST-CON-GL '!D23</f>
        <v>1412225</v>
      </c>
      <c r="G23" s="38">
        <f>'EAST-CON-GL '!E23</f>
        <v>3227241.176</v>
      </c>
      <c r="H23" s="60">
        <f t="shared" si="2"/>
        <v>897298</v>
      </c>
      <c r="I23" s="38">
        <f t="shared" si="2"/>
        <v>1953088.176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-279954645</v>
      </c>
      <c r="E24" s="39">
        <f t="shared" si="3"/>
        <v>-695807242</v>
      </c>
      <c r="F24" s="61">
        <f t="shared" si="3"/>
        <v>-208611599</v>
      </c>
      <c r="G24" s="39">
        <f t="shared" si="3"/>
        <v>-510211705.134</v>
      </c>
      <c r="H24" s="61">
        <f t="shared" si="3"/>
        <v>71343046</v>
      </c>
      <c r="I24" s="39">
        <f t="shared" si="3"/>
        <v>185595536.866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18070482</v>
      </c>
      <c r="G27" s="38">
        <f>'EAST-CON-GL '!E27</f>
        <v>43607290.700000003</v>
      </c>
      <c r="H27" s="60">
        <f>F27-D27</f>
        <v>18070482</v>
      </c>
      <c r="I27" s="38">
        <f>G27-E27</f>
        <v>43607290.700000003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-19442044</v>
      </c>
      <c r="G28" s="38">
        <f>'EAST-CON-GL '!E28</f>
        <v>-47087580.920000009</v>
      </c>
      <c r="H28" s="60">
        <f>F28-D28</f>
        <v>-19442044</v>
      </c>
      <c r="I28" s="38">
        <f>G28-E28</f>
        <v>-47087580.920000009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-1371562</v>
      </c>
      <c r="G29" s="70">
        <f t="shared" si="4"/>
        <v>-3480290.2200000063</v>
      </c>
      <c r="H29" s="69">
        <f t="shared" si="4"/>
        <v>-1371562</v>
      </c>
      <c r="I29" s="70">
        <f t="shared" si="4"/>
        <v>-3480290.2200000063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-2118787</v>
      </c>
      <c r="E32" s="66">
        <f>'EAST-CON-FLSH'!M32</f>
        <v>-5274638</v>
      </c>
      <c r="F32" s="60">
        <f>'EAST-CON-GL '!D32</f>
        <v>-1860943</v>
      </c>
      <c r="G32" s="38">
        <f>'EAST-CON-GL '!E32</f>
        <v>-4367633.216</v>
      </c>
      <c r="H32" s="60">
        <f>F32-D32</f>
        <v>257844</v>
      </c>
      <c r="I32" s="38">
        <f>G32-E32</f>
        <v>907004.78399999999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407133</v>
      </c>
      <c r="E33" s="66">
        <f>'EAST-CON-FLSH'!M33</f>
        <v>929952</v>
      </c>
      <c r="F33" s="60">
        <f>'EAST-CON-GL '!D33</f>
        <v>-3106022</v>
      </c>
      <c r="G33" s="38">
        <f>'EAST-CON-GL '!E33</f>
        <v>-2207237.5699999998</v>
      </c>
      <c r="H33" s="60">
        <f t="shared" ref="H33:I35" si="5">F33-D33</f>
        <v>-3513155</v>
      </c>
      <c r="I33" s="38">
        <f t="shared" si="5"/>
        <v>-3137189.57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-816595</v>
      </c>
      <c r="E34" s="66">
        <f>'EAST-CON-FLSH'!M34</f>
        <v>-1863552</v>
      </c>
      <c r="F34" s="60">
        <f>'EAST-CON-GL '!D34</f>
        <v>2533309</v>
      </c>
      <c r="G34" s="38">
        <f>'EAST-CON-GL '!E34</f>
        <v>1039877.84</v>
      </c>
      <c r="H34" s="60">
        <f t="shared" si="5"/>
        <v>3349904</v>
      </c>
      <c r="I34" s="38">
        <f t="shared" si="5"/>
        <v>2903429.84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-939991</v>
      </c>
      <c r="E35" s="66">
        <f>'EAST-CON-FLSH'!M35</f>
        <v>-2167386</v>
      </c>
      <c r="F35" s="60">
        <f>'EAST-CON-GL '!D35</f>
        <v>-1460000</v>
      </c>
      <c r="G35" s="38">
        <f>'EAST-CON-GL '!E35</f>
        <v>-4392333.01</v>
      </c>
      <c r="H35" s="60">
        <f t="shared" si="5"/>
        <v>-520009</v>
      </c>
      <c r="I35" s="38">
        <f t="shared" si="5"/>
        <v>-2224947.0099999998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-3893656</v>
      </c>
      <c r="G36" s="39">
        <f t="shared" si="6"/>
        <v>-9927325.9560000002</v>
      </c>
      <c r="H36" s="61">
        <f t="shared" si="6"/>
        <v>-425416</v>
      </c>
      <c r="I36" s="39">
        <f t="shared" si="6"/>
        <v>-1551701.9559999998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1568072</v>
      </c>
      <c r="E39" s="66">
        <f>'EAST-CON-FLSH'!M39</f>
        <v>3700650</v>
      </c>
      <c r="F39" s="60">
        <f>'EAST-CON-GL '!D39</f>
        <v>750232</v>
      </c>
      <c r="G39" s="38">
        <f>'EAST-CON-GL '!E39</f>
        <v>1519293.5199999998</v>
      </c>
      <c r="H39" s="60">
        <f t="shared" ref="H39:I41" si="7">F39-D39</f>
        <v>-817840</v>
      </c>
      <c r="I39" s="38">
        <f t="shared" si="7"/>
        <v>-2181356.4800000004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-8936599</v>
      </c>
      <c r="E40" s="66">
        <f>'EAST-CON-FLSH'!M40</f>
        <v>-21508044</v>
      </c>
      <c r="F40" s="60">
        <f>'EAST-CON-GL '!D40</f>
        <v>-6619348</v>
      </c>
      <c r="G40" s="38">
        <f>'EAST-CON-GL '!E40</f>
        <v>-14647651.74</v>
      </c>
      <c r="H40" s="60">
        <f t="shared" si="7"/>
        <v>2317251</v>
      </c>
      <c r="I40" s="38">
        <f t="shared" si="7"/>
        <v>6860392.2599999998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-8936599</v>
      </c>
      <c r="E42" s="70">
        <f t="shared" si="8"/>
        <v>-21508044</v>
      </c>
      <c r="F42" s="69">
        <f t="shared" si="8"/>
        <v>-6619348</v>
      </c>
      <c r="G42" s="70">
        <f t="shared" si="8"/>
        <v>-14647651.74</v>
      </c>
      <c r="H42" s="69">
        <f t="shared" si="8"/>
        <v>2317251</v>
      </c>
      <c r="I42" s="70">
        <f t="shared" si="8"/>
        <v>6860392.2599999998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-7368527</v>
      </c>
      <c r="E43" s="39">
        <f t="shared" si="9"/>
        <v>-17807394</v>
      </c>
      <c r="F43" s="61">
        <f t="shared" si="9"/>
        <v>-5869116</v>
      </c>
      <c r="G43" s="39">
        <f t="shared" si="9"/>
        <v>-13128358.220000001</v>
      </c>
      <c r="H43" s="61">
        <f t="shared" si="9"/>
        <v>1499411</v>
      </c>
      <c r="I43" s="39">
        <f t="shared" si="9"/>
        <v>4679035.7799999993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4326</v>
      </c>
      <c r="G45" s="38">
        <f>'EAST-CON-GL 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8860</v>
      </c>
      <c r="E49" s="66">
        <f>'EAST-CON-FLSH'!M49</f>
        <v>20794.419999999925</v>
      </c>
      <c r="F49" s="60">
        <f>'EAST-CON-GL '!D49</f>
        <v>-2250856</v>
      </c>
      <c r="G49" s="38">
        <f>'EAST-CON-GL '!E49</f>
        <v>-5282759.0319999978</v>
      </c>
      <c r="H49" s="60">
        <f>F49-D49</f>
        <v>-2259716</v>
      </c>
      <c r="I49" s="38">
        <f>G49-E49</f>
        <v>-5303553.4519999977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-514927</v>
      </c>
      <c r="E51" s="66">
        <f>'EAST-CON-FLSH'!M51</f>
        <v>-1274153</v>
      </c>
      <c r="F51" s="60">
        <f>'EAST-CON-GL '!D51</f>
        <v>-2226151</v>
      </c>
      <c r="G51" s="38">
        <f>'EAST-CON-GL '!E51</f>
        <v>-5211672.32</v>
      </c>
      <c r="H51" s="60">
        <f>F51-D51</f>
        <v>-1711224</v>
      </c>
      <c r="I51" s="38">
        <f>G51-E51</f>
        <v>-3937519.3200000003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-1569739</v>
      </c>
      <c r="F54" s="60">
        <f>'EAST-CON-GL '!D54</f>
        <v>-132577470</v>
      </c>
      <c r="G54" s="38">
        <f>'EAST-CON-GL '!E54</f>
        <v>-2995256.12</v>
      </c>
      <c r="H54" s="60">
        <f>F54-D54</f>
        <v>-132577470</v>
      </c>
      <c r="I54" s="38">
        <f>G54-E54</f>
        <v>-1425517.12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-1298289</v>
      </c>
      <c r="F55" s="60">
        <f>'EAST-CON-GL '!D55</f>
        <v>0</v>
      </c>
      <c r="G55" s="38">
        <f>'EAST-CON-GL '!E55</f>
        <v>-6962042.2200000007</v>
      </c>
      <c r="H55" s="60">
        <f>F55-D55</f>
        <v>0</v>
      </c>
      <c r="I55" s="38">
        <f>G55-E55</f>
        <v>-5663753.2200000007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-132577470</v>
      </c>
      <c r="G56" s="39">
        <f t="shared" si="10"/>
        <v>-9957298.3399999999</v>
      </c>
      <c r="H56" s="61">
        <f t="shared" si="10"/>
        <v>-132577470</v>
      </c>
      <c r="I56" s="39">
        <f t="shared" si="10"/>
        <v>-7089270.3400000008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2838395</v>
      </c>
      <c r="G59" s="38">
        <f>'EAST-CON-GL '!E59</f>
        <v>-65989.34</v>
      </c>
      <c r="H59" s="60">
        <f>F59-D59</f>
        <v>2838395</v>
      </c>
      <c r="I59" s="38">
        <f>G59-E59</f>
        <v>-65989.34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954</v>
      </c>
      <c r="G60" s="38">
        <f>'EAST-CON-GL '!E60</f>
        <v>170000</v>
      </c>
      <c r="H60" s="60">
        <f>F60-D60</f>
        <v>954</v>
      </c>
      <c r="I60" s="38">
        <f>G60-E60</f>
        <v>170000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2839349</v>
      </c>
      <c r="G61" s="70">
        <f t="shared" si="11"/>
        <v>104010.66</v>
      </c>
      <c r="H61" s="69">
        <f t="shared" si="11"/>
        <v>2839349</v>
      </c>
      <c r="I61" s="70">
        <f t="shared" si="11"/>
        <v>104010.66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55220</v>
      </c>
      <c r="F64" s="60">
        <f>'EAST-CON-GL '!D64</f>
        <v>-24119525</v>
      </c>
      <c r="G64" s="38">
        <f>'EAST-CON-GL '!E64</f>
        <v>-2911525.15</v>
      </c>
      <c r="H64" s="60">
        <f>F64-D64</f>
        <v>-24119525</v>
      </c>
      <c r="I64" s="38">
        <f>G64-E64</f>
        <v>-2966745.15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24119525</v>
      </c>
      <c r="G65" s="38">
        <f>'EAST-CON-GL '!E65</f>
        <v>2911525.15</v>
      </c>
      <c r="H65" s="60">
        <f>F65-D65</f>
        <v>24119525</v>
      </c>
      <c r="I65" s="38">
        <f>G65-E65</f>
        <v>2911525.15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13133657.730900001</v>
      </c>
      <c r="F70" s="60">
        <f>'EAST-CON-GL '!D70</f>
        <v>0</v>
      </c>
      <c r="G70" s="38">
        <f>'EAST-CON-GL 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-5194256.8949999996</v>
      </c>
      <c r="F71" s="60">
        <f>'EAST-CON-GL '!D71</f>
        <v>0</v>
      </c>
      <c r="G71" s="38">
        <f>'EAST-CON-GL '!E71</f>
        <v>-5194257</v>
      </c>
      <c r="H71" s="60">
        <f>F71-D71</f>
        <v>0</v>
      </c>
      <c r="I71" s="38">
        <f>G71-E71</f>
        <v>-0.10500000044703484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-6295590</v>
      </c>
      <c r="F74" s="60">
        <f>'EAST-CON-GL '!D74</f>
        <v>0</v>
      </c>
      <c r="G74" s="38">
        <f>'EAST-CON-GL '!E74</f>
        <v>-6864622.4600000009</v>
      </c>
      <c r="H74" s="60">
        <f t="shared" ref="H74:I79" si="14">F74-D74</f>
        <v>0</v>
      </c>
      <c r="I74" s="38">
        <f t="shared" si="14"/>
        <v>-569032.46000000089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311193</v>
      </c>
      <c r="F75" s="60">
        <f>'EAST-CON-GL '!D75</f>
        <v>0</v>
      </c>
      <c r="G75" s="38">
        <f>'EAST-CON-GL '!E75</f>
        <v>323400</v>
      </c>
      <c r="H75" s="60">
        <f t="shared" si="14"/>
        <v>0</v>
      </c>
      <c r="I75" s="38">
        <f t="shared" si="14"/>
        <v>12207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-10461</v>
      </c>
      <c r="F76" s="60">
        <f>'EAST-CON-GL '!D76</f>
        <v>0</v>
      </c>
      <c r="G76" s="38">
        <f>'EAST-CON-GL '!E76</f>
        <v>-5528.49</v>
      </c>
      <c r="H76" s="60">
        <f t="shared" si="14"/>
        <v>0</v>
      </c>
      <c r="I76" s="38">
        <f t="shared" si="14"/>
        <v>4932.51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-2658334</v>
      </c>
      <c r="H77" s="60">
        <f t="shared" si="14"/>
        <v>0</v>
      </c>
      <c r="I77" s="38">
        <f t="shared" si="14"/>
        <v>1275475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412862</v>
      </c>
      <c r="F81" s="60">
        <f>'EAST-CON-GL '!D81</f>
        <v>0</v>
      </c>
      <c r="G81" s="38">
        <f>'EAST-CON-GL '!E81</f>
        <v>-0.41000000000349246</v>
      </c>
      <c r="H81" s="60">
        <f>F81-D81</f>
        <v>0</v>
      </c>
      <c r="I81" s="38">
        <f>G81-E81</f>
        <v>-412862.41000000003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3785476.2009000015</v>
      </c>
      <c r="F82" s="109">
        <f>F16+F24+F29+F36+F43+F45+F47+F49</f>
        <v>0</v>
      </c>
      <c r="G82" s="110">
        <f>SUM(G72:G81)+G16+G24+G29+G36+G43+G45+G47+G49+G51+G56+G61+G66</f>
        <v>3583861.6279999427</v>
      </c>
      <c r="H82" s="109">
        <f>H16+H24+H29+H36+H43+H45+H47+H49</f>
        <v>0</v>
      </c>
      <c r="I82" s="110">
        <f>SUM(I72:I81)+I16+I24+I29+I36+I43+I45+I47+I49+I51+I56+I61+I66</f>
        <v>-201614.5729000635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477104</v>
      </c>
      <c r="F86" s="145">
        <f>'EAST-CON-GL '!D86</f>
        <v>0</v>
      </c>
      <c r="G86" s="145">
        <f>'EAST-CON-GL 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477104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-1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4262580.2009000015</v>
      </c>
      <c r="F91" s="160">
        <f t="shared" si="17"/>
        <v>0</v>
      </c>
      <c r="G91" s="160">
        <f t="shared" si="17"/>
        <v>4060964.6279999427</v>
      </c>
      <c r="H91" s="160">
        <f t="shared" si="17"/>
        <v>0</v>
      </c>
      <c r="I91" s="160">
        <f t="shared" si="17"/>
        <v>-201615.5729000635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4262580.2009000527</v>
      </c>
      <c r="G94" s="14">
        <f>+'EAST-EGM-VAR'!G91+'EAST-LRC-VAR'!G82</f>
        <v>3996755.4679999794</v>
      </c>
      <c r="I94" s="14">
        <f>+'EAST-EGM-VAR'!I91+'EAST-LRC-VAR'!I82</f>
        <v>-265824.73290001694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17467325</v>
      </c>
      <c r="E11" s="66">
        <f>'TX-EGM-FLSH'!M11</f>
        <v>41711686.160000004</v>
      </c>
      <c r="F11" s="60">
        <f>'TX-EGM-GL'!D11</f>
        <v>17436162</v>
      </c>
      <c r="G11" s="38">
        <f>'TX-EGM-GL'!E11</f>
        <v>46261926.950000003</v>
      </c>
      <c r="H11" s="60">
        <f>F11-D11</f>
        <v>-31163</v>
      </c>
      <c r="I11" s="38">
        <f>G11-E11</f>
        <v>4550240.7899999991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-6244446.9299999997</v>
      </c>
      <c r="H12" s="60">
        <f>F12-D12</f>
        <v>0</v>
      </c>
      <c r="I12" s="38">
        <f>G12-E12</f>
        <v>-6244446.9299999997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1475282</v>
      </c>
      <c r="E13" s="66">
        <f>'TX-EGM-FLSH'!M13</f>
        <v>3402546.59</v>
      </c>
      <c r="F13" s="60">
        <f>'TX-EGM-GL'!D13</f>
        <v>1475282</v>
      </c>
      <c r="G13" s="38">
        <f>'TX-EGM-GL'!E13</f>
        <v>3402547</v>
      </c>
      <c r="H13" s="60">
        <f t="shared" ref="H13:I15" si="0">F13-D13</f>
        <v>0</v>
      </c>
      <c r="I13" s="38">
        <f t="shared" si="0"/>
        <v>0.41000000014901161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2491160</v>
      </c>
      <c r="H15" s="60">
        <f t="shared" si="0"/>
        <v>0</v>
      </c>
      <c r="I15" s="38">
        <f t="shared" si="0"/>
        <v>2371160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18942607</v>
      </c>
      <c r="E16" s="39">
        <f t="shared" si="1"/>
        <v>45234232.75</v>
      </c>
      <c r="F16" s="61">
        <f t="shared" si="1"/>
        <v>18911444</v>
      </c>
      <c r="G16" s="39">
        <f t="shared" si="1"/>
        <v>45911187.020000003</v>
      </c>
      <c r="H16" s="61">
        <f t="shared" si="1"/>
        <v>-31163</v>
      </c>
      <c r="I16" s="39">
        <f t="shared" si="1"/>
        <v>676954.26999999955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-4577602</v>
      </c>
      <c r="E19" s="66">
        <f>'TX-EGM-FLSH'!M19</f>
        <v>-10382268.059999995</v>
      </c>
      <c r="F19" s="60">
        <f>'TX-EGM-GL'!D19</f>
        <v>-4563404</v>
      </c>
      <c r="G19" s="38">
        <f>'TX-EGM-GL'!E19</f>
        <v>-10284723.299999999</v>
      </c>
      <c r="H19" s="60">
        <f>F19-D19</f>
        <v>14198</v>
      </c>
      <c r="I19" s="38">
        <f>G19-E19</f>
        <v>97544.759999996051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1843371.23</v>
      </c>
      <c r="H20" s="60">
        <f>F20-D20</f>
        <v>0</v>
      </c>
      <c r="I20" s="38">
        <f>G20-E20</f>
        <v>1843371.23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-139780</v>
      </c>
      <c r="E21" s="66">
        <f>'TX-EGM-FLSH'!M21</f>
        <v>-297683</v>
      </c>
      <c r="F21" s="60">
        <f>'TX-EGM-GL'!D21</f>
        <v>-139069</v>
      </c>
      <c r="G21" s="38">
        <f>'TX-EGM-GL'!E21</f>
        <v>-296117</v>
      </c>
      <c r="H21" s="60">
        <f t="shared" ref="H21:I23" si="2">F21-D21</f>
        <v>711</v>
      </c>
      <c r="I21" s="38">
        <f t="shared" si="2"/>
        <v>1566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14</v>
      </c>
      <c r="E23" s="66">
        <f>'TX-EGM-FLSH'!M23</f>
        <v>30.82</v>
      </c>
      <c r="F23" s="60">
        <f>'TX-EGM-GL'!D23</f>
        <v>13806</v>
      </c>
      <c r="G23" s="38">
        <f>'TX-EGM-GL'!E23</f>
        <v>31381.038</v>
      </c>
      <c r="H23" s="60">
        <f t="shared" si="2"/>
        <v>13792</v>
      </c>
      <c r="I23" s="38">
        <f t="shared" si="2"/>
        <v>31350.218000000001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-4717368</v>
      </c>
      <c r="E24" s="39">
        <f t="shared" si="3"/>
        <v>-10679920.239999995</v>
      </c>
      <c r="F24" s="61">
        <f t="shared" si="3"/>
        <v>-4688667</v>
      </c>
      <c r="G24" s="39">
        <f t="shared" si="3"/>
        <v>-8706088.0319999978</v>
      </c>
      <c r="H24" s="61">
        <f t="shared" si="3"/>
        <v>28701</v>
      </c>
      <c r="I24" s="39">
        <f t="shared" si="3"/>
        <v>1973832.2079999961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16759808</v>
      </c>
      <c r="E27" s="66">
        <f>'TX-EGM-FLSH'!M27</f>
        <v>39436699.719999999</v>
      </c>
      <c r="F27" s="60">
        <f>'TX-EGM-GL'!D27</f>
        <v>6599514</v>
      </c>
      <c r="G27" s="38">
        <f>'TX-EGM-GL'!E27</f>
        <v>15744279.02</v>
      </c>
      <c r="H27" s="60">
        <f>F27-D27</f>
        <v>-10160294</v>
      </c>
      <c r="I27" s="38">
        <f>G27-E27</f>
        <v>-23692420.699999999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-21047139</v>
      </c>
      <c r="E28" s="66">
        <f>'TX-EGM-FLSH'!M28</f>
        <v>-47754777.990000002</v>
      </c>
      <c r="F28" s="60">
        <f>'TX-EGM-GL'!D28</f>
        <v>-19804360</v>
      </c>
      <c r="G28" s="38">
        <f>'TX-EGM-GL'!E28</f>
        <v>-45186991.870000005</v>
      </c>
      <c r="H28" s="60">
        <f>F28-D28</f>
        <v>1242779</v>
      </c>
      <c r="I28" s="38">
        <f>G28-E28</f>
        <v>2567786.1199999973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-4287331</v>
      </c>
      <c r="E29" s="70">
        <f t="shared" si="4"/>
        <v>-8318078.2700000033</v>
      </c>
      <c r="F29" s="69">
        <f t="shared" si="4"/>
        <v>-13204846</v>
      </c>
      <c r="G29" s="70">
        <f t="shared" si="4"/>
        <v>-29442712.850000005</v>
      </c>
      <c r="H29" s="69">
        <f t="shared" si="4"/>
        <v>-8917515</v>
      </c>
      <c r="I29" s="70">
        <f t="shared" si="4"/>
        <v>-21124634.580000002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-22693</v>
      </c>
      <c r="G32" s="38">
        <f>'TX-EGM-GL'!E32</f>
        <v>-51581.18899999815</v>
      </c>
      <c r="H32" s="60">
        <f>F32-D32</f>
        <v>-22693</v>
      </c>
      <c r="I32" s="38">
        <f>G32-E32</f>
        <v>-51581.18899999815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-22693</v>
      </c>
      <c r="G36" s="39">
        <f t="shared" si="6"/>
        <v>-51581.18899999815</v>
      </c>
      <c r="H36" s="61">
        <f t="shared" si="6"/>
        <v>-22693</v>
      </c>
      <c r="I36" s="39">
        <f t="shared" si="6"/>
        <v>-51581.18899999815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-854082</v>
      </c>
      <c r="E40" s="66">
        <f>'TX-EGM-FLSH'!M40</f>
        <v>-1974467.45</v>
      </c>
      <c r="F40" s="60">
        <f>'TX-EGM-GL'!D40</f>
        <v>-969922</v>
      </c>
      <c r="G40" s="38">
        <f>'TX-EGM-GL'!E40</f>
        <v>-4110436.89</v>
      </c>
      <c r="H40" s="60">
        <f t="shared" si="7"/>
        <v>-115840</v>
      </c>
      <c r="I40" s="38">
        <f t="shared" si="7"/>
        <v>-2135969.4400000004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-854082</v>
      </c>
      <c r="E42" s="70">
        <f t="shared" si="8"/>
        <v>-1974467.45</v>
      </c>
      <c r="F42" s="69">
        <f t="shared" si="8"/>
        <v>-969922</v>
      </c>
      <c r="G42" s="70">
        <f t="shared" si="8"/>
        <v>-4110436.89</v>
      </c>
      <c r="H42" s="69">
        <f t="shared" si="8"/>
        <v>-115840</v>
      </c>
      <c r="I42" s="70">
        <f t="shared" si="8"/>
        <v>-2135969.4400000004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-854082</v>
      </c>
      <c r="E43" s="39">
        <f t="shared" si="9"/>
        <v>-1974467.45</v>
      </c>
      <c r="F43" s="61">
        <f t="shared" si="9"/>
        <v>-969922</v>
      </c>
      <c r="G43" s="39">
        <f t="shared" si="9"/>
        <v>-4110436.89</v>
      </c>
      <c r="H43" s="61">
        <f t="shared" si="9"/>
        <v>-115840</v>
      </c>
      <c r="I43" s="39">
        <f t="shared" si="9"/>
        <v>-2135969.4400000004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-9083826</v>
      </c>
      <c r="E49" s="66">
        <f>'TX-EGM-FLSH'!M49</f>
        <v>-20648848.037081048</v>
      </c>
      <c r="F49" s="60">
        <f>'TX-EGM-GL'!D49</f>
        <v>-25316</v>
      </c>
      <c r="G49" s="38">
        <f>'TX-EGM-GL'!E49</f>
        <v>-57543.267999999982</v>
      </c>
      <c r="H49" s="60">
        <f>F49-D49</f>
        <v>9058510</v>
      </c>
      <c r="I49" s="38">
        <f>G49-E49</f>
        <v>20591304.769081049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-14</v>
      </c>
      <c r="E51" s="66">
        <f>'TX-EGM-FLSH'!M51</f>
        <v>0</v>
      </c>
      <c r="F51" s="60">
        <f>'TX-EGM-GL'!D51</f>
        <v>-13806</v>
      </c>
      <c r="G51" s="38">
        <f>'TX-EGM-GL'!E51</f>
        <v>-31381.038</v>
      </c>
      <c r="H51" s="60">
        <f>F51-D51</f>
        <v>-13792</v>
      </c>
      <c r="I51" s="38">
        <f>G51-E51</f>
        <v>-31381.038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-475000</v>
      </c>
      <c r="F54" s="60">
        <f>'TX-EGM-GL'!D54</f>
        <v>-16449022</v>
      </c>
      <c r="G54" s="38">
        <f>'TX-EGM-GL'!E54</f>
        <v>-402334.96</v>
      </c>
      <c r="H54" s="60">
        <f>F54-D54</f>
        <v>-16449022</v>
      </c>
      <c r="I54" s="38">
        <f>G54-E54</f>
        <v>72665.039999999979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-143319.06</v>
      </c>
      <c r="H55" s="60">
        <f>F55-D55</f>
        <v>0</v>
      </c>
      <c r="I55" s="38">
        <f>G55-E55</f>
        <v>-143319.06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-475000</v>
      </c>
      <c r="F56" s="61">
        <f t="shared" si="10"/>
        <v>-16449022</v>
      </c>
      <c r="G56" s="39">
        <f t="shared" si="10"/>
        <v>-545654.02</v>
      </c>
      <c r="H56" s="61">
        <f t="shared" si="10"/>
        <v>-16449022</v>
      </c>
      <c r="I56" s="39">
        <f t="shared" si="10"/>
        <v>-70654.020000000019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-971.85</v>
      </c>
      <c r="H64" s="60">
        <f>F64-D64</f>
        <v>0</v>
      </c>
      <c r="I64" s="38">
        <f>G64-E64</f>
        <v>-971.85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-971.85</v>
      </c>
      <c r="H66" s="61">
        <f t="shared" si="12"/>
        <v>0</v>
      </c>
      <c r="I66" s="39">
        <f t="shared" si="12"/>
        <v>-971.85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-2639306.77</v>
      </c>
      <c r="F70" s="60">
        <f>'TX-EGM-GL'!D70</f>
        <v>0</v>
      </c>
      <c r="G70" s="38">
        <f>'TX-EGM-GL'!E70</f>
        <v>-2639306.77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739519</v>
      </c>
      <c r="F71" s="60">
        <f>'TX-EGM-GL'!D71</f>
        <v>0</v>
      </c>
      <c r="G71" s="38">
        <f>'TX-EGM-GL'!E71</f>
        <v>739518.78</v>
      </c>
      <c r="H71" s="60">
        <f>F71-D71</f>
        <v>0</v>
      </c>
      <c r="I71" s="38">
        <f>G71-E71</f>
        <v>-0.21999999997206032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1778233.65</v>
      </c>
      <c r="F74" s="60">
        <f>'TX-EGM-GL'!D74</f>
        <v>0</v>
      </c>
      <c r="G74" s="38">
        <f>'TX-EGM-GL'!E74</f>
        <v>-197969.77000000002</v>
      </c>
      <c r="H74" s="60">
        <f t="shared" ref="H74:I79" si="14">F74-D74</f>
        <v>0</v>
      </c>
      <c r="I74" s="38">
        <f t="shared" si="14"/>
        <v>-1976203.42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17704</v>
      </c>
      <c r="F75" s="60">
        <f>'TX-EGM-GL'!D75</f>
        <v>0</v>
      </c>
      <c r="G75" s="38">
        <f>'TX-EGM-GL'!E75</f>
        <v>17700</v>
      </c>
      <c r="H75" s="60">
        <f t="shared" si="14"/>
        <v>0</v>
      </c>
      <c r="I75" s="38">
        <f t="shared" si="14"/>
        <v>-4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-2541.2800000000002</v>
      </c>
      <c r="H76" s="60">
        <f t="shared" si="14"/>
        <v>0</v>
      </c>
      <c r="I76" s="38">
        <f t="shared" si="14"/>
        <v>-2541.2800000000002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-207047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207047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2827021.6329189576</v>
      </c>
      <c r="F82" s="109">
        <f>F16+F24+F29+F36+F43+F45+F47+F49</f>
        <v>0</v>
      </c>
      <c r="G82" s="110">
        <f>SUM(G72:G81)+G16+G24+G29+G36+G43+G45+G47+G49+G51+G56+G61+G66</f>
        <v>882218.84300000279</v>
      </c>
      <c r="H82" s="109">
        <f>H16+H24+H29+H36+H43+H45+H47+H49</f>
        <v>0</v>
      </c>
      <c r="I82" s="110">
        <f>SUM(I72:I81)+I16+I24+I29+I36+I43+I45+I47+I49+I51+I56+I61+I66</f>
        <v>-1944802.7899189594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2647064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-2647064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-2114953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2114953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532111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-532111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3359132.6329189576</v>
      </c>
      <c r="F91" s="160">
        <f t="shared" si="17"/>
        <v>0</v>
      </c>
      <c r="G91" s="160">
        <f t="shared" si="17"/>
        <v>882218.84300000279</v>
      </c>
      <c r="H91" s="160">
        <f t="shared" si="17"/>
        <v>0</v>
      </c>
      <c r="I91" s="160">
        <f t="shared" si="17"/>
        <v>-2476913.7899189591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115828</v>
      </c>
      <c r="E11" s="66">
        <f>'TX-HPLR-FLSH'!M11</f>
        <v>268689.84000000358</v>
      </c>
      <c r="F11" s="60">
        <f>'TX-HPLR-GL '!D11</f>
        <v>116720</v>
      </c>
      <c r="G11" s="38">
        <f>'TX-HPLR-GL '!E11</f>
        <v>275575.92</v>
      </c>
      <c r="H11" s="60">
        <f>F11-D11</f>
        <v>892</v>
      </c>
      <c r="I11" s="38">
        <f>G11-E11</f>
        <v>6886.0799999964074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-4575.6000000000004</v>
      </c>
      <c r="H12" s="60">
        <f>F12-D12</f>
        <v>0</v>
      </c>
      <c r="I12" s="38">
        <f>G12-E12</f>
        <v>-4575.6000000000004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0.41000000014901161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-0.41000000014901161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115828</v>
      </c>
      <c r="E16" s="39">
        <f t="shared" si="1"/>
        <v>268690.25000000373</v>
      </c>
      <c r="F16" s="61">
        <f t="shared" si="1"/>
        <v>116720</v>
      </c>
      <c r="G16" s="39">
        <f t="shared" si="1"/>
        <v>271000.32000000001</v>
      </c>
      <c r="H16" s="61">
        <f t="shared" si="1"/>
        <v>892</v>
      </c>
      <c r="I16" s="39">
        <f t="shared" si="1"/>
        <v>2310.069999996258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-5.9399999976158142</v>
      </c>
      <c r="F19" s="60">
        <f>'TX-HPLR-GL '!D19</f>
        <v>0</v>
      </c>
      <c r="G19" s="38">
        <f>'TX-HPLR-GL '!E19</f>
        <v>-13568</v>
      </c>
      <c r="H19" s="60">
        <f>F19-D19</f>
        <v>0</v>
      </c>
      <c r="I19" s="38">
        <f>G19-E19</f>
        <v>-13562.060000002384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-1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1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-1.819999999999709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1.819999999999709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-8.7599999976155232</v>
      </c>
      <c r="F24" s="61">
        <f t="shared" si="3"/>
        <v>0</v>
      </c>
      <c r="G24" s="39">
        <f t="shared" si="3"/>
        <v>-13568</v>
      </c>
      <c r="H24" s="61">
        <f t="shared" si="3"/>
        <v>0</v>
      </c>
      <c r="I24" s="39">
        <f t="shared" si="3"/>
        <v>-13559.240000002384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0.2800000011920929</v>
      </c>
      <c r="F27" s="60">
        <f>'TX-HPLR-GL '!D27</f>
        <v>10392</v>
      </c>
      <c r="G27" s="38">
        <f>'TX-HPLR-GL '!E27</f>
        <v>24317.279999999999</v>
      </c>
      <c r="H27" s="60">
        <f>F27-D27</f>
        <v>10392</v>
      </c>
      <c r="I27" s="38">
        <f>G27-E27</f>
        <v>24316.999999998807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-232540</v>
      </c>
      <c r="E28" s="66">
        <f>'TX-HPLR-FLSH'!M28</f>
        <v>-538353.00999999046</v>
      </c>
      <c r="F28" s="60">
        <f>'TX-HPLR-GL '!D28</f>
        <v>-127112</v>
      </c>
      <c r="G28" s="38">
        <f>'TX-HPLR-GL '!E28</f>
        <v>-297026.39999999997</v>
      </c>
      <c r="H28" s="60">
        <f>F28-D28</f>
        <v>105428</v>
      </c>
      <c r="I28" s="38">
        <f>G28-E28</f>
        <v>241326.6099999905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-232540</v>
      </c>
      <c r="E29" s="70">
        <f t="shared" si="4"/>
        <v>-538352.72999998927</v>
      </c>
      <c r="F29" s="69">
        <f t="shared" si="4"/>
        <v>-116720</v>
      </c>
      <c r="G29" s="70">
        <f t="shared" si="4"/>
        <v>-272709.12</v>
      </c>
      <c r="H29" s="69">
        <f t="shared" si="4"/>
        <v>115820</v>
      </c>
      <c r="I29" s="70">
        <f t="shared" si="4"/>
        <v>265643.60999998928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0.44999999925494194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-0.44999999925494194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0.44999999925494194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-0.44999999925494194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0.44999999925494194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-0.44999999925494194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116712</v>
      </c>
      <c r="E49" s="66">
        <f>'TX-HPLR-FLSH'!M49</f>
        <v>265303.22708777338</v>
      </c>
      <c r="F49" s="60">
        <f>'TX-HPLR-GL '!D49</f>
        <v>0</v>
      </c>
      <c r="G49" s="38">
        <f>'TX-HPLR-GL '!E49</f>
        <v>0</v>
      </c>
      <c r="H49" s="60">
        <f>F49-D49</f>
        <v>-116712</v>
      </c>
      <c r="I49" s="38">
        <f>G49-E49</f>
        <v>-265303.22708777338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14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-14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-4367.5629122105311</v>
      </c>
      <c r="F82" s="109">
        <f>F16+F24+F29+F36+F43+F45+F47+F49</f>
        <v>0</v>
      </c>
      <c r="G82" s="110">
        <f>SUM(G72:G81)+G16+G24+G29+G36+G43+G45+G47+G49+G51+G56+G61+G66</f>
        <v>98133.360000000015</v>
      </c>
      <c r="H82" s="109">
        <f>H16+H24+H29+H36+H43+H45+H47+H49</f>
        <v>0</v>
      </c>
      <c r="I82" s="110">
        <f>SUM(I72:I81)+I16+I24+I29+I36+I43+I45+I47+I49+I51+I56+I61+I66</f>
        <v>102500.92291221052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38222321</v>
      </c>
      <c r="E11" s="66">
        <f>'TX-HPLC-FLSH'!M11</f>
        <v>89664557</v>
      </c>
      <c r="F11" s="60">
        <f>'TX-HPLC-GL'!D11</f>
        <v>38412173</v>
      </c>
      <c r="G11" s="38">
        <f>'TX-HPLC-GL'!E11</f>
        <v>91060005</v>
      </c>
      <c r="H11" s="60">
        <f>F11-D11</f>
        <v>189852</v>
      </c>
      <c r="I11" s="38">
        <f>G11-E11</f>
        <v>1395448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-1420122.48</v>
      </c>
      <c r="H12" s="60">
        <f>F12-D12</f>
        <v>0</v>
      </c>
      <c r="I12" s="38">
        <f>G12-E12</f>
        <v>-1420122.48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1467486</v>
      </c>
      <c r="E13" s="66">
        <f>'TX-HPLC-FLSH'!M13</f>
        <v>3771001</v>
      </c>
      <c r="F13" s="60">
        <f>'TX-HPLC-GL'!D13</f>
        <v>0</v>
      </c>
      <c r="G13" s="38">
        <f>'TX-HPLC-GL'!E13</f>
        <v>-2491160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39689807</v>
      </c>
      <c r="E16" s="39">
        <f t="shared" si="1"/>
        <v>93435558</v>
      </c>
      <c r="F16" s="61">
        <f t="shared" si="1"/>
        <v>38412173</v>
      </c>
      <c r="G16" s="39">
        <f t="shared" si="1"/>
        <v>87268722.519999996</v>
      </c>
      <c r="H16" s="61">
        <f t="shared" si="1"/>
        <v>-1277634</v>
      </c>
      <c r="I16" s="39">
        <f t="shared" si="1"/>
        <v>-6166835.4800000004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-50284590</v>
      </c>
      <c r="E19" s="66">
        <f>'TX-HPLC-FLSH'!M19</f>
        <v>-114328218</v>
      </c>
      <c r="F19" s="60">
        <f>'TX-HPLC-GL'!D19</f>
        <v>-50042790</v>
      </c>
      <c r="G19" s="38">
        <f>'TX-HPLC-GL'!E19</f>
        <v>-113359959</v>
      </c>
      <c r="H19" s="60">
        <f>F19-D19</f>
        <v>241800</v>
      </c>
      <c r="I19" s="38">
        <f>G19-E19</f>
        <v>968259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-105702.19</v>
      </c>
      <c r="H20" s="60">
        <f>F20-D20</f>
        <v>0</v>
      </c>
      <c r="I20" s="38">
        <f>G20-E20</f>
        <v>-105702.19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-990233</v>
      </c>
      <c r="E21" s="66">
        <f>'TX-HPLC-FLSH'!M21</f>
        <v>-2355679</v>
      </c>
      <c r="F21" s="60">
        <f>'TX-HPLC-GL'!D21</f>
        <v>0</v>
      </c>
      <c r="G21" s="38">
        <f>'TX-HPLC-GL'!E21</f>
        <v>0</v>
      </c>
      <c r="H21" s="60">
        <f t="shared" ref="H21:I23" si="2">F21-D21</f>
        <v>990233</v>
      </c>
      <c r="I21" s="38">
        <f t="shared" si="2"/>
        <v>2355679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13349</v>
      </c>
      <c r="E23" s="66">
        <f>'TX-HPLC-FLSH'!M23</f>
        <v>31419</v>
      </c>
      <c r="F23" s="60">
        <f>'TX-HPLC-GL'!D23</f>
        <v>0</v>
      </c>
      <c r="G23" s="38">
        <f>'TX-HPLC-GL'!E23</f>
        <v>0</v>
      </c>
      <c r="H23" s="60">
        <f t="shared" si="2"/>
        <v>-13349</v>
      </c>
      <c r="I23" s="38">
        <f t="shared" si="2"/>
        <v>-31419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-51261474</v>
      </c>
      <c r="E24" s="39">
        <f t="shared" si="3"/>
        <v>-116652478</v>
      </c>
      <c r="F24" s="61">
        <f t="shared" si="3"/>
        <v>-50042790</v>
      </c>
      <c r="G24" s="39">
        <f t="shared" si="3"/>
        <v>-113465661.19</v>
      </c>
      <c r="H24" s="61">
        <f t="shared" si="3"/>
        <v>1218684</v>
      </c>
      <c r="I24" s="39">
        <f t="shared" si="3"/>
        <v>3186816.81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75102214</v>
      </c>
      <c r="E27" s="66">
        <f>'TX-HPLC-FLSH'!M27</f>
        <v>176559658</v>
      </c>
      <c r="F27" s="60">
        <f>'TX-HPLC-GL'!D27</f>
        <v>21549381</v>
      </c>
      <c r="G27" s="38">
        <f>'TX-HPLC-GL'!E27</f>
        <v>49630068</v>
      </c>
      <c r="H27" s="60">
        <f>F27-D27</f>
        <v>-53552833</v>
      </c>
      <c r="I27" s="38">
        <f>G27-E27</f>
        <v>-126929590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-69806478</v>
      </c>
      <c r="E28" s="66">
        <f>'TX-HPLC-FLSH'!M28</f>
        <v>-165888207</v>
      </c>
      <c r="F28" s="60">
        <f>'TX-HPLC-GL'!D28</f>
        <v>-7708461</v>
      </c>
      <c r="G28" s="38">
        <f>'TX-HPLC-GL'!E28</f>
        <v>-18382971</v>
      </c>
      <c r="H28" s="60">
        <f>F28-D28</f>
        <v>62098017</v>
      </c>
      <c r="I28" s="38">
        <f>G28-E28</f>
        <v>147505236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5295736</v>
      </c>
      <c r="E29" s="70">
        <f t="shared" si="4"/>
        <v>10671451</v>
      </c>
      <c r="F29" s="69">
        <f t="shared" si="4"/>
        <v>13840920</v>
      </c>
      <c r="G29" s="70">
        <f t="shared" si="4"/>
        <v>31247097</v>
      </c>
      <c r="H29" s="69">
        <f t="shared" si="4"/>
        <v>8545184</v>
      </c>
      <c r="I29" s="70">
        <f t="shared" si="4"/>
        <v>20575646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175523</v>
      </c>
      <c r="G32" s="38">
        <f>'TX-HPLC-GL'!E32</f>
        <v>398964</v>
      </c>
      <c r="H32" s="60">
        <f>F32-D32</f>
        <v>175523</v>
      </c>
      <c r="I32" s="38">
        <f>G32-E32</f>
        <v>398964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175523</v>
      </c>
      <c r="G36" s="39">
        <f t="shared" si="6"/>
        <v>398964</v>
      </c>
      <c r="H36" s="61">
        <f t="shared" si="6"/>
        <v>175523</v>
      </c>
      <c r="I36" s="39">
        <f t="shared" si="6"/>
        <v>398964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10544159</v>
      </c>
      <c r="E39" s="66">
        <f>'TX-HPLC-FLSH'!M39</f>
        <v>25341242</v>
      </c>
      <c r="F39" s="60">
        <f>'TX-HPLC-GL'!D39</f>
        <v>0</v>
      </c>
      <c r="G39" s="38">
        <f>'TX-HPLC-GL'!E39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-12580174</v>
      </c>
      <c r="E40" s="66">
        <f>'TX-HPLC-FLSH'!M40</f>
        <v>-30100306</v>
      </c>
      <c r="F40" s="60">
        <f>'TX-HPLC-GL'!D40</f>
        <v>-2562387</v>
      </c>
      <c r="G40" s="38">
        <f>'TX-HPLC-GL'!E40</f>
        <v>-5989021</v>
      </c>
      <c r="H40" s="60">
        <f t="shared" si="7"/>
        <v>10017787</v>
      </c>
      <c r="I40" s="38">
        <f t="shared" si="7"/>
        <v>24111285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-146152</v>
      </c>
      <c r="H41" s="60">
        <f t="shared" si="7"/>
        <v>0</v>
      </c>
      <c r="I41" s="38">
        <f t="shared" si="7"/>
        <v>-146152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-12580174</v>
      </c>
      <c r="E42" s="70">
        <f t="shared" si="8"/>
        <v>-30100306</v>
      </c>
      <c r="F42" s="69">
        <f t="shared" si="8"/>
        <v>-2562387</v>
      </c>
      <c r="G42" s="70">
        <f t="shared" si="8"/>
        <v>-6135173</v>
      </c>
      <c r="H42" s="69">
        <f t="shared" si="8"/>
        <v>10017787</v>
      </c>
      <c r="I42" s="70">
        <f t="shared" si="8"/>
        <v>23965133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-2036015</v>
      </c>
      <c r="E43" s="39">
        <f t="shared" si="9"/>
        <v>-4759064</v>
      </c>
      <c r="F43" s="61">
        <f t="shared" si="9"/>
        <v>-2562387</v>
      </c>
      <c r="G43" s="39">
        <f t="shared" si="9"/>
        <v>-6256083</v>
      </c>
      <c r="H43" s="61">
        <f t="shared" si="9"/>
        <v>-526372</v>
      </c>
      <c r="I43" s="39">
        <f t="shared" si="9"/>
        <v>-1497019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8311946</v>
      </c>
      <c r="E49" s="66">
        <f>'TX-HPLC-FLSH'!M49</f>
        <v>18894253.351663016</v>
      </c>
      <c r="F49" s="60">
        <f>'TX-HPLC-GL'!D49</f>
        <v>176561</v>
      </c>
      <c r="G49" s="38">
        <f>'TX-HPLC-GL'!E49</f>
        <v>401323</v>
      </c>
      <c r="H49" s="60">
        <f>F49-D49</f>
        <v>-8135385</v>
      </c>
      <c r="I49" s="38">
        <f>G49-E49</f>
        <v>-18492930.351663016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-1544388.7</v>
      </c>
      <c r="F54" s="60">
        <f>'TX-HPLC-GL'!D54</f>
        <v>0</v>
      </c>
      <c r="G54" s="38">
        <f>'TX-HPLC-GL'!E54</f>
        <v>-1365278</v>
      </c>
      <c r="H54" s="60">
        <f>F54-D54</f>
        <v>0</v>
      </c>
      <c r="I54" s="38">
        <f>G54-E54</f>
        <v>179110.69999999995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143300</v>
      </c>
      <c r="H55" s="60">
        <f>F55-D55</f>
        <v>0</v>
      </c>
      <c r="I55" s="38">
        <f>G55-E55</f>
        <v>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-1544388.7</v>
      </c>
      <c r="F56" s="61">
        <f t="shared" si="10"/>
        <v>0</v>
      </c>
      <c r="G56" s="39">
        <f t="shared" si="10"/>
        <v>-1221978</v>
      </c>
      <c r="H56" s="61">
        <f t="shared" si="10"/>
        <v>0</v>
      </c>
      <c r="I56" s="39">
        <f t="shared" si="10"/>
        <v>322410.69999999995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-55559</v>
      </c>
      <c r="H60" s="60">
        <f>F60-D60</f>
        <v>0</v>
      </c>
      <c r="I60" s="38">
        <f>G60-E60</f>
        <v>-55559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-55559</v>
      </c>
      <c r="H61" s="69">
        <f t="shared" si="11"/>
        <v>0</v>
      </c>
      <c r="I61" s="70">
        <f t="shared" si="11"/>
        <v>-55559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1960449.6800000002</v>
      </c>
      <c r="H74" s="60">
        <f t="shared" ref="H74:I79" si="14">F74-D74</f>
        <v>0</v>
      </c>
      <c r="I74" s="38">
        <f t="shared" si="14"/>
        <v>1960449.6800000002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-2541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2541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-61128</v>
      </c>
      <c r="H81" s="60">
        <f>F81-D81</f>
        <v>0</v>
      </c>
      <c r="I81" s="38">
        <f>G81-E81</f>
        <v>-61128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-55509.348336984171</v>
      </c>
      <c r="F82" s="109">
        <f>F16+F24+F29+F36+F43+F45+F47+F49</f>
        <v>0</v>
      </c>
      <c r="G82" s="110">
        <f>SUM(G72:G81)+G16+G24+G29+G36+G43+G45+G47+G49+G51+G56+G61+G66</f>
        <v>117847.01000000536</v>
      </c>
      <c r="H82" s="109">
        <f>H16+H24+H29+H36+H43+H45+H47+H49</f>
        <v>0</v>
      </c>
      <c r="I82" s="110">
        <f>SUM(I72:I81)+I16+I24+I29+I36+I43+I45+I47+I49+I51+I56+I61+I66</f>
        <v>173356.35833698208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2679418.91</v>
      </c>
      <c r="H86" s="145">
        <f t="shared" ref="H86:I88" si="15">F86-D86</f>
        <v>0</v>
      </c>
      <c r="I86" s="145">
        <f t="shared" si="15"/>
        <v>2679418.91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-2147419</v>
      </c>
      <c r="H88" s="147">
        <f t="shared" si="15"/>
        <v>0</v>
      </c>
      <c r="I88" s="147">
        <f t="shared" si="15"/>
        <v>-2147419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531999.91000000015</v>
      </c>
      <c r="H89" s="160">
        <f t="shared" si="16"/>
        <v>0</v>
      </c>
      <c r="I89" s="160">
        <f t="shared" si="16"/>
        <v>531999.91000000015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-55509.348336984171</v>
      </c>
      <c r="F91" s="160">
        <f t="shared" si="17"/>
        <v>0</v>
      </c>
      <c r="G91" s="160">
        <f t="shared" si="17"/>
        <v>649846.92000000551</v>
      </c>
      <c r="H91" s="160">
        <f t="shared" si="17"/>
        <v>0</v>
      </c>
      <c r="I91" s="160">
        <f t="shared" si="17"/>
        <v>705356.26833698223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55805474</v>
      </c>
      <c r="E11" s="66">
        <f>'TX-CON-FLSH'!M11</f>
        <v>131644933</v>
      </c>
      <c r="F11" s="60">
        <f>'TX-CON-GL '!D11</f>
        <v>55965055</v>
      </c>
      <c r="G11" s="38">
        <f>'TX-CON-GL '!E11</f>
        <v>137597507.87</v>
      </c>
      <c r="H11" s="60">
        <f>F11-D11</f>
        <v>159581</v>
      </c>
      <c r="I11" s="38">
        <f>G11-E11</f>
        <v>5952574.8700000048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-7669145.0099999998</v>
      </c>
      <c r="H12" s="60">
        <f>F12-D12</f>
        <v>0</v>
      </c>
      <c r="I12" s="38">
        <f>G12-E12</f>
        <v>-7669145.0099999998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2942768</v>
      </c>
      <c r="E13" s="66">
        <f>'TX-CON-FLSH'!M13</f>
        <v>7173548</v>
      </c>
      <c r="F13" s="60">
        <f>'TX-CON-GL '!D13</f>
        <v>1475282</v>
      </c>
      <c r="G13" s="38">
        <f>'TX-CON-GL '!E13</f>
        <v>911387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2611160</v>
      </c>
      <c r="H15" s="60">
        <f t="shared" si="0"/>
        <v>0</v>
      </c>
      <c r="I15" s="38">
        <f t="shared" si="0"/>
        <v>2491160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58748242</v>
      </c>
      <c r="E16" s="39">
        <f t="shared" si="1"/>
        <v>138938481</v>
      </c>
      <c r="F16" s="61">
        <f t="shared" si="1"/>
        <v>57440337</v>
      </c>
      <c r="G16" s="39">
        <f t="shared" si="1"/>
        <v>133450909.86</v>
      </c>
      <c r="H16" s="61">
        <f t="shared" si="1"/>
        <v>-1307905</v>
      </c>
      <c r="I16" s="39">
        <f t="shared" si="1"/>
        <v>-5487571.139999995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-54862192</v>
      </c>
      <c r="E19" s="66">
        <f>'TX-CON-FLSH'!M19</f>
        <v>-124710492</v>
      </c>
      <c r="F19" s="60">
        <f>'TX-CON-GL '!D19</f>
        <v>-54606194</v>
      </c>
      <c r="G19" s="38">
        <f>'TX-CON-GL '!E19</f>
        <v>-123658250.3</v>
      </c>
      <c r="H19" s="60">
        <f>F19-D19</f>
        <v>255998</v>
      </c>
      <c r="I19" s="38">
        <f>G19-E19</f>
        <v>1052241.700000003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1737669.04</v>
      </c>
      <c r="H20" s="60">
        <f>F20-D20</f>
        <v>0</v>
      </c>
      <c r="I20" s="38">
        <f>G20-E20</f>
        <v>1737669.04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-1130013</v>
      </c>
      <c r="E21" s="66">
        <f>'TX-CON-FLSH'!M21</f>
        <v>-2653363</v>
      </c>
      <c r="F21" s="60">
        <f>'TX-CON-GL '!D21</f>
        <v>-139069</v>
      </c>
      <c r="G21" s="38">
        <f>'TX-CON-GL '!E21</f>
        <v>-296117</v>
      </c>
      <c r="H21" s="60">
        <f t="shared" ref="H21:I23" si="2">F21-D21</f>
        <v>990944</v>
      </c>
      <c r="I21" s="38">
        <f t="shared" si="2"/>
        <v>2357246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13363</v>
      </c>
      <c r="E23" s="66">
        <f>'TX-CON-FLSH'!M23</f>
        <v>31448</v>
      </c>
      <c r="F23" s="60">
        <f>'TX-CON-GL '!D23</f>
        <v>13806</v>
      </c>
      <c r="G23" s="38">
        <f>'TX-CON-GL '!E23</f>
        <v>31381.038</v>
      </c>
      <c r="H23" s="60">
        <f t="shared" si="2"/>
        <v>443</v>
      </c>
      <c r="I23" s="38">
        <f t="shared" si="2"/>
        <v>-66.961999999999534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-55978842</v>
      </c>
      <c r="E24" s="39">
        <f t="shared" si="3"/>
        <v>-127332407</v>
      </c>
      <c r="F24" s="61">
        <f t="shared" si="3"/>
        <v>-54731457</v>
      </c>
      <c r="G24" s="39">
        <f t="shared" si="3"/>
        <v>-122185317.22199999</v>
      </c>
      <c r="H24" s="61">
        <f t="shared" si="3"/>
        <v>1247385</v>
      </c>
      <c r="I24" s="39">
        <f t="shared" si="3"/>
        <v>5147089.7780000027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91862022</v>
      </c>
      <c r="E27" s="66">
        <f>'TX-CON-FLSH'!M27</f>
        <v>215996358</v>
      </c>
      <c r="F27" s="60">
        <f>'TX-CON-GL '!D27</f>
        <v>28159287</v>
      </c>
      <c r="G27" s="38">
        <f>'TX-CON-GL '!E27</f>
        <v>65398664.299999997</v>
      </c>
      <c r="H27" s="60">
        <f>F27-D27</f>
        <v>-63702735</v>
      </c>
      <c r="I27" s="38">
        <f>G27-E27</f>
        <v>-150597693.69999999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-91086157</v>
      </c>
      <c r="E28" s="66">
        <f>'TX-CON-FLSH'!M28</f>
        <v>-214181338</v>
      </c>
      <c r="F28" s="60">
        <f>'TX-CON-GL '!D28</f>
        <v>-27639933</v>
      </c>
      <c r="G28" s="38">
        <f>'TX-CON-GL '!E28</f>
        <v>-63866989.270000003</v>
      </c>
      <c r="H28" s="60">
        <f>F28-D28</f>
        <v>63446224</v>
      </c>
      <c r="I28" s="38">
        <f>G28-E28</f>
        <v>150314348.72999999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519354</v>
      </c>
      <c r="G29" s="70">
        <f t="shared" si="4"/>
        <v>1531675.0299999937</v>
      </c>
      <c r="H29" s="69">
        <f t="shared" si="4"/>
        <v>-256511</v>
      </c>
      <c r="I29" s="70">
        <f t="shared" si="4"/>
        <v>-283344.96999999881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152830</v>
      </c>
      <c r="G32" s="38">
        <f>'TX-CON-GL '!E32</f>
        <v>347382.81100000185</v>
      </c>
      <c r="H32" s="60">
        <f>F32-D32</f>
        <v>152830</v>
      </c>
      <c r="I32" s="38">
        <f>G32-E32</f>
        <v>347382.81100000185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152830</v>
      </c>
      <c r="G36" s="39">
        <f t="shared" si="6"/>
        <v>347382.81100000185</v>
      </c>
      <c r="H36" s="61">
        <f t="shared" si="6"/>
        <v>152830</v>
      </c>
      <c r="I36" s="39">
        <f t="shared" si="6"/>
        <v>347382.81100000185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10544159</v>
      </c>
      <c r="E39" s="66">
        <f>'TX-CON-FLSH'!M39</f>
        <v>25341242</v>
      </c>
      <c r="F39" s="60">
        <f>'TX-CON-GL '!D39</f>
        <v>0</v>
      </c>
      <c r="G39" s="38">
        <f>'TX-CON-GL 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-13434256</v>
      </c>
      <c r="E40" s="66">
        <f>'TX-CON-FLSH'!M40</f>
        <v>-32074773</v>
      </c>
      <c r="F40" s="60">
        <f>'TX-CON-GL '!D40</f>
        <v>-3532309</v>
      </c>
      <c r="G40" s="38">
        <f>'TX-CON-GL '!E40</f>
        <v>-10099457.890000001</v>
      </c>
      <c r="H40" s="60">
        <f t="shared" si="7"/>
        <v>9901947</v>
      </c>
      <c r="I40" s="38">
        <f t="shared" si="7"/>
        <v>21975315.109999999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-146152</v>
      </c>
      <c r="H41" s="60">
        <f t="shared" si="7"/>
        <v>0</v>
      </c>
      <c r="I41" s="38">
        <f t="shared" si="7"/>
        <v>-146152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-13434256</v>
      </c>
      <c r="E42" s="70">
        <f t="shared" si="8"/>
        <v>-32074773</v>
      </c>
      <c r="F42" s="69">
        <f t="shared" si="8"/>
        <v>-3532309</v>
      </c>
      <c r="G42" s="70">
        <f t="shared" si="8"/>
        <v>-10245609.890000001</v>
      </c>
      <c r="H42" s="69">
        <f t="shared" si="8"/>
        <v>9901947</v>
      </c>
      <c r="I42" s="70">
        <f t="shared" si="8"/>
        <v>21829163.109999999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-2890097</v>
      </c>
      <c r="E43" s="39">
        <f t="shared" si="9"/>
        <v>-6733531</v>
      </c>
      <c r="F43" s="61">
        <f t="shared" si="9"/>
        <v>-3532309</v>
      </c>
      <c r="G43" s="39">
        <f t="shared" si="9"/>
        <v>-10366519.890000001</v>
      </c>
      <c r="H43" s="61">
        <f t="shared" si="9"/>
        <v>-642212</v>
      </c>
      <c r="I43" s="39">
        <f t="shared" si="9"/>
        <v>-3632988.8900000006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-655168</v>
      </c>
      <c r="E49" s="66">
        <f>'TX-CON-FLSH'!M49</f>
        <v>-1489291.4583302587</v>
      </c>
      <c r="F49" s="60">
        <f>'TX-CON-GL '!D49</f>
        <v>151245</v>
      </c>
      <c r="G49" s="38">
        <f>'TX-CON-GL '!E49</f>
        <v>343779.73199999961</v>
      </c>
      <c r="H49" s="60">
        <f>F49-D49</f>
        <v>806413</v>
      </c>
      <c r="I49" s="38">
        <f>G49-E49</f>
        <v>1833071.1903302583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-13806</v>
      </c>
      <c r="G51" s="38">
        <f>'TX-CON-GL '!E51</f>
        <v>-31381.038</v>
      </c>
      <c r="H51" s="60">
        <f>F51-D51</f>
        <v>-13806</v>
      </c>
      <c r="I51" s="38">
        <f>G51-E51</f>
        <v>-31381.038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-2019388.7</v>
      </c>
      <c r="F54" s="60">
        <f>'TX-CON-GL '!D54</f>
        <v>-16449022</v>
      </c>
      <c r="G54" s="38">
        <f>'TX-CON-GL '!E54</f>
        <v>-1767612.96</v>
      </c>
      <c r="H54" s="60">
        <f>F54-D54</f>
        <v>-16449022</v>
      </c>
      <c r="I54" s="38">
        <f>G54-E54</f>
        <v>251775.74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-19.059999999999999</v>
      </c>
      <c r="H55" s="60">
        <f>F55-D55</f>
        <v>0</v>
      </c>
      <c r="I55" s="38">
        <f>G55-E55</f>
        <v>-19.059999999999999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-2019388.7</v>
      </c>
      <c r="F56" s="61">
        <f t="shared" si="10"/>
        <v>-16449022</v>
      </c>
      <c r="G56" s="39">
        <f t="shared" si="10"/>
        <v>-1767632.02</v>
      </c>
      <c r="H56" s="61">
        <f t="shared" si="10"/>
        <v>-16449022</v>
      </c>
      <c r="I56" s="39">
        <f t="shared" si="10"/>
        <v>251756.68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-55559</v>
      </c>
      <c r="H60" s="60">
        <f>F60-D60</f>
        <v>0</v>
      </c>
      <c r="I60" s="38">
        <f>G60-E60</f>
        <v>-55559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-55559</v>
      </c>
      <c r="H61" s="69">
        <f t="shared" si="11"/>
        <v>0</v>
      </c>
      <c r="I61" s="70">
        <f t="shared" si="11"/>
        <v>-55559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-971.85</v>
      </c>
      <c r="H64" s="60">
        <f>F64-D64</f>
        <v>0</v>
      </c>
      <c r="I64" s="38">
        <f>G64-E64</f>
        <v>-971.85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-971.85</v>
      </c>
      <c r="H66" s="61">
        <f t="shared" si="12"/>
        <v>0</v>
      </c>
      <c r="I66" s="39">
        <f t="shared" si="12"/>
        <v>-971.85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-2639306.77</v>
      </c>
      <c r="F70" s="60">
        <f>'TX-CON-GL '!D70</f>
        <v>0</v>
      </c>
      <c r="G70" s="38">
        <f>'TX-CON-GL '!E70</f>
        <v>-2639306.77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739519</v>
      </c>
      <c r="F71" s="60">
        <f>'TX-CON-GL '!D71</f>
        <v>0</v>
      </c>
      <c r="G71" s="38">
        <f>'TX-CON-GL '!E71</f>
        <v>739518.78</v>
      </c>
      <c r="H71" s="60">
        <f>F71-D71</f>
        <v>0</v>
      </c>
      <c r="I71" s="38">
        <f>G71-E71</f>
        <v>-0.21999999997206032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1778233.65</v>
      </c>
      <c r="F74" s="60">
        <f>'TX-CON-GL '!D74</f>
        <v>0</v>
      </c>
      <c r="G74" s="38">
        <f>'TX-CON-GL '!E74</f>
        <v>1762479.91</v>
      </c>
      <c r="H74" s="60">
        <f t="shared" ref="H74:I79" si="14">F74-D74</f>
        <v>0</v>
      </c>
      <c r="I74" s="38">
        <f t="shared" si="14"/>
        <v>-15753.739999999991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17704</v>
      </c>
      <c r="F75" s="60">
        <f>'TX-CON-GL '!D75</f>
        <v>0</v>
      </c>
      <c r="G75" s="38">
        <f>'TX-CON-GL '!E75</f>
        <v>17700</v>
      </c>
      <c r="H75" s="60">
        <f t="shared" si="14"/>
        <v>0</v>
      </c>
      <c r="I75" s="38">
        <f t="shared" si="14"/>
        <v>-4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-2541</v>
      </c>
      <c r="F76" s="60">
        <f>'TX-CON-GL '!D76</f>
        <v>0</v>
      </c>
      <c r="G76" s="38">
        <f>'TX-CON-GL '!E76</f>
        <v>-2541.2800000000002</v>
      </c>
      <c r="H76" s="60">
        <f t="shared" si="14"/>
        <v>0</v>
      </c>
      <c r="I76" s="38">
        <f t="shared" si="14"/>
        <v>-0.28000000000020009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-207047</v>
      </c>
      <c r="F81" s="60">
        <f>'TX-CON-GL '!D81</f>
        <v>0</v>
      </c>
      <c r="G81" s="38">
        <f>'TX-CON-GL '!E81</f>
        <v>-61128</v>
      </c>
      <c r="H81" s="60">
        <f>F81-D81</f>
        <v>0</v>
      </c>
      <c r="I81" s="38">
        <f>G81-E81</f>
        <v>145919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2767144.7216697363</v>
      </c>
      <c r="F82" s="109">
        <f>F16+F24+F29+F36+F43+F45+F47+F49</f>
        <v>0</v>
      </c>
      <c r="G82" s="110">
        <f>SUM(G72:G81)+G16+G24+G29+G36+G43+G45+G47+G49+G51+G56+G61+G66</f>
        <v>1098199.2130000074</v>
      </c>
      <c r="H82" s="109">
        <f>H16+H24+H29+H36+H43+H45+H47+H49</f>
        <v>0</v>
      </c>
      <c r="I82" s="110">
        <f>SUM(I72:I81)+I16+I24+I29+I36+I43+I45+I47+I49+I51+I56+I61+I66</f>
        <v>-1668945.5086697319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2647064</v>
      </c>
      <c r="F86" s="145">
        <f>'TX-CON-GL '!D86</f>
        <v>0</v>
      </c>
      <c r="G86" s="145">
        <f>'TX-CON-GL '!E86</f>
        <v>2598320</v>
      </c>
      <c r="H86" s="145">
        <f t="shared" ref="H86:I88" si="15">F86-D86</f>
        <v>0</v>
      </c>
      <c r="I86" s="145">
        <f t="shared" si="15"/>
        <v>-48744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-2114953</v>
      </c>
      <c r="F88" s="147">
        <f>'TX-CON-GL '!D88</f>
        <v>0</v>
      </c>
      <c r="G88" s="147">
        <f>'TX-CON-GL '!E88</f>
        <v>-2057500</v>
      </c>
      <c r="H88" s="147">
        <f t="shared" si="15"/>
        <v>0</v>
      </c>
      <c r="I88" s="147">
        <f t="shared" si="15"/>
        <v>57453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532111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8709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3299255.7216697363</v>
      </c>
      <c r="F91" s="155">
        <f t="shared" si="17"/>
        <v>0</v>
      </c>
      <c r="G91" s="155">
        <f t="shared" si="17"/>
        <v>1639019.2130000074</v>
      </c>
      <c r="H91" s="155">
        <f t="shared" si="17"/>
        <v>0</v>
      </c>
      <c r="I91" s="155">
        <f t="shared" si="17"/>
        <v>-1660236.5086697319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41773752</v>
      </c>
      <c r="E11" s="66">
        <f>'WE-FLSH'!M11</f>
        <v>96029433</v>
      </c>
      <c r="F11" s="60">
        <f>'WE-GL '!D11</f>
        <v>41098169</v>
      </c>
      <c r="G11" s="38">
        <f>'WE-GL '!E11</f>
        <v>92204414.050000012</v>
      </c>
      <c r="H11" s="60">
        <f>F11-D11</f>
        <v>-675583</v>
      </c>
      <c r="I11" s="38">
        <f>G11-E11</f>
        <v>-3825018.9499999881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2368361.73</v>
      </c>
      <c r="H12" s="60">
        <f>F12-D12</f>
        <v>0</v>
      </c>
      <c r="I12" s="38">
        <f>G12-E12</f>
        <v>2368361.73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19330835</v>
      </c>
      <c r="E13" s="66">
        <f>'WE-FLSH'!M13</f>
        <v>45588342</v>
      </c>
      <c r="F13" s="60">
        <f>'WE-GL '!D13</f>
        <v>0</v>
      </c>
      <c r="G13" s="38">
        <f>'WE-GL '!E13</f>
        <v>0</v>
      </c>
      <c r="H13" s="60">
        <f t="shared" ref="H13:I15" si="0">F13-D13</f>
        <v>-19330835</v>
      </c>
      <c r="I13" s="38">
        <f t="shared" si="0"/>
        <v>-45588342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1131020.68</v>
      </c>
      <c r="H15" s="60">
        <f t="shared" si="0"/>
        <v>0</v>
      </c>
      <c r="I15" s="38">
        <f t="shared" si="0"/>
        <v>1131020.68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61104587</v>
      </c>
      <c r="E16" s="39">
        <f t="shared" si="1"/>
        <v>141617775</v>
      </c>
      <c r="F16" s="61">
        <f t="shared" si="1"/>
        <v>41098169</v>
      </c>
      <c r="G16" s="39">
        <f t="shared" si="1"/>
        <v>95703796.460000023</v>
      </c>
      <c r="H16" s="61">
        <f t="shared" si="1"/>
        <v>-20006418</v>
      </c>
      <c r="I16" s="39">
        <f t="shared" si="1"/>
        <v>-45913978.539999992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-42677322</v>
      </c>
      <c r="E19" s="66">
        <f>'WE-FLSH'!M19</f>
        <v>-95682634</v>
      </c>
      <c r="F19" s="60">
        <f>'WE-GL '!D19</f>
        <v>-42906776</v>
      </c>
      <c r="G19" s="38">
        <f>'WE-GL '!E19</f>
        <v>-96368748.659999982</v>
      </c>
      <c r="H19" s="60">
        <f>F19-D19</f>
        <v>-229454</v>
      </c>
      <c r="I19" s="38">
        <f>G19-E19</f>
        <v>-686114.65999998152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-76977.850000000006</v>
      </c>
      <c r="H20" s="60">
        <f>F20-D20</f>
        <v>0</v>
      </c>
      <c r="I20" s="38">
        <f>G20-E20</f>
        <v>-76977.850000000006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-19275990</v>
      </c>
      <c r="E21" s="66">
        <f>'WE-FLSH'!M21</f>
        <v>-45452981</v>
      </c>
      <c r="F21" s="60">
        <f>'WE-GL '!D21</f>
        <v>-67499</v>
      </c>
      <c r="G21" s="38">
        <f>'WE-GL '!E21</f>
        <v>-145658</v>
      </c>
      <c r="H21" s="60">
        <f t="shared" ref="H21:I23" si="2">F21-D21</f>
        <v>19208491</v>
      </c>
      <c r="I21" s="38">
        <f t="shared" si="2"/>
        <v>45307323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637065</v>
      </c>
      <c r="E23" s="66">
        <f>'WE-FLSH'!M23</f>
        <v>1420180</v>
      </c>
      <c r="F23" s="60">
        <f>'WE-GL '!D23</f>
        <v>719124</v>
      </c>
      <c r="G23" s="38">
        <f>'WE-GL '!E23</f>
        <v>1587106.6679999998</v>
      </c>
      <c r="H23" s="60">
        <f t="shared" si="2"/>
        <v>82059</v>
      </c>
      <c r="I23" s="38">
        <f t="shared" si="2"/>
        <v>166926.66799999983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-61316247</v>
      </c>
      <c r="E24" s="39">
        <f t="shared" si="3"/>
        <v>-139715435</v>
      </c>
      <c r="F24" s="61">
        <f t="shared" si="3"/>
        <v>-42255151</v>
      </c>
      <c r="G24" s="39">
        <f t="shared" si="3"/>
        <v>-95004277.841999978</v>
      </c>
      <c r="H24" s="61">
        <f t="shared" si="3"/>
        <v>19061096</v>
      </c>
      <c r="I24" s="39">
        <f t="shared" si="3"/>
        <v>44711157.158000015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857593</v>
      </c>
      <c r="G27" s="38">
        <f>'WE-GL '!E27</f>
        <v>2021036.0799999998</v>
      </c>
      <c r="H27" s="60">
        <f>F27-D27</f>
        <v>857593</v>
      </c>
      <c r="I27" s="38">
        <f>G27-E27</f>
        <v>2021036.0799999998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857593</v>
      </c>
      <c r="G29" s="70">
        <f t="shared" si="4"/>
        <v>2021036.0799999998</v>
      </c>
      <c r="H29" s="69">
        <f t="shared" si="4"/>
        <v>857593</v>
      </c>
      <c r="I29" s="70">
        <f t="shared" si="4"/>
        <v>2021036.0799999998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7309</v>
      </c>
      <c r="E32" s="66">
        <f>'WE-FLSH'!M32</f>
        <v>18379</v>
      </c>
      <c r="F32" s="60">
        <f>'WE-GL '!D32</f>
        <v>-62506</v>
      </c>
      <c r="G32" s="38">
        <f>'WE-GL '!E32</f>
        <v>-137950.74199999988</v>
      </c>
      <c r="H32" s="60">
        <f>F32-D32</f>
        <v>-69815</v>
      </c>
      <c r="I32" s="38">
        <f>G32-E32</f>
        <v>-156329.74199999988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-570</v>
      </c>
      <c r="G33" s="38">
        <f>'WE-GL '!E33</f>
        <v>-1268.22</v>
      </c>
      <c r="H33" s="60">
        <f t="shared" ref="H33:I35" si="5">F33-D33</f>
        <v>-570</v>
      </c>
      <c r="I33" s="38">
        <f t="shared" si="5"/>
        <v>-1268.22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6</v>
      </c>
      <c r="G34" s="38">
        <f>'WE-GL '!E34</f>
        <v>12.9</v>
      </c>
      <c r="H34" s="60">
        <f t="shared" si="5"/>
        <v>6</v>
      </c>
      <c r="I34" s="38">
        <f t="shared" si="5"/>
        <v>12.9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219316</v>
      </c>
      <c r="E35" s="66">
        <f>'WE-FLSH'!M35</f>
        <v>531059</v>
      </c>
      <c r="F35" s="60">
        <f>'WE-GL '!D35</f>
        <v>0</v>
      </c>
      <c r="G35" s="38">
        <f>'WE-GL '!E35</f>
        <v>0</v>
      </c>
      <c r="H35" s="60">
        <f t="shared" si="5"/>
        <v>-219316</v>
      </c>
      <c r="I35" s="38">
        <f t="shared" si="5"/>
        <v>-531059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226625</v>
      </c>
      <c r="E36" s="39">
        <f t="shared" si="6"/>
        <v>549438</v>
      </c>
      <c r="F36" s="61">
        <f t="shared" si="6"/>
        <v>-63070</v>
      </c>
      <c r="G36" s="39">
        <f t="shared" si="6"/>
        <v>-139206.06199999989</v>
      </c>
      <c r="H36" s="61">
        <f t="shared" si="6"/>
        <v>-289695</v>
      </c>
      <c r="I36" s="39">
        <f t="shared" si="6"/>
        <v>-688644.06199999992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9907</v>
      </c>
      <c r="E39" s="66">
        <f>'WE-FLSH'!M39</f>
        <v>20458</v>
      </c>
      <c r="F39" s="60">
        <f>'WE-GL '!D39</f>
        <v>221557</v>
      </c>
      <c r="G39" s="38">
        <f>'WE-GL '!E39</f>
        <v>488978.93</v>
      </c>
      <c r="H39" s="60">
        <f t="shared" ref="H39:I41" si="7">F39-D39</f>
        <v>211650</v>
      </c>
      <c r="I39" s="38">
        <f t="shared" si="7"/>
        <v>468520.93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-7621</v>
      </c>
      <c r="E40" s="66">
        <f>'WE-FLSH'!M40</f>
        <v>-17126</v>
      </c>
      <c r="F40" s="60">
        <f>'WE-GL '!D40</f>
        <v>0</v>
      </c>
      <c r="G40" s="38">
        <f>'WE-GL '!E40</f>
        <v>0</v>
      </c>
      <c r="H40" s="60">
        <f t="shared" si="7"/>
        <v>7621</v>
      </c>
      <c r="I40" s="38">
        <f t="shared" si="7"/>
        <v>17126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-7621</v>
      </c>
      <c r="E42" s="39">
        <f t="shared" si="8"/>
        <v>-17126</v>
      </c>
      <c r="F42" s="61">
        <f t="shared" si="8"/>
        <v>0</v>
      </c>
      <c r="G42" s="39">
        <f t="shared" si="8"/>
        <v>0</v>
      </c>
      <c r="H42" s="61">
        <f t="shared" si="8"/>
        <v>7621</v>
      </c>
      <c r="I42" s="39">
        <f t="shared" si="8"/>
        <v>17126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2286</v>
      </c>
      <c r="E43" s="39">
        <f t="shared" si="9"/>
        <v>3332</v>
      </c>
      <c r="F43" s="61">
        <f t="shared" si="9"/>
        <v>221557</v>
      </c>
      <c r="G43" s="39">
        <f t="shared" si="9"/>
        <v>488978.93</v>
      </c>
      <c r="H43" s="61">
        <f t="shared" si="9"/>
        <v>219271</v>
      </c>
      <c r="I43" s="39">
        <f t="shared" si="9"/>
        <v>485646.93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-17251</v>
      </c>
      <c r="E49" s="66">
        <f>'WE-FLSH'!M49</f>
        <v>-38071.940757729382</v>
      </c>
      <c r="F49" s="60">
        <f>'WE-GL '!D49</f>
        <v>140902</v>
      </c>
      <c r="G49" s="38">
        <f>'WE-GL '!E49</f>
        <v>310970.71399999992</v>
      </c>
      <c r="H49" s="60">
        <f>F49-D49</f>
        <v>158153</v>
      </c>
      <c r="I49" s="38">
        <f>G49-E49</f>
        <v>349042.65475772932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-637065</v>
      </c>
      <c r="E51" s="66">
        <f>'WE-FLSH'!M51</f>
        <v>-1420180</v>
      </c>
      <c r="F51" s="60">
        <f>'WE-GL '!D51</f>
        <v>-719124</v>
      </c>
      <c r="G51" s="38">
        <f>'WE-GL '!E51</f>
        <v>-1587106.6679999998</v>
      </c>
      <c r="H51" s="60">
        <f>F51-D51</f>
        <v>-82059</v>
      </c>
      <c r="I51" s="38">
        <f>G51-E51</f>
        <v>-166926.66799999983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-114015</v>
      </c>
      <c r="F54" s="60">
        <f>'WE-GL '!D54</f>
        <v>-25543694</v>
      </c>
      <c r="G54" s="38">
        <f>'WE-GL '!E54</f>
        <v>-393621.56</v>
      </c>
      <c r="H54" s="60">
        <f>F54-D54</f>
        <v>-25543694</v>
      </c>
      <c r="I54" s="38">
        <f>G54-E54</f>
        <v>-279606.56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-1113165.8400000001</v>
      </c>
      <c r="F55" s="60">
        <f>'WE-GL '!D55</f>
        <v>0</v>
      </c>
      <c r="G55" s="38">
        <f>'WE-GL '!E55</f>
        <v>-5448663.5700000003</v>
      </c>
      <c r="H55" s="60">
        <f>F55-D55</f>
        <v>0</v>
      </c>
      <c r="I55" s="38">
        <f>G55-E55</f>
        <v>-4335497.7300000004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-1227180.8400000001</v>
      </c>
      <c r="F56" s="61">
        <f t="shared" si="10"/>
        <v>-25543694</v>
      </c>
      <c r="G56" s="39">
        <f t="shared" si="10"/>
        <v>-5842285.1299999999</v>
      </c>
      <c r="H56" s="61">
        <f t="shared" si="10"/>
        <v>-25543694</v>
      </c>
      <c r="I56" s="39">
        <f t="shared" si="10"/>
        <v>-4615104.29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6953222</v>
      </c>
      <c r="F70" s="60">
        <f>'WE-GL '!D70</f>
        <v>0</v>
      </c>
      <c r="G70" s="38">
        <f>'WE-GL '!E70</f>
        <v>6953222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-2053660</v>
      </c>
      <c r="F71" s="60">
        <f>'WE-GL '!D71</f>
        <v>0</v>
      </c>
      <c r="G71" s="38">
        <f>'WE-GL '!E71</f>
        <v>-2053660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4899562</v>
      </c>
      <c r="F72" s="61">
        <f t="shared" si="13"/>
        <v>0</v>
      </c>
      <c r="G72" s="39">
        <f t="shared" si="13"/>
        <v>4899562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1250153</v>
      </c>
      <c r="F74" s="60">
        <f>'WE-GL '!D74</f>
        <v>0</v>
      </c>
      <c r="G74" s="38">
        <f>'WE-GL '!E74</f>
        <v>1433657.44</v>
      </c>
      <c r="H74" s="60">
        <f t="shared" ref="H74:I79" si="14">F74-D74</f>
        <v>0</v>
      </c>
      <c r="I74" s="38">
        <f t="shared" si="14"/>
        <v>183504.43999999994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354788</v>
      </c>
      <c r="F75" s="60">
        <f>'WE-GL '!D75</f>
        <v>0</v>
      </c>
      <c r="G75" s="38">
        <f>'WE-GL '!E75</f>
        <v>354800</v>
      </c>
      <c r="H75" s="60">
        <f t="shared" si="14"/>
        <v>0</v>
      </c>
      <c r="I75" s="38">
        <f t="shared" si="14"/>
        <v>12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-8676</v>
      </c>
      <c r="F76" s="60">
        <f>'WE-GL '!D76</f>
        <v>0</v>
      </c>
      <c r="G76" s="38">
        <f>'WE-GL '!E76</f>
        <v>-10021.69</v>
      </c>
      <c r="H76" s="60">
        <f t="shared" si="14"/>
        <v>0</v>
      </c>
      <c r="I76" s="38">
        <f t="shared" si="14"/>
        <v>-1345.6900000000005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-223008</v>
      </c>
      <c r="F81" s="60">
        <f>'WE-GL '!D81</f>
        <v>0</v>
      </c>
      <c r="G81" s="38">
        <f>'WE-GL '!E81</f>
        <v>7142.86</v>
      </c>
      <c r="H81" s="60">
        <f>F81-D81</f>
        <v>0</v>
      </c>
      <c r="I81" s="38">
        <f>G81-E81</f>
        <v>230150.86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6042496.219242271</v>
      </c>
      <c r="F82" s="109">
        <f>F16+F24+F29+F36+F43+F45+F47+F49</f>
        <v>0</v>
      </c>
      <c r="G82" s="110">
        <f>SUM(G72:G81)+G16+G24+G29+G36+G43+G45+G47+G49+G51+G56+G61+G66</f>
        <v>2637047.0920000458</v>
      </c>
      <c r="H82" s="109">
        <f>H16+H24+H29+H36+H43+H45+H47+H49</f>
        <v>0</v>
      </c>
      <c r="I82" s="110">
        <f>SUM(I72:I81)+I16+I24+I29+I36+I43+I45+I47+I49+I51+I56+I61+I66</f>
        <v>-3405449.1272422485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4265744</v>
      </c>
      <c r="E11" s="66">
        <f>'DEN-FLSH'!M11</f>
        <v>9263351</v>
      </c>
      <c r="F11" s="60">
        <f>'DEN-GL'!D11</f>
        <v>4109285</v>
      </c>
      <c r="G11" s="38">
        <f>'DEN-GL'!E11</f>
        <v>8933225.290000001</v>
      </c>
      <c r="H11" s="60">
        <f>F11-D11</f>
        <v>-156459</v>
      </c>
      <c r="I11" s="38">
        <f>G11-E11</f>
        <v>-330125.70999999903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-386881.57</v>
      </c>
      <c r="H12" s="60">
        <f>F12-D12</f>
        <v>0</v>
      </c>
      <c r="I12" s="38">
        <f>G12-E12</f>
        <v>-386881.57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4105116</v>
      </c>
      <c r="E13" s="66">
        <f>'DEN-FLSH'!M13</f>
        <v>9214231</v>
      </c>
      <c r="F13" s="60">
        <f>'DEN-GL'!D13</f>
        <v>354469</v>
      </c>
      <c r="G13" s="38">
        <f>'DEN-GL'!E13</f>
        <v>818936</v>
      </c>
      <c r="H13" s="60">
        <f t="shared" ref="H13:I15" si="0">F13-D13</f>
        <v>-3750647</v>
      </c>
      <c r="I13" s="38">
        <f t="shared" si="0"/>
        <v>-8395295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8370860</v>
      </c>
      <c r="E16" s="39">
        <f t="shared" si="1"/>
        <v>18477582</v>
      </c>
      <c r="F16" s="61">
        <f t="shared" si="1"/>
        <v>4463754</v>
      </c>
      <c r="G16" s="39">
        <f t="shared" si="1"/>
        <v>9371412.1400000006</v>
      </c>
      <c r="H16" s="61">
        <f t="shared" si="1"/>
        <v>-3907106</v>
      </c>
      <c r="I16" s="39">
        <f t="shared" si="1"/>
        <v>-9106169.8599999994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-5207531</v>
      </c>
      <c r="E19" s="66">
        <f>'DEN-FLSH'!M19</f>
        <v>-11111817</v>
      </c>
      <c r="F19" s="60">
        <f>'DEN-GL'!D19</f>
        <v>-4880727</v>
      </c>
      <c r="G19" s="38">
        <f>'DEN-GL'!E19</f>
        <v>-10188373.58</v>
      </c>
      <c r="H19" s="60">
        <f>F19-D19</f>
        <v>326804</v>
      </c>
      <c r="I19" s="38">
        <f>G19-E19</f>
        <v>923443.41999999993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263447.03999999998</v>
      </c>
      <c r="H20" s="60">
        <f>F20-D20</f>
        <v>0</v>
      </c>
      <c r="I20" s="38">
        <f>G20-E20</f>
        <v>263447.03999999998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-3142564</v>
      </c>
      <c r="E21" s="66">
        <f>'DEN-FLSH'!M21</f>
        <v>-7046526</v>
      </c>
      <c r="F21" s="60">
        <f>'DEN-GL'!D21</f>
        <v>-93</v>
      </c>
      <c r="G21" s="38">
        <f>'DEN-GL'!E21</f>
        <v>-219</v>
      </c>
      <c r="H21" s="60">
        <f t="shared" ref="H21:I23" si="2">F21-D21</f>
        <v>3142471</v>
      </c>
      <c r="I21" s="38">
        <f t="shared" si="2"/>
        <v>7046307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13590</v>
      </c>
      <c r="E23" s="66">
        <f>'DEN-FLSH'!M23</f>
        <v>28931</v>
      </c>
      <c r="F23" s="60">
        <f>'DEN-GL'!D23</f>
        <v>2687</v>
      </c>
      <c r="G23" s="38">
        <f>'DEN-GL'!E23</f>
        <v>5798.5460000000003</v>
      </c>
      <c r="H23" s="60">
        <f t="shared" si="2"/>
        <v>-10903</v>
      </c>
      <c r="I23" s="38">
        <f t="shared" si="2"/>
        <v>-23132.453999999998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-8336505</v>
      </c>
      <c r="E24" s="39">
        <f t="shared" si="3"/>
        <v>-18129412</v>
      </c>
      <c r="F24" s="61">
        <f t="shared" si="3"/>
        <v>-4878133</v>
      </c>
      <c r="G24" s="39">
        <f t="shared" si="3"/>
        <v>-9919346.9940000009</v>
      </c>
      <c r="H24" s="61">
        <f t="shared" si="3"/>
        <v>3458372</v>
      </c>
      <c r="I24" s="39">
        <f t="shared" si="3"/>
        <v>8210065.0060000001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14069</v>
      </c>
      <c r="E32" s="66">
        <f>'DEN-FLSH'!M32</f>
        <v>31773</v>
      </c>
      <c r="F32" s="60">
        <f>'DEN-GL'!D32</f>
        <v>-3181</v>
      </c>
      <c r="G32" s="38">
        <f>'DEN-GL'!E32</f>
        <v>14910.360000000015</v>
      </c>
      <c r="H32" s="60">
        <f>F32-D32</f>
        <v>-17250</v>
      </c>
      <c r="I32" s="38">
        <f>G32-E32</f>
        <v>-16862.639999999985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14069</v>
      </c>
      <c r="E36" s="39">
        <f t="shared" si="6"/>
        <v>31773</v>
      </c>
      <c r="F36" s="61">
        <f t="shared" si="6"/>
        <v>-3181</v>
      </c>
      <c r="G36" s="39">
        <f t="shared" si="6"/>
        <v>14910.360000000015</v>
      </c>
      <c r="H36" s="61">
        <f t="shared" si="6"/>
        <v>-17250</v>
      </c>
      <c r="I36" s="39">
        <f t="shared" si="6"/>
        <v>-16862.639999999985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891</v>
      </c>
      <c r="E39" s="66">
        <f>'DEN-FLSH'!M39</f>
        <v>2074</v>
      </c>
      <c r="F39" s="60">
        <f>'DEN-GL'!D39</f>
        <v>0</v>
      </c>
      <c r="G39" s="38">
        <f>'DEN-GL'!E39</f>
        <v>0</v>
      </c>
      <c r="H39" s="60">
        <f t="shared" ref="H39:I41" si="7">F39-D39</f>
        <v>-891</v>
      </c>
      <c r="I39" s="38">
        <f t="shared" si="7"/>
        <v>-2074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891</v>
      </c>
      <c r="E43" s="39">
        <f t="shared" si="9"/>
        <v>2074</v>
      </c>
      <c r="F43" s="61">
        <f t="shared" si="9"/>
        <v>0</v>
      </c>
      <c r="G43" s="39">
        <f t="shared" si="9"/>
        <v>0</v>
      </c>
      <c r="H43" s="61">
        <f t="shared" si="9"/>
        <v>-891</v>
      </c>
      <c r="I43" s="39">
        <f t="shared" si="9"/>
        <v>-2074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-49315</v>
      </c>
      <c r="E49" s="66">
        <f>'DEN-FLSH'!M49</f>
        <v>-106404.98028757867</v>
      </c>
      <c r="F49" s="60">
        <f>'DEN-GL'!D49</f>
        <v>417560</v>
      </c>
      <c r="G49" s="38">
        <f>'DEN-GL'!E49</f>
        <v>901094.48</v>
      </c>
      <c r="H49" s="60">
        <f>F49-D49</f>
        <v>466875</v>
      </c>
      <c r="I49" s="38">
        <f>G49-E49</f>
        <v>1007499.4602875786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-13590</v>
      </c>
      <c r="E51" s="66">
        <f>'DEN-FLSH'!M51</f>
        <v>-28931</v>
      </c>
      <c r="F51" s="60">
        <f>'DEN-GL'!D51</f>
        <v>-2687</v>
      </c>
      <c r="G51" s="38">
        <f>'DEN-GL'!E51</f>
        <v>-5798.5460000000003</v>
      </c>
      <c r="H51" s="60">
        <f>F51-D51</f>
        <v>10903</v>
      </c>
      <c r="I51" s="38">
        <f>G51-E51</f>
        <v>23132.453999999998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-114253.35</v>
      </c>
      <c r="F54" s="60">
        <f>'DEN-GL'!D54</f>
        <v>-7503498</v>
      </c>
      <c r="G54" s="38">
        <f>'DEN-GL'!E54</f>
        <v>-108503.09</v>
      </c>
      <c r="H54" s="60">
        <f>F54-D54</f>
        <v>-7503498</v>
      </c>
      <c r="I54" s="38">
        <f>G54-E54</f>
        <v>5750.2600000000093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-355437.7</v>
      </c>
      <c r="F55" s="60">
        <f>'DEN-GL'!D55</f>
        <v>0</v>
      </c>
      <c r="G55" s="38">
        <f>'DEN-GL'!E55</f>
        <v>-339324.11000000004</v>
      </c>
      <c r="H55" s="60">
        <f>F55-D55</f>
        <v>0</v>
      </c>
      <c r="I55" s="38">
        <f>G55-E55</f>
        <v>16113.589999999967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-469691.05000000005</v>
      </c>
      <c r="F56" s="61">
        <f t="shared" si="10"/>
        <v>-7503498</v>
      </c>
      <c r="G56" s="39">
        <f t="shared" si="10"/>
        <v>-447827.20000000007</v>
      </c>
      <c r="H56" s="61">
        <f t="shared" si="10"/>
        <v>-7503498</v>
      </c>
      <c r="I56" s="39">
        <f t="shared" si="10"/>
        <v>21863.849999999977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3.9999999804422259E-2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-3.9999999804422259E-2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-97941</v>
      </c>
      <c r="H74" s="60">
        <f t="shared" ref="H74:I79" si="14">F74-D74</f>
        <v>0</v>
      </c>
      <c r="I74" s="38">
        <f t="shared" si="14"/>
        <v>-97941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-223009.9902875796</v>
      </c>
      <c r="F82" s="109">
        <f>F16+F24+F29+F36+F43+F45+F47+F49</f>
        <v>0</v>
      </c>
      <c r="G82" s="110">
        <f>SUM(G72:G81)+G16+G24+G29+G36+G43+G45+G47+G49+G51+G56+G61+G66</f>
        <v>-183496.76000000036</v>
      </c>
      <c r="H82" s="109">
        <f>H16+H24+H29+H36+H43+H45+H47+H49</f>
        <v>0</v>
      </c>
      <c r="I82" s="110">
        <f>SUM(I72:I81)+I16+I24+I29+I36+I43+I45+I47+I49+I51+I56+I61+I66</f>
        <v>39513.23028758014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23">
        <f>+'DEN-FLSH'!M86</f>
        <v>-63196</v>
      </c>
      <c r="F86" s="67">
        <f>'DEN-GL'!D86</f>
        <v>0</v>
      </c>
      <c r="G86" s="220">
        <f>'DEN-GL'!E86</f>
        <v>-101722</v>
      </c>
      <c r="H86" s="220">
        <f t="shared" ref="H86:I88" si="15">F86-D86</f>
        <v>0</v>
      </c>
      <c r="I86" s="145">
        <f t="shared" si="15"/>
        <v>-38526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-402</v>
      </c>
      <c r="H87" s="66">
        <f t="shared" si="15"/>
        <v>0</v>
      </c>
      <c r="I87" s="146">
        <f t="shared" si="15"/>
        <v>-402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-63196</v>
      </c>
      <c r="F89" s="225">
        <f t="shared" si="16"/>
        <v>0</v>
      </c>
      <c r="G89" s="225">
        <f t="shared" si="16"/>
        <v>-102124</v>
      </c>
      <c r="H89" s="160">
        <f t="shared" si="16"/>
        <v>0</v>
      </c>
      <c r="I89" s="160">
        <f t="shared" si="16"/>
        <v>-38928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5" sqref="D2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4964602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-4964602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6032630</v>
      </c>
      <c r="H13" s="60">
        <f t="shared" ref="H13:I15" si="0">F13-D13</f>
        <v>0</v>
      </c>
      <c r="I13" s="38">
        <f t="shared" si="0"/>
        <v>6032630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4964602</v>
      </c>
      <c r="F16" s="61">
        <f t="shared" si="1"/>
        <v>0</v>
      </c>
      <c r="G16" s="39">
        <f t="shared" si="1"/>
        <v>6032630</v>
      </c>
      <c r="H16" s="61">
        <f t="shared" si="1"/>
        <v>0</v>
      </c>
      <c r="I16" s="39">
        <f t="shared" si="1"/>
        <v>1068028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146152</v>
      </c>
      <c r="H41" s="60">
        <f t="shared" si="7"/>
        <v>0</v>
      </c>
      <c r="I41" s="38">
        <f t="shared" si="7"/>
        <v>146152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146152</v>
      </c>
      <c r="H42" s="69">
        <f t="shared" si="8"/>
        <v>0</v>
      </c>
      <c r="I42" s="70">
        <f t="shared" si="8"/>
        <v>146152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146152</v>
      </c>
      <c r="H43" s="61">
        <f t="shared" si="9"/>
        <v>0</v>
      </c>
      <c r="I43" s="39">
        <f t="shared" si="9"/>
        <v>146152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-4096579</v>
      </c>
      <c r="F70" s="60">
        <f>STG_GL!D70</f>
        <v>0</v>
      </c>
      <c r="G70" s="38">
        <f>STG_GL!E70</f>
        <v>-3011096</v>
      </c>
      <c r="H70" s="60">
        <f>F70-D70</f>
        <v>0</v>
      </c>
      <c r="I70" s="38">
        <f>G70-E70</f>
        <v>1085483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-1085483</v>
      </c>
      <c r="H71" s="60">
        <f>F71-D71</f>
        <v>0</v>
      </c>
      <c r="I71" s="38">
        <f>G71-E71</f>
        <v>-1085483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-4096579</v>
      </c>
      <c r="F72" s="69">
        <f t="shared" si="13"/>
        <v>0</v>
      </c>
      <c r="G72" s="70">
        <f t="shared" si="13"/>
        <v>-4096579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-281</v>
      </c>
      <c r="H73" s="60">
        <f>F73-D73</f>
        <v>0</v>
      </c>
      <c r="I73" s="38">
        <f>G73-E73</f>
        <v>-281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2331926</v>
      </c>
      <c r="F74" s="60">
        <f>STG_GL!D74</f>
        <v>0</v>
      </c>
      <c r="G74" s="38">
        <f>STG_GL!E74</f>
        <v>1656275.2999999998</v>
      </c>
      <c r="H74" s="60">
        <f t="shared" ref="H74:I79" si="14">F74-D74</f>
        <v>0</v>
      </c>
      <c r="I74" s="38">
        <f t="shared" si="14"/>
        <v>-675650.70000000019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-9480</v>
      </c>
      <c r="F76" s="60">
        <f>STG_GL!D76</f>
        <v>0</v>
      </c>
      <c r="G76" s="38">
        <f>STG_GL!E76</f>
        <v>-9625</v>
      </c>
      <c r="H76" s="60">
        <f t="shared" si="14"/>
        <v>0</v>
      </c>
      <c r="I76" s="38">
        <f t="shared" si="14"/>
        <v>-145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211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820000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212</v>
      </c>
      <c r="D79" s="65">
        <f>STG_FLSH!L79</f>
        <v>0</v>
      </c>
      <c r="E79" s="66">
        <f>STG_FLSH!M79</f>
        <v>-503709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413714</v>
      </c>
    </row>
    <row r="80" spans="1:9" x14ac:dyDescent="0.2">
      <c r="A80" s="9">
        <v>39</v>
      </c>
      <c r="B80" s="3"/>
      <c r="C80" s="10" t="s">
        <v>213</v>
      </c>
      <c r="D80" s="65">
        <f>STG_FLSH!L80</f>
        <v>0</v>
      </c>
      <c r="E80" s="66">
        <f>STG_FLSH!M80</f>
        <v>-455702</v>
      </c>
      <c r="F80" s="60">
        <f>STG_GL!D80</f>
        <v>0</v>
      </c>
      <c r="G80" s="38">
        <f>STG_GL!E80</f>
        <v>-98257</v>
      </c>
      <c r="H80" s="60">
        <f>F80-D80</f>
        <v>0</v>
      </c>
      <c r="I80" s="38">
        <f>G80-E80</f>
        <v>357445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2718631</v>
      </c>
      <c r="F82" s="109">
        <f>F16+F24+F29+F36+F43+F45+F47+F49</f>
        <v>0</v>
      </c>
      <c r="G82" s="110">
        <f>SUM(G72:G81)+G16+G24+G29+G36+G43+G45+G47+G49+G51+G56+G61+G66</f>
        <v>4080570.3</v>
      </c>
      <c r="H82" s="109">
        <f>H16+H24+H29+H36+H43+H45+H47+H49</f>
        <v>0</v>
      </c>
      <c r="I82" s="110">
        <f>SUM(I72:I81)+I16+I24+I29+I36+I43+I45+I47+I49+I51+I56+I61+I66</f>
        <v>1361939.2999999998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37751228</v>
      </c>
      <c r="E11" s="66">
        <f>ONT_FLSH!M11</f>
        <v>91989334</v>
      </c>
      <c r="F11" s="60">
        <f>'ONT_GL '!D11</f>
        <v>38378987</v>
      </c>
      <c r="G11" s="38">
        <f>'ONT_GL '!E11</f>
        <v>88075060.319999993</v>
      </c>
      <c r="H11" s="60">
        <f>F11-D11</f>
        <v>627759</v>
      </c>
      <c r="I11" s="38">
        <f>G11-E11</f>
        <v>-3914273.6800000072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5720848.6699999999</v>
      </c>
      <c r="H12" s="60">
        <f>F12-D12</f>
        <v>0</v>
      </c>
      <c r="I12" s="38">
        <f>G12-E12</f>
        <v>5720848.6699999999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3709833</v>
      </c>
      <c r="E13" s="66">
        <f>ONT_FLSH!M13</f>
        <v>9157794</v>
      </c>
      <c r="F13" s="60">
        <f>'ONT_GL '!D13</f>
        <v>1700653</v>
      </c>
      <c r="G13" s="38">
        <f>'ONT_GL '!E13</f>
        <v>4279414</v>
      </c>
      <c r="H13" s="60">
        <f t="shared" ref="H13:I15" si="0">F13-D13</f>
        <v>-2009180</v>
      </c>
      <c r="I13" s="38">
        <f t="shared" si="0"/>
        <v>-4878380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41461061</v>
      </c>
      <c r="E16" s="39">
        <f t="shared" si="1"/>
        <v>101147128</v>
      </c>
      <c r="F16" s="61">
        <f t="shared" si="1"/>
        <v>40079640</v>
      </c>
      <c r="G16" s="39">
        <f t="shared" si="1"/>
        <v>98075322.989999995</v>
      </c>
      <c r="H16" s="61">
        <f t="shared" si="1"/>
        <v>-1381421</v>
      </c>
      <c r="I16" s="39">
        <f t="shared" si="1"/>
        <v>-3071805.0100000072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-41087127</v>
      </c>
      <c r="E19" s="66">
        <f>ONT_FLSH!M19</f>
        <v>-100082949</v>
      </c>
      <c r="F19" s="60">
        <f>'ONT_GL '!D19</f>
        <v>-41717681</v>
      </c>
      <c r="G19" s="38">
        <f>'ONT_GL '!E19</f>
        <v>-97143601.280000016</v>
      </c>
      <c r="H19" s="60">
        <f>F19-D19</f>
        <v>-630554</v>
      </c>
      <c r="I19" s="38">
        <f>G19-E19</f>
        <v>2939347.7199999839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-4881100.3499999996</v>
      </c>
      <c r="H20" s="60">
        <f>F20-D20</f>
        <v>0</v>
      </c>
      <c r="I20" s="38">
        <f>G20-E20</f>
        <v>-4881100.3499999996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-414182</v>
      </c>
      <c r="E21" s="66">
        <f>ONT_FLSH!M21</f>
        <v>-997711</v>
      </c>
      <c r="F21" s="60">
        <f>'ONT_GL '!D21</f>
        <v>-144182</v>
      </c>
      <c r="G21" s="38">
        <f>'ONT_GL '!E21</f>
        <v>-342421</v>
      </c>
      <c r="H21" s="60">
        <f t="shared" ref="H21:I23" si="2">F21-D21</f>
        <v>270000</v>
      </c>
      <c r="I21" s="38">
        <f t="shared" si="2"/>
        <v>655290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65362</v>
      </c>
      <c r="G23" s="38">
        <f>'ONT_GL '!E23</f>
        <v>176477.4</v>
      </c>
      <c r="H23" s="60">
        <f t="shared" si="2"/>
        <v>65362</v>
      </c>
      <c r="I23" s="38">
        <f t="shared" si="2"/>
        <v>176477.4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-41501309</v>
      </c>
      <c r="E24" s="39">
        <f t="shared" si="3"/>
        <v>-101080660</v>
      </c>
      <c r="F24" s="61">
        <f t="shared" si="3"/>
        <v>-41796501</v>
      </c>
      <c r="G24" s="39">
        <f t="shared" si="3"/>
        <v>-102190645.23</v>
      </c>
      <c r="H24" s="61">
        <f t="shared" si="3"/>
        <v>-295192</v>
      </c>
      <c r="I24" s="39">
        <f t="shared" si="3"/>
        <v>-1109985.2300000158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857327</v>
      </c>
      <c r="G32" s="38">
        <f>'ONT_GL '!E32</f>
        <v>2314782.9</v>
      </c>
      <c r="H32" s="60">
        <f>F32-D32</f>
        <v>857327</v>
      </c>
      <c r="I32" s="38">
        <f>G32-E32</f>
        <v>2314782.9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857327</v>
      </c>
      <c r="G36" s="39">
        <f t="shared" si="6"/>
        <v>2314782.9</v>
      </c>
      <c r="H36" s="61">
        <f t="shared" si="6"/>
        <v>857327</v>
      </c>
      <c r="I36" s="39">
        <f t="shared" si="6"/>
        <v>2314782.9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40248</v>
      </c>
      <c r="E49" s="66">
        <f>ONT_FLSH!M49</f>
        <v>108669.6</v>
      </c>
      <c r="F49" s="60">
        <f>'ONT_GL '!D49</f>
        <v>859534</v>
      </c>
      <c r="G49" s="38">
        <f>'ONT_GL '!E49</f>
        <v>2320741.7999999998</v>
      </c>
      <c r="H49" s="60">
        <f>F49-D49</f>
        <v>819286</v>
      </c>
      <c r="I49" s="38">
        <f>G49-E49</f>
        <v>2212072.1999999997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-65362</v>
      </c>
      <c r="G51" s="38">
        <f>'ONT_GL '!E51</f>
        <v>-176477.4</v>
      </c>
      <c r="H51" s="60">
        <f>F51-D51</f>
        <v>-65362</v>
      </c>
      <c r="I51" s="38">
        <f>G51-E51</f>
        <v>-176477.4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-50000</v>
      </c>
      <c r="F54" s="60">
        <f>'ONT_GL '!D54</f>
        <v>0</v>
      </c>
      <c r="G54" s="38">
        <f>'ONT_GL '!E54</f>
        <v>-138204</v>
      </c>
      <c r="H54" s="60">
        <f>F54-D54</f>
        <v>0</v>
      </c>
      <c r="I54" s="38">
        <f>G54-E54</f>
        <v>-88204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-50000</v>
      </c>
      <c r="F56" s="61">
        <f t="shared" si="10"/>
        <v>0</v>
      </c>
      <c r="G56" s="39">
        <f t="shared" si="10"/>
        <v>-138204</v>
      </c>
      <c r="H56" s="61">
        <f t="shared" si="10"/>
        <v>0</v>
      </c>
      <c r="I56" s="39">
        <f t="shared" si="10"/>
        <v>-88204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1508208.5228982903</v>
      </c>
      <c r="F70" s="60">
        <f>'ONT_GL '!D70</f>
        <v>0</v>
      </c>
      <c r="G70" s="38">
        <f>'ONT_GL '!E70</f>
        <v>1508208.52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-708912</v>
      </c>
      <c r="F71" s="60">
        <f>'ONT_GL '!D71</f>
        <v>0</v>
      </c>
      <c r="G71" s="38">
        <f>'ONT_GL '!E71</f>
        <v>-708911.52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799296.52289829031</v>
      </c>
      <c r="F72" s="69">
        <f t="shared" si="13"/>
        <v>0</v>
      </c>
      <c r="G72" s="70">
        <f t="shared" si="13"/>
        <v>799297</v>
      </c>
      <c r="H72" s="69">
        <f t="shared" si="13"/>
        <v>0</v>
      </c>
      <c r="I72" s="70">
        <f t="shared" si="13"/>
        <v>0.47710170969367027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-324192</v>
      </c>
      <c r="F74" s="60">
        <f>'ONT_GL '!D74</f>
        <v>0</v>
      </c>
      <c r="G74" s="38">
        <f>'ONT_GL '!E74</f>
        <v>-318309.51</v>
      </c>
      <c r="H74" s="60">
        <f t="shared" ref="H74:I79" si="14">F74-D74</f>
        <v>0</v>
      </c>
      <c r="I74" s="38">
        <f t="shared" si="14"/>
        <v>5882.4899999999907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-343</v>
      </c>
      <c r="F76" s="60">
        <f>'ONT_GL '!D76</f>
        <v>0</v>
      </c>
      <c r="G76" s="38">
        <f>'ONT_GL '!E76</f>
        <v>-342.73</v>
      </c>
      <c r="H76" s="60">
        <f t="shared" si="14"/>
        <v>0</v>
      </c>
      <c r="I76" s="38">
        <f t="shared" si="14"/>
        <v>0.26999999999998181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66067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-66067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665966.12289828656</v>
      </c>
      <c r="F82" s="109">
        <f>F16+F24+F29+F36+F43+F45+F47+F49</f>
        <v>0</v>
      </c>
      <c r="G82" s="110">
        <f>SUM(G72:G81)+G16+G24+G29+G36+G43+G45+G47+G49+G51+G56+G61+G66</f>
        <v>686165.81999999552</v>
      </c>
      <c r="H82" s="109">
        <f>H16+H24+H29+H36+H43+H45+H47+H49</f>
        <v>0</v>
      </c>
      <c r="I82" s="110">
        <f>SUM(I72:I81)+I16+I24+I29+I36+I43+I45+I47+I49+I51+I56+I61+I66</f>
        <v>20199.697101686528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-244880</v>
      </c>
      <c r="F86" s="145">
        <f>'ONT_GL '!D86</f>
        <v>0</v>
      </c>
      <c r="G86" s="145">
        <f>'ONT_GL '!E86</f>
        <v>-235704.59</v>
      </c>
      <c r="H86" s="145">
        <f t="shared" ref="H86:I88" si="15">F86-D86</f>
        <v>0</v>
      </c>
      <c r="I86" s="145">
        <f t="shared" si="15"/>
        <v>9175.4100000000035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-9295</v>
      </c>
      <c r="H87" s="146">
        <f t="shared" si="15"/>
        <v>0</v>
      </c>
      <c r="I87" s="146">
        <f t="shared" si="15"/>
        <v>-9295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-244880</v>
      </c>
      <c r="F89" s="160">
        <f t="shared" si="16"/>
        <v>0</v>
      </c>
      <c r="G89" s="160">
        <f t="shared" si="16"/>
        <v>-244999.59</v>
      </c>
      <c r="H89" s="160">
        <f t="shared" si="16"/>
        <v>0</v>
      </c>
      <c r="I89" s="160">
        <f t="shared" si="16"/>
        <v>-119.58999999999651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421086.12289828656</v>
      </c>
      <c r="F91" s="160">
        <f t="shared" si="17"/>
        <v>0</v>
      </c>
      <c r="G91" s="160">
        <f t="shared" si="17"/>
        <v>441166.22999999556</v>
      </c>
      <c r="H91" s="160">
        <f t="shared" si="17"/>
        <v>0</v>
      </c>
      <c r="I91" s="160">
        <f t="shared" si="17"/>
        <v>20080.107101686532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24" activePane="bottomRight" state="frozen"/>
      <selection activeCell="D10" sqref="D10"/>
      <selection pane="topRight" activeCell="D10" sqref="D10"/>
      <selection pane="bottomLeft" activeCell="D10" sqref="D10"/>
      <selection pane="bottomRight" activeCell="G40" sqref="G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23281203</v>
      </c>
      <c r="E11" s="66">
        <f>BUG_FLSH!E11</f>
        <v>40096055</v>
      </c>
      <c r="F11" s="60">
        <f>BUG_GL!D11</f>
        <v>23304830</v>
      </c>
      <c r="G11" s="38">
        <f>BUG_GL!E11</f>
        <v>41112226.57</v>
      </c>
      <c r="H11" s="60">
        <f>F11-D11</f>
        <v>23627</v>
      </c>
      <c r="I11" s="38">
        <f>G11-E11</f>
        <v>1016171.5700000003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53673045</v>
      </c>
      <c r="E13" s="66">
        <f>BUG_FLSH!E13</f>
        <v>204754459</v>
      </c>
      <c r="F13" s="60">
        <f>BUG_GL!D13</f>
        <v>15355051</v>
      </c>
      <c r="G13" s="38">
        <f>BUG_GL!E13</f>
        <v>43310974</v>
      </c>
      <c r="H13" s="60">
        <f t="shared" ref="H13:I15" si="0">F13-D13</f>
        <v>-38317994</v>
      </c>
      <c r="I13" s="38">
        <f t="shared" si="0"/>
        <v>-161443485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10490859</v>
      </c>
      <c r="F15" s="60">
        <f>BUG_GL!D15</f>
        <v>0</v>
      </c>
      <c r="G15" s="38">
        <f>BUG_GL!E15</f>
        <v>10488652.91</v>
      </c>
      <c r="H15" s="60">
        <f t="shared" si="0"/>
        <v>0</v>
      </c>
      <c r="I15" s="38">
        <f t="shared" si="0"/>
        <v>-2206.089999999851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76954248</v>
      </c>
      <c r="E16" s="39">
        <f t="shared" si="1"/>
        <v>255341373</v>
      </c>
      <c r="F16" s="61">
        <f t="shared" si="1"/>
        <v>38659881</v>
      </c>
      <c r="G16" s="39">
        <f t="shared" si="1"/>
        <v>94911853.479999989</v>
      </c>
      <c r="H16" s="61">
        <f t="shared" si="1"/>
        <v>-38294367</v>
      </c>
      <c r="I16" s="39">
        <f t="shared" si="1"/>
        <v>-160429519.52000001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-7057755</v>
      </c>
      <c r="E19" s="66">
        <f>BUG_FLSH!E19</f>
        <v>-15351473</v>
      </c>
      <c r="F19" s="60">
        <f>BUG_GL!D19</f>
        <v>-7055119</v>
      </c>
      <c r="G19" s="38">
        <f>BUG_GL!E19</f>
        <v>-15135379.41</v>
      </c>
      <c r="H19" s="60">
        <f>F19-D19</f>
        <v>2636</v>
      </c>
      <c r="I19" s="38">
        <f>G19-E19</f>
        <v>216093.58999999985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-241521</v>
      </c>
      <c r="H20" s="60">
        <f>F20-D20</f>
        <v>0</v>
      </c>
      <c r="I20" s="38">
        <f>G20-E20</f>
        <v>-241521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-56862831</v>
      </c>
      <c r="E21" s="66">
        <f>BUG_FLSH!E21</f>
        <v>-209309089</v>
      </c>
      <c r="F21" s="60">
        <f>BUG_GL!D21</f>
        <v>-18600694</v>
      </c>
      <c r="G21" s="38">
        <f>BUG_GL!E21</f>
        <v>-47844773</v>
      </c>
      <c r="H21" s="60">
        <f t="shared" ref="H21:I23" si="2">F21-D21</f>
        <v>38262137</v>
      </c>
      <c r="I21" s="38">
        <f t="shared" si="2"/>
        <v>161464316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841381</v>
      </c>
      <c r="E23" s="66">
        <f>BUG_FLSH!E23</f>
        <v>2424814</v>
      </c>
      <c r="F23" s="60">
        <f>BUG_GL!D23</f>
        <v>0</v>
      </c>
      <c r="G23" s="38">
        <f>BUG_GL!E23</f>
        <v>0</v>
      </c>
      <c r="H23" s="60">
        <f t="shared" si="2"/>
        <v>-841381</v>
      </c>
      <c r="I23" s="38">
        <f t="shared" si="2"/>
        <v>-2424814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-63079205</v>
      </c>
      <c r="E24" s="39">
        <f t="shared" si="3"/>
        <v>-222235748</v>
      </c>
      <c r="F24" s="61">
        <f t="shared" si="3"/>
        <v>-25655813</v>
      </c>
      <c r="G24" s="39">
        <f t="shared" si="3"/>
        <v>-63221673.409999996</v>
      </c>
      <c r="H24" s="61">
        <f t="shared" si="3"/>
        <v>37423392</v>
      </c>
      <c r="I24" s="39">
        <f t="shared" si="3"/>
        <v>159014074.59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-4</v>
      </c>
      <c r="E32" s="66">
        <f>BUG_FLSH!E32</f>
        <v>-10</v>
      </c>
      <c r="F32" s="60">
        <f>BUG_GL!D32</f>
        <v>0</v>
      </c>
      <c r="G32" s="38">
        <f>BUG_GL!E32</f>
        <v>0</v>
      </c>
      <c r="H32" s="60">
        <f>F32-D32</f>
        <v>4</v>
      </c>
      <c r="I32" s="38">
        <f>G32-E32</f>
        <v>10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-55131</v>
      </c>
      <c r="E35" s="66">
        <f>BUG_FLSH!E35</f>
        <v>-236790</v>
      </c>
      <c r="F35" s="60">
        <f>BUG_GL!D35</f>
        <v>-60039</v>
      </c>
      <c r="G35" s="38">
        <f>BUG_GL!E35</f>
        <v>-315734</v>
      </c>
      <c r="H35" s="60">
        <f t="shared" si="5"/>
        <v>-4908</v>
      </c>
      <c r="I35" s="38">
        <f t="shared" si="5"/>
        <v>-78944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-55135</v>
      </c>
      <c r="E36" s="39">
        <f t="shared" si="6"/>
        <v>-236800</v>
      </c>
      <c r="F36" s="61">
        <f t="shared" si="6"/>
        <v>-60039</v>
      </c>
      <c r="G36" s="39">
        <f t="shared" si="6"/>
        <v>-315734</v>
      </c>
      <c r="H36" s="61">
        <f t="shared" si="6"/>
        <v>-4904</v>
      </c>
      <c r="I36" s="39">
        <f t="shared" si="6"/>
        <v>-78934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310315</v>
      </c>
      <c r="E39" s="66">
        <f>BUG_FLSH!E39</f>
        <v>1222163</v>
      </c>
      <c r="F39" s="60">
        <f>BUG_GL!D39</f>
        <v>0</v>
      </c>
      <c r="G39" s="38">
        <f>BUG_GL!E39</f>
        <v>0</v>
      </c>
      <c r="H39" s="60">
        <f t="shared" ref="H39:I41" si="7">F39-D39</f>
        <v>-310315</v>
      </c>
      <c r="I39" s="38">
        <f t="shared" si="7"/>
        <v>-1222163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-15906963</v>
      </c>
      <c r="E40" s="66">
        <f>BUG_FLSH!E40</f>
        <v>-18576342</v>
      </c>
      <c r="F40" s="60">
        <f>BUG_GL!D40</f>
        <v>-15642229</v>
      </c>
      <c r="G40" s="38">
        <f>BUG_GL!E40</f>
        <v>-15767237.98</v>
      </c>
      <c r="H40" s="60">
        <f t="shared" si="7"/>
        <v>264734</v>
      </c>
      <c r="I40" s="38">
        <f t="shared" si="7"/>
        <v>2809104.0199999996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-15906963</v>
      </c>
      <c r="E42" s="70">
        <f t="shared" si="8"/>
        <v>-18576342</v>
      </c>
      <c r="F42" s="69">
        <f t="shared" si="8"/>
        <v>-15642229</v>
      </c>
      <c r="G42" s="70">
        <f t="shared" si="8"/>
        <v>-15767237.98</v>
      </c>
      <c r="H42" s="69">
        <f t="shared" si="8"/>
        <v>264734</v>
      </c>
      <c r="I42" s="70">
        <f t="shared" si="8"/>
        <v>2809104.0199999996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-15596648</v>
      </c>
      <c r="E43" s="39">
        <f t="shared" si="9"/>
        <v>-17354179</v>
      </c>
      <c r="F43" s="61">
        <f t="shared" si="9"/>
        <v>-15642229</v>
      </c>
      <c r="G43" s="39">
        <f t="shared" si="9"/>
        <v>-15767237.98</v>
      </c>
      <c r="H43" s="61">
        <f t="shared" si="9"/>
        <v>-45581</v>
      </c>
      <c r="I43" s="39">
        <f t="shared" si="9"/>
        <v>1586941.0199999996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1776740</v>
      </c>
      <c r="E49" s="66">
        <f>BUG_FLSH!E49</f>
        <v>4392101.28</v>
      </c>
      <c r="F49" s="60">
        <f>BUG_GL!D49</f>
        <v>2698200</v>
      </c>
      <c r="G49" s="38">
        <f>BUG_GL!E49</f>
        <v>6669950.4000000004</v>
      </c>
      <c r="H49" s="60">
        <f>F49-D49</f>
        <v>921460</v>
      </c>
      <c r="I49" s="38">
        <f>G49-E49</f>
        <v>2277849.12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-841381</v>
      </c>
      <c r="E51" s="66">
        <f>BUG_FLSH!E51</f>
        <v>-2424814</v>
      </c>
      <c r="F51" s="60">
        <f>BUG_GL!D51</f>
        <v>732012</v>
      </c>
      <c r="G51" s="38">
        <f>BUG_GL!E51</f>
        <v>1809533.6640000001</v>
      </c>
      <c r="H51" s="60">
        <f>F51-D51</f>
        <v>1573393</v>
      </c>
      <c r="I51" s="38">
        <f>G51-E51</f>
        <v>4234347.6639999999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-772877</v>
      </c>
      <c r="F54" s="60">
        <f>BUG_GL!D54</f>
        <v>-31502898</v>
      </c>
      <c r="G54" s="38">
        <f>BUG_GL!E54</f>
        <v>-1284601.6399999997</v>
      </c>
      <c r="H54" s="60">
        <f>F54-D54</f>
        <v>-31502898</v>
      </c>
      <c r="I54" s="38">
        <f>G54-E54</f>
        <v>-511724.63999999966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16</v>
      </c>
      <c r="E55" s="66">
        <f>BUG_FLSH!E55</f>
        <v>-10490859</v>
      </c>
      <c r="F55" s="60">
        <f>BUG_GL!D55</f>
        <v>0</v>
      </c>
      <c r="G55" s="38">
        <f>BUG_GL!E55</f>
        <v>-10476793.15</v>
      </c>
      <c r="H55" s="60">
        <f>F55-D55</f>
        <v>-16</v>
      </c>
      <c r="I55" s="38">
        <f>G55-E55</f>
        <v>14065.849999999627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-11263736</v>
      </c>
      <c r="F56" s="61">
        <f t="shared" si="10"/>
        <v>-31502898</v>
      </c>
      <c r="G56" s="39">
        <f t="shared" si="10"/>
        <v>-11761394.789999999</v>
      </c>
      <c r="H56" s="61">
        <f t="shared" si="10"/>
        <v>-31502914</v>
      </c>
      <c r="I56" s="39">
        <f t="shared" si="10"/>
        <v>-497658.79000000004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5937115.1586007997</v>
      </c>
      <c r="F70" s="60">
        <f>BUG_GL!D70</f>
        <v>0</v>
      </c>
      <c r="G70" s="38">
        <f>BUG_GL!E70</f>
        <v>-413011</v>
      </c>
      <c r="H70" s="60">
        <f>F70-D70</f>
        <v>0</v>
      </c>
      <c r="I70" s="38">
        <f>G70-E70</f>
        <v>-6350126.1586007997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-6350125.9190000035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6350125.9190000035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-413010.76039920375</v>
      </c>
      <c r="F72" s="69">
        <f t="shared" si="13"/>
        <v>0</v>
      </c>
      <c r="G72" s="70">
        <f t="shared" si="13"/>
        <v>-413011</v>
      </c>
      <c r="H72" s="69">
        <f t="shared" si="13"/>
        <v>0</v>
      </c>
      <c r="I72" s="70">
        <f t="shared" si="13"/>
        <v>-0.23960079625248909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-2403584.4093999993</v>
      </c>
      <c r="F74" s="60">
        <f>BUG_GL!D74</f>
        <v>0</v>
      </c>
      <c r="G74" s="38">
        <f>BUG_GL!E74</f>
        <v>-6638313.71</v>
      </c>
      <c r="H74" s="60">
        <f t="shared" ref="H74:I79" si="14">F74-D74</f>
        <v>0</v>
      </c>
      <c r="I74" s="38">
        <f t="shared" si="14"/>
        <v>-4234729.3006000007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72668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-72668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3474270.1102007926</v>
      </c>
      <c r="F82" s="109">
        <f>F16+F24+F29+F36+F43+F45+F47+F49</f>
        <v>0</v>
      </c>
      <c r="G82" s="110">
        <f>SUM(G72:G81)+G16+G24+G29+G36+G43+G45+G47+G49+G51+G56+G61+G66</f>
        <v>5273972.6539999992</v>
      </c>
      <c r="H82" s="109">
        <f>H16+H24+H29+H36+H43+H45+H47+H49</f>
        <v>0</v>
      </c>
      <c r="I82" s="110">
        <f>SUM(I72:I81)+I16+I24+I29+I36+I43+I45+I47+I49+I51+I56+I61+I66</f>
        <v>1799702.5437991926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F630" workbookViewId="0">
      <selection activeCell="M646" sqref="M646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14.710937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36526</v>
      </c>
      <c r="F1" s="195"/>
      <c r="G1" s="196">
        <v>36557</v>
      </c>
      <c r="H1" s="196"/>
      <c r="I1" s="196">
        <v>36586</v>
      </c>
      <c r="J1" s="196"/>
      <c r="K1" s="190">
        <v>36617</v>
      </c>
      <c r="L1" s="190"/>
      <c r="M1" s="190">
        <f>+K1+31</f>
        <v>36648</v>
      </c>
      <c r="N1" s="190"/>
      <c r="O1" s="190">
        <f>+M1+30</f>
        <v>36678</v>
      </c>
      <c r="P1" s="190"/>
      <c r="Q1" s="190">
        <f>+O1+31</f>
        <v>36709</v>
      </c>
      <c r="R1" s="190"/>
      <c r="S1" s="190">
        <f>+Q1+31</f>
        <v>36740</v>
      </c>
      <c r="T1" s="190"/>
      <c r="U1" s="190">
        <f>+S1+31</f>
        <v>36771</v>
      </c>
      <c r="V1" s="190"/>
      <c r="W1" s="190">
        <f>+U1+31</f>
        <v>36802</v>
      </c>
      <c r="X1" s="190"/>
      <c r="Y1" s="190">
        <f>+W1+31</f>
        <v>36833</v>
      </c>
      <c r="Z1" s="190"/>
      <c r="AA1" s="190">
        <f>+Y1+31</f>
        <v>36864</v>
      </c>
      <c r="AB1" s="190"/>
      <c r="AC1" s="190">
        <f>+AA1+31</f>
        <v>36895</v>
      </c>
      <c r="AD1" s="190"/>
      <c r="AE1" s="190">
        <f>+AC1+31</f>
        <v>36926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203</v>
      </c>
      <c r="F3" s="197" t="s">
        <v>204</v>
      </c>
      <c r="G3" s="203" t="s">
        <v>217</v>
      </c>
      <c r="H3" s="197" t="s">
        <v>218</v>
      </c>
      <c r="I3" s="203" t="s">
        <v>217</v>
      </c>
      <c r="J3" s="197" t="s">
        <v>218</v>
      </c>
      <c r="K3" s="198" t="s">
        <v>217</v>
      </c>
      <c r="L3" s="197" t="s">
        <v>218</v>
      </c>
      <c r="M3" s="198" t="s">
        <v>217</v>
      </c>
      <c r="N3" s="197" t="s">
        <v>218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200">
        <v>115828</v>
      </c>
      <c r="F4" s="199">
        <v>273469.90999999997</v>
      </c>
      <c r="G4" s="200">
        <v>892</v>
      </c>
      <c r="H4" s="199">
        <v>2106.0100000000002</v>
      </c>
      <c r="I4" s="200">
        <v>0</v>
      </c>
      <c r="J4" s="199">
        <v>0</v>
      </c>
      <c r="K4" s="199">
        <v>0</v>
      </c>
      <c r="L4" s="199">
        <v>0</v>
      </c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>
        <v>0</v>
      </c>
      <c r="L5" s="199">
        <v>0</v>
      </c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>
        <v>0</v>
      </c>
      <c r="L6" s="199">
        <v>0</v>
      </c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>
        <v>0</v>
      </c>
      <c r="L8" s="199">
        <v>0</v>
      </c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>
        <v>0</v>
      </c>
      <c r="J9" s="199">
        <v>0</v>
      </c>
      <c r="K9" s="199">
        <v>0</v>
      </c>
      <c r="L9" s="199">
        <v>0</v>
      </c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>
        <v>0</v>
      </c>
      <c r="L10" s="199">
        <v>0</v>
      </c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>
        <v>0</v>
      </c>
      <c r="L11" s="199">
        <v>0</v>
      </c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>
        <v>0</v>
      </c>
      <c r="L12" s="199">
        <v>0</v>
      </c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>
        <v>0</v>
      </c>
      <c r="L13" s="199">
        <v>0</v>
      </c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>
        <v>10392</v>
      </c>
      <c r="L14" s="199">
        <v>24317.279999999999</v>
      </c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-115828</v>
      </c>
      <c r="F15" s="199">
        <v>-5134.3100000000004</v>
      </c>
      <c r="G15" s="200">
        <v>-892</v>
      </c>
      <c r="H15" s="199">
        <v>-267990.49</v>
      </c>
      <c r="I15" s="200">
        <v>0</v>
      </c>
      <c r="J15" s="199">
        <v>0</v>
      </c>
      <c r="K15" s="199">
        <v>-10392</v>
      </c>
      <c r="L15" s="199">
        <v>-23901.599999999999</v>
      </c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>
        <v>0</v>
      </c>
      <c r="L16" s="199">
        <v>0</v>
      </c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>
        <v>0</v>
      </c>
      <c r="L17" s="199">
        <v>0</v>
      </c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>
        <v>0</v>
      </c>
      <c r="L18" s="199">
        <v>0</v>
      </c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>
        <v>0</v>
      </c>
      <c r="L19" s="199">
        <v>0</v>
      </c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>
        <v>0</v>
      </c>
      <c r="L20" s="199">
        <v>0</v>
      </c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>
        <v>0</v>
      </c>
      <c r="L21" s="199">
        <v>0</v>
      </c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>
        <v>0</v>
      </c>
      <c r="L22" s="199">
        <v>0</v>
      </c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>
        <v>0</v>
      </c>
      <c r="L23" s="199">
        <v>0</v>
      </c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113410.16</v>
      </c>
      <c r="K24" s="199">
        <v>0</v>
      </c>
      <c r="L24" s="199">
        <v>0</v>
      </c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>
        <v>0</v>
      </c>
      <c r="L26" s="199">
        <v>0</v>
      </c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>
        <v>0</v>
      </c>
      <c r="L27" s="199">
        <v>0</v>
      </c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>
        <v>0</v>
      </c>
      <c r="L28" s="199">
        <v>0</v>
      </c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>
        <v>0</v>
      </c>
      <c r="L29" s="199">
        <v>0</v>
      </c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>
        <v>0</v>
      </c>
      <c r="L30" s="199">
        <v>0</v>
      </c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>
        <v>0</v>
      </c>
      <c r="L31" s="199">
        <v>0</v>
      </c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>
        <v>0</v>
      </c>
      <c r="L32" s="199">
        <v>0</v>
      </c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>
        <v>0</v>
      </c>
      <c r="L33" s="199">
        <v>0</v>
      </c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>
        <v>0</v>
      </c>
      <c r="L34" s="199">
        <v>0</v>
      </c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>
        <v>0</v>
      </c>
      <c r="L35" s="199">
        <v>0</v>
      </c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>
        <v>0</v>
      </c>
      <c r="L36" s="199">
        <v>0</v>
      </c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>
        <v>0</v>
      </c>
      <c r="L37" s="199">
        <v>0</v>
      </c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>
        <v>0</v>
      </c>
      <c r="L38" s="199">
        <v>0</v>
      </c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>
        <v>0</v>
      </c>
      <c r="L39" s="199">
        <v>0</v>
      </c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>
        <v>0</v>
      </c>
      <c r="L40" s="199">
        <v>0</v>
      </c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>
        <v>0</v>
      </c>
      <c r="L41" s="199">
        <v>0</v>
      </c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>
        <v>0</v>
      </c>
      <c r="L42" s="199">
        <v>0</v>
      </c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>
        <v>0</v>
      </c>
      <c r="L43" s="199">
        <v>0</v>
      </c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0">
        <v>8693022</v>
      </c>
      <c r="F44" s="199">
        <v>21002770.84</v>
      </c>
      <c r="G44" s="200">
        <v>-54467</v>
      </c>
      <c r="H44" s="199">
        <v>10689.76</v>
      </c>
      <c r="I44" s="200">
        <v>511</v>
      </c>
      <c r="J44" s="199">
        <v>-12591.21</v>
      </c>
      <c r="K44" s="199">
        <v>-34</v>
      </c>
      <c r="L44" s="199">
        <v>-83.64</v>
      </c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>
        <v>0</v>
      </c>
      <c r="L45" s="199">
        <v>0</v>
      </c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>
        <v>0</v>
      </c>
      <c r="L47" s="199">
        <v>0</v>
      </c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>
        <v>0</v>
      </c>
      <c r="L48" s="199">
        <v>0</v>
      </c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0">
        <v>-3770769</v>
      </c>
      <c r="F49" s="199">
        <v>-8869097.4100000001</v>
      </c>
      <c r="G49" s="200">
        <v>2392622</v>
      </c>
      <c r="H49" s="199">
        <v>5606121.1099999994</v>
      </c>
      <c r="I49" s="200">
        <v>-280</v>
      </c>
      <c r="J49" s="199">
        <v>-1396.13</v>
      </c>
      <c r="K49" s="199">
        <v>-94</v>
      </c>
      <c r="L49" s="199">
        <v>-215.26</v>
      </c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>
        <v>0</v>
      </c>
      <c r="L50" s="199">
        <v>0</v>
      </c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>
        <v>0</v>
      </c>
      <c r="L51" s="199">
        <v>0</v>
      </c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>
        <v>0</v>
      </c>
      <c r="L52" s="199">
        <v>0</v>
      </c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42131</v>
      </c>
      <c r="H53" s="199">
        <v>101281.61</v>
      </c>
      <c r="I53" s="200">
        <v>42121</v>
      </c>
      <c r="J53" s="199">
        <v>101258.71</v>
      </c>
      <c r="K53" s="199">
        <v>-110645</v>
      </c>
      <c r="L53" s="199">
        <v>-260234.09</v>
      </c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0">
        <v>7737611</v>
      </c>
      <c r="F54" s="199">
        <v>18880413.34</v>
      </c>
      <c r="G54" s="200">
        <v>-478930</v>
      </c>
      <c r="H54" s="199">
        <v>-1278050.73</v>
      </c>
      <c r="I54" s="200">
        <v>-539035</v>
      </c>
      <c r="J54" s="199">
        <v>-1327285.26</v>
      </c>
      <c r="K54" s="199">
        <v>13610</v>
      </c>
      <c r="L54" s="199">
        <v>55479.19</v>
      </c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0">
        <v>-12484744</v>
      </c>
      <c r="F55" s="199">
        <v>-30071908</v>
      </c>
      <c r="G55" s="200">
        <v>443422</v>
      </c>
      <c r="H55" s="199">
        <v>1116090.1399999999</v>
      </c>
      <c r="I55" s="200">
        <v>536472</v>
      </c>
      <c r="J55" s="199">
        <v>1327896.8799999999</v>
      </c>
      <c r="K55" s="199">
        <v>22093</v>
      </c>
      <c r="L55" s="199">
        <v>37572.980000000003</v>
      </c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-176357</v>
      </c>
      <c r="H56" s="199">
        <v>-413909.87599999999</v>
      </c>
      <c r="I56" s="200">
        <v>-26899</v>
      </c>
      <c r="J56" s="199">
        <v>-63131.953000000001</v>
      </c>
      <c r="K56" s="199">
        <v>68514</v>
      </c>
      <c r="L56" s="199">
        <v>160802.35999999999</v>
      </c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>
        <v>0</v>
      </c>
      <c r="L57" s="199">
        <v>0</v>
      </c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>
        <v>0</v>
      </c>
      <c r="L58" s="199">
        <v>0</v>
      </c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>
        <v>0</v>
      </c>
      <c r="L59" s="199">
        <v>0</v>
      </c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750236</v>
      </c>
      <c r="H60" s="199">
        <v>1519302.92</v>
      </c>
      <c r="I60" s="200">
        <v>0</v>
      </c>
      <c r="J60" s="199">
        <v>0</v>
      </c>
      <c r="K60" s="199">
        <v>0</v>
      </c>
      <c r="L60" s="199">
        <v>0</v>
      </c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-3208577</v>
      </c>
      <c r="H61" s="199">
        <v>-6497689.2800000003</v>
      </c>
      <c r="I61" s="200">
        <v>-252</v>
      </c>
      <c r="J61" s="199">
        <v>-510.33</v>
      </c>
      <c r="K61" s="199">
        <v>-35713</v>
      </c>
      <c r="L61" s="199">
        <v>-73322.399999999994</v>
      </c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>
        <v>0</v>
      </c>
      <c r="L62" s="199">
        <v>0</v>
      </c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4326</v>
      </c>
      <c r="H63" s="199">
        <v>17.010000000000002</v>
      </c>
      <c r="I63" s="200">
        <v>4326</v>
      </c>
      <c r="J63" s="199">
        <v>17.010000000000002</v>
      </c>
      <c r="K63" s="199">
        <v>-4326</v>
      </c>
      <c r="L63" s="199">
        <v>-17.010000000000002</v>
      </c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>
        <v>0</v>
      </c>
      <c r="L64" s="199">
        <v>0</v>
      </c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0">
        <v>-175120</v>
      </c>
      <c r="F65" s="199">
        <v>-411006.64</v>
      </c>
      <c r="G65" s="200">
        <v>285594</v>
      </c>
      <c r="H65" s="199">
        <v>670289.11800000002</v>
      </c>
      <c r="I65" s="200">
        <v>-16964</v>
      </c>
      <c r="J65" s="199">
        <v>-39814.508000000002</v>
      </c>
      <c r="K65" s="199">
        <v>46595</v>
      </c>
      <c r="L65" s="199">
        <v>109358.465</v>
      </c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-42131</v>
      </c>
      <c r="H66" s="199">
        <v>-101281.61</v>
      </c>
      <c r="I66" s="200">
        <v>-42121</v>
      </c>
      <c r="J66" s="199">
        <v>-101258.71</v>
      </c>
      <c r="K66" s="199">
        <v>42131</v>
      </c>
      <c r="L66" s="199">
        <v>101281.61</v>
      </c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>
        <v>-796718</v>
      </c>
      <c r="L67" s="199">
        <v>-23901.54</v>
      </c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>
        <v>0</v>
      </c>
      <c r="L68" s="199">
        <v>0</v>
      </c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0">
        <v>2702272</v>
      </c>
      <c r="F69" s="199">
        <v>38805.339999999997</v>
      </c>
      <c r="G69" s="200">
        <v>447565</v>
      </c>
      <c r="H69" s="199">
        <v>22.77</v>
      </c>
      <c r="I69" s="200">
        <v>-311441</v>
      </c>
      <c r="J69" s="199">
        <v>0</v>
      </c>
      <c r="K69" s="199">
        <v>0</v>
      </c>
      <c r="L69" s="199">
        <v>0</v>
      </c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>
        <v>0</v>
      </c>
      <c r="L70" s="199">
        <v>0</v>
      </c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0">
        <v>-16988349</v>
      </c>
      <c r="F71" s="199">
        <v>-2723749.53</v>
      </c>
      <c r="G71" s="200">
        <v>-7389149</v>
      </c>
      <c r="H71" s="199">
        <v>-215659.62</v>
      </c>
      <c r="I71" s="200">
        <v>278840</v>
      </c>
      <c r="J71" s="199">
        <v>27884</v>
      </c>
      <c r="K71" s="199">
        <v>0</v>
      </c>
      <c r="L71" s="199">
        <v>0</v>
      </c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0">
        <v>16216215</v>
      </c>
      <c r="F72" s="199">
        <v>2084036.52</v>
      </c>
      <c r="G72" s="200">
        <v>7411047</v>
      </c>
      <c r="H72" s="199">
        <v>215372.62</v>
      </c>
      <c r="I72" s="200">
        <v>-278840</v>
      </c>
      <c r="J72" s="199">
        <v>-27883.99</v>
      </c>
      <c r="K72" s="199">
        <v>0</v>
      </c>
      <c r="L72" s="199">
        <v>0</v>
      </c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>
        <v>0</v>
      </c>
      <c r="L73" s="199">
        <v>0</v>
      </c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>
        <v>0</v>
      </c>
      <c r="L74" s="199">
        <v>0</v>
      </c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>
        <v>0</v>
      </c>
      <c r="L75" s="199">
        <v>0</v>
      </c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>
        <v>0</v>
      </c>
      <c r="L76" s="199">
        <v>0</v>
      </c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>
        <v>0</v>
      </c>
      <c r="L77" s="199">
        <v>0</v>
      </c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>
        <v>0</v>
      </c>
      <c r="L78" s="199">
        <v>0</v>
      </c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>
        <v>0</v>
      </c>
      <c r="L79" s="199">
        <v>0</v>
      </c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>
        <v>0</v>
      </c>
      <c r="L80" s="199">
        <v>0</v>
      </c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>
        <v>0</v>
      </c>
      <c r="L81" s="199">
        <v>0</v>
      </c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>
        <v>0</v>
      </c>
      <c r="L82" s="199">
        <v>0</v>
      </c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>
        <v>0</v>
      </c>
      <c r="L83" s="199">
        <v>0</v>
      </c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140</v>
      </c>
      <c r="B84" s="33" t="s">
        <v>206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>
        <v>0</v>
      </c>
      <c r="L84" s="199">
        <v>0</v>
      </c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140</v>
      </c>
      <c r="B85" s="33" t="s">
        <v>206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>
        <v>0</v>
      </c>
      <c r="L85" s="199">
        <v>0</v>
      </c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140</v>
      </c>
      <c r="B86" s="33" t="s">
        <v>206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>
        <v>0</v>
      </c>
      <c r="L86" s="199">
        <v>0</v>
      </c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140</v>
      </c>
      <c r="B87" s="33" t="s">
        <v>206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>
        <v>0</v>
      </c>
      <c r="L87" s="199">
        <v>0</v>
      </c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140</v>
      </c>
      <c r="B88" s="33" t="s">
        <v>206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>
        <v>0</v>
      </c>
      <c r="L88" s="199">
        <v>0</v>
      </c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140</v>
      </c>
      <c r="B89" s="33" t="s">
        <v>206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>
        <v>0</v>
      </c>
      <c r="L89" s="199">
        <v>0</v>
      </c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140</v>
      </c>
      <c r="B90" s="33" t="s">
        <v>206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>
        <v>0</v>
      </c>
      <c r="L90" s="199">
        <v>0</v>
      </c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140</v>
      </c>
      <c r="B91" s="33" t="s">
        <v>206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>
        <v>0</v>
      </c>
      <c r="L91" s="199">
        <v>0</v>
      </c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140</v>
      </c>
      <c r="B92" s="33" t="s">
        <v>206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>
        <v>0</v>
      </c>
      <c r="L92" s="199">
        <v>0</v>
      </c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140</v>
      </c>
      <c r="B93" s="33" t="s">
        <v>206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>
        <v>0</v>
      </c>
      <c r="L93" s="199">
        <v>0</v>
      </c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140</v>
      </c>
      <c r="B94" s="33" t="s">
        <v>206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>
        <v>0</v>
      </c>
      <c r="L94" s="199">
        <v>0</v>
      </c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140</v>
      </c>
      <c r="B95" s="33" t="s">
        <v>206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>
        <v>0</v>
      </c>
      <c r="L95" s="199">
        <v>0</v>
      </c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140</v>
      </c>
      <c r="B96" s="33" t="s">
        <v>206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>
        <v>0</v>
      </c>
      <c r="L96" s="199">
        <v>0</v>
      </c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140</v>
      </c>
      <c r="B97" s="33" t="s">
        <v>206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>
        <v>0</v>
      </c>
      <c r="L97" s="199">
        <v>0</v>
      </c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140</v>
      </c>
      <c r="B98" s="33" t="s">
        <v>206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>
        <v>0</v>
      </c>
      <c r="L98" s="199">
        <v>0</v>
      </c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140</v>
      </c>
      <c r="B99" s="33" t="s">
        <v>206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>
        <v>0</v>
      </c>
      <c r="L99" s="199">
        <v>0</v>
      </c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140</v>
      </c>
      <c r="B100" s="33" t="s">
        <v>206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>
        <v>0</v>
      </c>
      <c r="L100" s="199">
        <v>0</v>
      </c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140</v>
      </c>
      <c r="B101" s="33" t="s">
        <v>206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>
        <v>0</v>
      </c>
      <c r="L101" s="199">
        <v>0</v>
      </c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140</v>
      </c>
      <c r="B102" s="33" t="s">
        <v>206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>
        <v>0</v>
      </c>
      <c r="L102" s="199">
        <v>0</v>
      </c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140</v>
      </c>
      <c r="B103" s="33" t="s">
        <v>206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>
        <v>0</v>
      </c>
      <c r="L103" s="199">
        <v>0</v>
      </c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140</v>
      </c>
      <c r="B104" s="33" t="s">
        <v>206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>
        <v>0</v>
      </c>
      <c r="L104" s="199">
        <v>0</v>
      </c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140</v>
      </c>
      <c r="B105" s="33" t="s">
        <v>206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>
        <v>0</v>
      </c>
      <c r="L105" s="199">
        <v>0</v>
      </c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140</v>
      </c>
      <c r="B106" s="33" t="s">
        <v>206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>
        <v>0</v>
      </c>
      <c r="L106" s="199">
        <v>0</v>
      </c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140</v>
      </c>
      <c r="B107" s="33" t="s">
        <v>206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>
        <v>0</v>
      </c>
      <c r="L107" s="199">
        <v>0</v>
      </c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140</v>
      </c>
      <c r="B108" s="33" t="s">
        <v>206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>
        <v>0</v>
      </c>
      <c r="L108" s="199">
        <v>0</v>
      </c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140</v>
      </c>
      <c r="B109" s="33" t="s">
        <v>206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>
        <v>0</v>
      </c>
      <c r="L109" s="199">
        <v>0</v>
      </c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140</v>
      </c>
      <c r="B110" s="33" t="s">
        <v>206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>
        <v>0</v>
      </c>
      <c r="L110" s="199">
        <v>0</v>
      </c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140</v>
      </c>
      <c r="B111" s="33" t="s">
        <v>206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>
        <v>0</v>
      </c>
      <c r="L111" s="199">
        <v>0</v>
      </c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140</v>
      </c>
      <c r="B112" s="33" t="s">
        <v>206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>
        <v>0</v>
      </c>
      <c r="L112" s="199">
        <v>0</v>
      </c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140</v>
      </c>
      <c r="B113" s="33" t="s">
        <v>206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>
        <v>0</v>
      </c>
      <c r="L113" s="199">
        <v>0</v>
      </c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140</v>
      </c>
      <c r="B114" s="33" t="s">
        <v>206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>
        <v>0</v>
      </c>
      <c r="L114" s="199">
        <v>0</v>
      </c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140</v>
      </c>
      <c r="B115" s="33" t="s">
        <v>206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>
        <v>0</v>
      </c>
      <c r="L115" s="199">
        <v>0</v>
      </c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140</v>
      </c>
      <c r="B116" s="33" t="s">
        <v>206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>
        <v>0</v>
      </c>
      <c r="L116" s="199">
        <v>0</v>
      </c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140</v>
      </c>
      <c r="B117" s="33" t="s">
        <v>206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>
        <v>0</v>
      </c>
      <c r="L117" s="199">
        <v>0</v>
      </c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140</v>
      </c>
      <c r="B118" s="33" t="s">
        <v>206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>
        <v>0</v>
      </c>
      <c r="L118" s="199">
        <v>0</v>
      </c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140</v>
      </c>
      <c r="B119" s="33" t="s">
        <v>206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>
        <v>0</v>
      </c>
      <c r="L119" s="199">
        <v>0</v>
      </c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140</v>
      </c>
      <c r="B120" s="33" t="s">
        <v>206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>
        <v>0</v>
      </c>
      <c r="L120" s="199">
        <v>0</v>
      </c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140</v>
      </c>
      <c r="B121" s="33" t="s">
        <v>206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>
        <v>0</v>
      </c>
      <c r="L121" s="199">
        <v>0</v>
      </c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140</v>
      </c>
      <c r="B122" s="33" t="s">
        <v>206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>
        <v>0</v>
      </c>
      <c r="L122" s="199">
        <v>0</v>
      </c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140</v>
      </c>
      <c r="B123" s="33" t="s">
        <v>206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>
        <v>0</v>
      </c>
      <c r="L123" s="199">
        <v>0</v>
      </c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23096407</v>
      </c>
      <c r="F124" s="199">
        <v>65418776.439999998</v>
      </c>
      <c r="G124" s="200">
        <v>213423</v>
      </c>
      <c r="H124" s="199">
        <v>448095.63</v>
      </c>
      <c r="I124" s="200">
        <v>-7000</v>
      </c>
      <c r="J124" s="199">
        <v>-17304</v>
      </c>
      <c r="K124" s="199">
        <v>2000</v>
      </c>
      <c r="L124" s="199">
        <v>16890.5</v>
      </c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>
        <v>0</v>
      </c>
      <c r="L125" s="199">
        <v>0</v>
      </c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53673045</v>
      </c>
      <c r="F126" s="199">
        <v>204754459</v>
      </c>
      <c r="G126" s="200">
        <v>-38317994</v>
      </c>
      <c r="H126" s="199">
        <v>-161443485</v>
      </c>
      <c r="I126" s="200">
        <v>0</v>
      </c>
      <c r="J126" s="199">
        <v>0</v>
      </c>
      <c r="K126" s="199">
        <v>0</v>
      </c>
      <c r="L126" s="199">
        <v>0</v>
      </c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>
        <v>0</v>
      </c>
      <c r="L127" s="199">
        <v>0</v>
      </c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14447150</v>
      </c>
      <c r="G128" s="200">
        <v>0</v>
      </c>
      <c r="H128" s="199">
        <v>-10449416</v>
      </c>
      <c r="I128" s="200">
        <v>0</v>
      </c>
      <c r="J128" s="199">
        <v>-17523.09</v>
      </c>
      <c r="K128" s="199">
        <v>0</v>
      </c>
      <c r="L128" s="199">
        <v>0</v>
      </c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-6914217</v>
      </c>
      <c r="F129" s="199">
        <v>-18314703.440000001</v>
      </c>
      <c r="G129" s="200">
        <v>-143367</v>
      </c>
      <c r="H129" s="199">
        <v>-748218.44</v>
      </c>
      <c r="I129" s="200">
        <v>2465</v>
      </c>
      <c r="J129" s="199">
        <v>2757.47</v>
      </c>
      <c r="K129" s="199">
        <v>0</v>
      </c>
      <c r="L129" s="199">
        <v>0</v>
      </c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>
        <v>0</v>
      </c>
      <c r="L130" s="199">
        <v>0</v>
      </c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-56862831</v>
      </c>
      <c r="F131" s="199">
        <v>-209309087</v>
      </c>
      <c r="G131" s="200">
        <v>38286561</v>
      </c>
      <c r="H131" s="199">
        <v>161527669</v>
      </c>
      <c r="I131" s="200">
        <v>-24727</v>
      </c>
      <c r="J131" s="199">
        <v>-64116</v>
      </c>
      <c r="K131" s="199">
        <v>303</v>
      </c>
      <c r="L131" s="199">
        <v>761</v>
      </c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>
        <v>0</v>
      </c>
      <c r="L132" s="199">
        <v>0</v>
      </c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>
        <v>0</v>
      </c>
      <c r="L133" s="199">
        <v>0</v>
      </c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>
        <v>0</v>
      </c>
      <c r="L134" s="199">
        <v>0</v>
      </c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>
        <v>0</v>
      </c>
      <c r="L135" s="199">
        <v>0</v>
      </c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>
        <v>0</v>
      </c>
      <c r="L136" s="199">
        <v>0</v>
      </c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>
        <v>0</v>
      </c>
      <c r="L138" s="199">
        <v>0</v>
      </c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>
        <v>0</v>
      </c>
      <c r="L139" s="199">
        <v>0</v>
      </c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>
        <v>0</v>
      </c>
      <c r="L140" s="199">
        <v>0</v>
      </c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-15713032</v>
      </c>
      <c r="F141" s="199">
        <v>-41116357.149999999</v>
      </c>
      <c r="G141" s="200">
        <v>13877</v>
      </c>
      <c r="H141" s="199">
        <v>234820.85</v>
      </c>
      <c r="I141" s="200">
        <v>-1183</v>
      </c>
      <c r="J141" s="199">
        <v>-3266.96</v>
      </c>
      <c r="K141" s="199">
        <v>-1930</v>
      </c>
      <c r="L141" s="199">
        <v>-5280.72</v>
      </c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>
        <v>0</v>
      </c>
      <c r="L142" s="199">
        <v>0</v>
      </c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>
        <v>0</v>
      </c>
      <c r="L143" s="199">
        <v>0</v>
      </c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>
        <v>0</v>
      </c>
      <c r="L144" s="199">
        <v>0</v>
      </c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2720628</v>
      </c>
      <c r="F145" s="199">
        <v>6725392.4160000002</v>
      </c>
      <c r="G145" s="200">
        <v>-52500</v>
      </c>
      <c r="H145" s="199">
        <v>-129780</v>
      </c>
      <c r="I145" s="200">
        <v>30445</v>
      </c>
      <c r="J145" s="199">
        <v>75260.039999999994</v>
      </c>
      <c r="K145" s="199">
        <v>-373</v>
      </c>
      <c r="L145" s="199">
        <v>-922.05600000000004</v>
      </c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>
        <v>732012</v>
      </c>
      <c r="L146" s="199">
        <v>1809533.6640000001</v>
      </c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-29851311</v>
      </c>
      <c r="F147" s="199">
        <v>-1140474.8999999999</v>
      </c>
      <c r="G147" s="200">
        <v>-1649603</v>
      </c>
      <c r="H147" s="199">
        <v>-92298.69</v>
      </c>
      <c r="I147" s="200">
        <v>4524</v>
      </c>
      <c r="J147" s="199">
        <v>5834.12</v>
      </c>
      <c r="K147" s="199">
        <v>-6508</v>
      </c>
      <c r="L147" s="199">
        <v>-412.17</v>
      </c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-10481852.52</v>
      </c>
      <c r="G148" s="200">
        <v>0</v>
      </c>
      <c r="H148" s="199">
        <v>86576.37</v>
      </c>
      <c r="I148" s="200">
        <v>0</v>
      </c>
      <c r="J148" s="199">
        <v>0</v>
      </c>
      <c r="K148" s="199">
        <v>0</v>
      </c>
      <c r="L148" s="199">
        <v>0</v>
      </c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>
        <v>0</v>
      </c>
      <c r="L149" s="199">
        <v>0</v>
      </c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>
        <v>0</v>
      </c>
      <c r="L150" s="199">
        <v>0</v>
      </c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>
        <v>0</v>
      </c>
      <c r="L151" s="199">
        <v>0</v>
      </c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>
        <v>0</v>
      </c>
      <c r="L152" s="199">
        <v>0</v>
      </c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>
        <v>0</v>
      </c>
      <c r="L153" s="199">
        <v>0</v>
      </c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>
        <v>0</v>
      </c>
      <c r="L154" s="199">
        <v>0</v>
      </c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>
        <v>0</v>
      </c>
      <c r="L155" s="199">
        <v>0</v>
      </c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>
        <v>0</v>
      </c>
      <c r="L156" s="199">
        <v>0</v>
      </c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>
        <v>0</v>
      </c>
      <c r="L157" s="199">
        <v>0</v>
      </c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>
        <v>0</v>
      </c>
      <c r="L158" s="199">
        <v>0</v>
      </c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>
        <v>0</v>
      </c>
      <c r="L159" s="199">
        <v>0</v>
      </c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>
        <v>0</v>
      </c>
      <c r="L160" s="199">
        <v>0</v>
      </c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>
        <v>0</v>
      </c>
      <c r="L161" s="199">
        <v>0</v>
      </c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>
        <v>0</v>
      </c>
      <c r="L162" s="199">
        <v>0</v>
      </c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>
        <v>0</v>
      </c>
      <c r="L163" s="199">
        <v>0</v>
      </c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86078748</v>
      </c>
      <c r="F164" s="199">
        <v>202360835.04000002</v>
      </c>
      <c r="G164" s="200">
        <v>673291</v>
      </c>
      <c r="H164" s="199">
        <v>-233132.46</v>
      </c>
      <c r="I164" s="200">
        <v>-472241</v>
      </c>
      <c r="J164" s="199">
        <v>-1045546.73</v>
      </c>
      <c r="K164" s="199">
        <v>0</v>
      </c>
      <c r="L164" s="199">
        <v>-15522.9</v>
      </c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>
        <v>0</v>
      </c>
      <c r="L165" s="199">
        <v>0</v>
      </c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41011971</v>
      </c>
      <c r="F166" s="199">
        <v>97311530</v>
      </c>
      <c r="G166" s="200">
        <v>-21241576</v>
      </c>
      <c r="H166" s="199">
        <v>-50373718</v>
      </c>
      <c r="I166" s="200">
        <v>-39502</v>
      </c>
      <c r="J166" s="199">
        <v>-86115</v>
      </c>
      <c r="K166" s="199">
        <v>-3018</v>
      </c>
      <c r="L166" s="199">
        <v>-6797</v>
      </c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>
        <v>0</v>
      </c>
      <c r="L167" s="199">
        <v>0</v>
      </c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3301469.18</v>
      </c>
      <c r="G168" s="200">
        <v>0</v>
      </c>
      <c r="H168" s="199">
        <v>-351055</v>
      </c>
      <c r="I168" s="200">
        <v>0</v>
      </c>
      <c r="J168" s="199">
        <v>1711</v>
      </c>
      <c r="K168" s="199">
        <v>0</v>
      </c>
      <c r="L168" s="199">
        <v>0</v>
      </c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-95111952</v>
      </c>
      <c r="F169" s="199">
        <v>-225959083.73999998</v>
      </c>
      <c r="G169" s="200">
        <v>-7081861</v>
      </c>
      <c r="H169" s="199">
        <v>-15854578.98</v>
      </c>
      <c r="I169" s="200">
        <v>7139069</v>
      </c>
      <c r="J169" s="199">
        <v>16453478.619999999</v>
      </c>
      <c r="K169" s="199">
        <v>-1177405</v>
      </c>
      <c r="L169" s="199">
        <v>-2634301.37</v>
      </c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>
        <v>0</v>
      </c>
      <c r="L170" s="199">
        <v>0</v>
      </c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-32019356</v>
      </c>
      <c r="F171" s="199">
        <v>-76398505</v>
      </c>
      <c r="G171" s="200">
        <v>20524645</v>
      </c>
      <c r="H171" s="199">
        <v>49151111</v>
      </c>
      <c r="I171" s="200">
        <v>20324</v>
      </c>
      <c r="J171" s="199">
        <v>49834</v>
      </c>
      <c r="K171" s="199">
        <v>3997</v>
      </c>
      <c r="L171" s="199">
        <v>8698</v>
      </c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>
        <v>0</v>
      </c>
      <c r="L172" s="199">
        <v>0</v>
      </c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808041</v>
      </c>
      <c r="F173" s="199">
        <v>1876271.202</v>
      </c>
      <c r="G173" s="200">
        <v>3138</v>
      </c>
      <c r="H173" s="199">
        <v>7286.4359999999997</v>
      </c>
      <c r="I173" s="200">
        <v>361</v>
      </c>
      <c r="J173" s="199">
        <v>838.24199999999996</v>
      </c>
      <c r="K173" s="199">
        <v>0</v>
      </c>
      <c r="L173" s="199">
        <v>0</v>
      </c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156898</v>
      </c>
      <c r="F174" s="199">
        <v>360096.24</v>
      </c>
      <c r="G174" s="200">
        <v>0</v>
      </c>
      <c r="H174" s="199">
        <v>0</v>
      </c>
      <c r="I174" s="200">
        <v>0</v>
      </c>
      <c r="J174" s="199">
        <v>0</v>
      </c>
      <c r="K174" s="199">
        <v>0</v>
      </c>
      <c r="L174" s="199">
        <v>0</v>
      </c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-108664</v>
      </c>
      <c r="F175" s="199">
        <v>-275999.67</v>
      </c>
      <c r="G175" s="200">
        <v>0</v>
      </c>
      <c r="H175" s="199">
        <v>0</v>
      </c>
      <c r="I175" s="200">
        <v>0</v>
      </c>
      <c r="J175" s="199">
        <v>0</v>
      </c>
      <c r="K175" s="199">
        <v>0</v>
      </c>
      <c r="L175" s="199">
        <v>0</v>
      </c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2513996</v>
      </c>
      <c r="F176" s="199">
        <v>5837498.7120000003</v>
      </c>
      <c r="G176" s="200">
        <v>-2793778</v>
      </c>
      <c r="H176" s="199">
        <v>-6487152.5159999998</v>
      </c>
      <c r="I176" s="200">
        <v>-19251</v>
      </c>
      <c r="J176" s="199">
        <v>-44700.822</v>
      </c>
      <c r="K176" s="199">
        <v>55135</v>
      </c>
      <c r="L176" s="199">
        <v>128023.47</v>
      </c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-69488</v>
      </c>
      <c r="H177" s="199">
        <v>-167230.47</v>
      </c>
      <c r="I177" s="200">
        <v>-13756</v>
      </c>
      <c r="J177" s="199">
        <v>-34162.620000000003</v>
      </c>
      <c r="K177" s="199">
        <v>-300</v>
      </c>
      <c r="L177" s="199">
        <v>-692.73</v>
      </c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29637</v>
      </c>
      <c r="H178" s="199">
        <v>73280.08</v>
      </c>
      <c r="I178" s="200">
        <v>30898</v>
      </c>
      <c r="J178" s="199">
        <v>61726.91</v>
      </c>
      <c r="K178" s="199">
        <v>0</v>
      </c>
      <c r="L178" s="199">
        <v>0</v>
      </c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4906</v>
      </c>
      <c r="F180" s="199">
        <v>11391.73</v>
      </c>
      <c r="G180" s="200">
        <v>516982</v>
      </c>
      <c r="H180" s="199">
        <v>1200432.2</v>
      </c>
      <c r="I180" s="200">
        <v>0</v>
      </c>
      <c r="J180" s="199">
        <v>0</v>
      </c>
      <c r="K180" s="199">
        <v>0</v>
      </c>
      <c r="L180" s="199">
        <v>0</v>
      </c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-461755</v>
      </c>
      <c r="F181" s="199">
        <v>-942186.99</v>
      </c>
      <c r="G181" s="200">
        <v>-181659</v>
      </c>
      <c r="H181" s="199">
        <v>-455933.31</v>
      </c>
      <c r="I181" s="200">
        <v>-1712</v>
      </c>
      <c r="J181" s="199">
        <v>-3601.92</v>
      </c>
      <c r="K181" s="199">
        <v>0</v>
      </c>
      <c r="L181" s="199">
        <v>0</v>
      </c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>
        <v>0</v>
      </c>
      <c r="L182" s="199">
        <v>0</v>
      </c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>
        <v>0</v>
      </c>
      <c r="L183" s="199">
        <v>0</v>
      </c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>
        <v>0</v>
      </c>
      <c r="L184" s="199">
        <v>0</v>
      </c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-2872833</v>
      </c>
      <c r="F185" s="199">
        <v>-6670718.2259999998</v>
      </c>
      <c r="G185" s="200">
        <v>9620669</v>
      </c>
      <c r="H185" s="199">
        <v>22339193.417999998</v>
      </c>
      <c r="I185" s="200">
        <v>-6644190</v>
      </c>
      <c r="J185" s="199">
        <v>-15427809.18</v>
      </c>
      <c r="K185" s="199">
        <v>1121591</v>
      </c>
      <c r="L185" s="199">
        <v>2604334.3020000001</v>
      </c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-808041</v>
      </c>
      <c r="F186" s="199">
        <v>-1876271.202</v>
      </c>
      <c r="G186" s="200">
        <v>-3138</v>
      </c>
      <c r="H186" s="199">
        <v>-7286.4359999999997</v>
      </c>
      <c r="I186" s="200">
        <v>-361</v>
      </c>
      <c r="J186" s="199">
        <v>-838.24199999999996</v>
      </c>
      <c r="K186" s="199">
        <v>0</v>
      </c>
      <c r="L186" s="199">
        <v>0</v>
      </c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-61042926</v>
      </c>
      <c r="F187" s="199">
        <v>68650.179999999993</v>
      </c>
      <c r="G187" s="200">
        <v>1001693</v>
      </c>
      <c r="H187" s="199">
        <v>-393789</v>
      </c>
      <c r="I187" s="200">
        <v>-12780</v>
      </c>
      <c r="J187" s="199">
        <v>-229969.01</v>
      </c>
      <c r="K187" s="199">
        <v>-2423437</v>
      </c>
      <c r="L187" s="199">
        <v>16716.75</v>
      </c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-2620911.2200000002</v>
      </c>
      <c r="G188" s="200">
        <v>0</v>
      </c>
      <c r="H188" s="199">
        <v>-91043.31</v>
      </c>
      <c r="I188" s="200">
        <v>0</v>
      </c>
      <c r="J188" s="199">
        <v>-76293</v>
      </c>
      <c r="K188" s="199">
        <v>0</v>
      </c>
      <c r="L188" s="199">
        <v>546707.73</v>
      </c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>
        <v>0</v>
      </c>
      <c r="L189" s="199">
        <v>0</v>
      </c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>
        <v>0</v>
      </c>
      <c r="L190" s="199">
        <v>0</v>
      </c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>
        <v>0</v>
      </c>
      <c r="L191" s="199">
        <v>0</v>
      </c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>
        <v>0</v>
      </c>
      <c r="L192" s="199">
        <v>0</v>
      </c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>
        <v>0</v>
      </c>
      <c r="L193" s="199">
        <v>0</v>
      </c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>
        <v>0</v>
      </c>
      <c r="L194" s="199">
        <v>0</v>
      </c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>
        <v>0</v>
      </c>
      <c r="L195" s="199">
        <v>0</v>
      </c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>
        <v>0</v>
      </c>
      <c r="L196" s="199">
        <v>0</v>
      </c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>
        <v>0</v>
      </c>
      <c r="L197" s="199">
        <v>0</v>
      </c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-13639.36</v>
      </c>
      <c r="G198" s="200">
        <v>0</v>
      </c>
      <c r="H198" s="199">
        <v>1175.7</v>
      </c>
      <c r="I198" s="200">
        <v>0</v>
      </c>
      <c r="J198" s="199">
        <v>0</v>
      </c>
      <c r="K198" s="199">
        <v>0</v>
      </c>
      <c r="L198" s="199">
        <v>0</v>
      </c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>
        <v>0</v>
      </c>
      <c r="L199" s="199">
        <v>0</v>
      </c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>
        <v>0</v>
      </c>
      <c r="L200" s="199">
        <v>0</v>
      </c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>
        <v>0</v>
      </c>
      <c r="L201" s="199">
        <v>0</v>
      </c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>
        <v>0</v>
      </c>
      <c r="L202" s="199">
        <v>0</v>
      </c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>
        <v>0</v>
      </c>
      <c r="L203" s="199">
        <v>0</v>
      </c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140</v>
      </c>
      <c r="B204" s="33" t="s">
        <v>202</v>
      </c>
      <c r="C204" s="33">
        <v>1</v>
      </c>
      <c r="D204" s="33" t="s">
        <v>25</v>
      </c>
      <c r="E204" s="200">
        <v>4255797</v>
      </c>
      <c r="F204" s="199">
        <v>9230933.0700000003</v>
      </c>
      <c r="G204" s="200">
        <v>-800585</v>
      </c>
      <c r="H204" s="199">
        <v>-1724157.76</v>
      </c>
      <c r="I204" s="200">
        <v>654073</v>
      </c>
      <c r="J204" s="199">
        <v>1426449.98</v>
      </c>
      <c r="K204" s="199">
        <v>0</v>
      </c>
      <c r="L204" s="199">
        <v>0</v>
      </c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140</v>
      </c>
      <c r="B205" s="33" t="s">
        <v>202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>
        <v>0</v>
      </c>
      <c r="L205" s="199">
        <v>0</v>
      </c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140</v>
      </c>
      <c r="B206" s="33" t="s">
        <v>202</v>
      </c>
      <c r="C206" s="33">
        <v>3</v>
      </c>
      <c r="D206" s="33" t="s">
        <v>27</v>
      </c>
      <c r="E206" s="200">
        <v>4105116</v>
      </c>
      <c r="F206" s="199">
        <v>9214231</v>
      </c>
      <c r="G206" s="200">
        <v>-3750647</v>
      </c>
      <c r="H206" s="199">
        <v>-8395295</v>
      </c>
      <c r="I206" s="200">
        <v>0</v>
      </c>
      <c r="J206" s="199">
        <v>0</v>
      </c>
      <c r="K206" s="199">
        <v>0</v>
      </c>
      <c r="L206" s="199">
        <v>0</v>
      </c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140</v>
      </c>
      <c r="B207" s="33" t="s">
        <v>202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>
        <v>0</v>
      </c>
      <c r="L207" s="199">
        <v>0</v>
      </c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140</v>
      </c>
      <c r="B208" s="33" t="s">
        <v>202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>
        <v>0</v>
      </c>
      <c r="J208" s="199">
        <v>0</v>
      </c>
      <c r="K208" s="199">
        <v>0</v>
      </c>
      <c r="L208" s="199">
        <v>0</v>
      </c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140</v>
      </c>
      <c r="B209" s="33" t="s">
        <v>202</v>
      </c>
      <c r="C209" s="33">
        <v>6</v>
      </c>
      <c r="D209" s="33" t="s">
        <v>25</v>
      </c>
      <c r="E209" s="200">
        <v>-5156799</v>
      </c>
      <c r="F209" s="199">
        <v>-11003538.18</v>
      </c>
      <c r="G209" s="200">
        <v>1015831</v>
      </c>
      <c r="H209" s="199">
        <v>2401256.29</v>
      </c>
      <c r="I209" s="200">
        <v>-739759</v>
      </c>
      <c r="J209" s="199">
        <v>-1586091.69</v>
      </c>
      <c r="K209" s="199">
        <v>0</v>
      </c>
      <c r="L209" s="199">
        <v>0</v>
      </c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140</v>
      </c>
      <c r="B210" s="33" t="s">
        <v>202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>
        <v>0</v>
      </c>
      <c r="L210" s="199">
        <v>0</v>
      </c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140</v>
      </c>
      <c r="B211" s="33" t="s">
        <v>202</v>
      </c>
      <c r="C211" s="33">
        <v>8</v>
      </c>
      <c r="D211" s="33" t="s">
        <v>27</v>
      </c>
      <c r="E211" s="200">
        <v>-3759464</v>
      </c>
      <c r="F211" s="199">
        <v>-8415663</v>
      </c>
      <c r="G211" s="200">
        <v>3759371</v>
      </c>
      <c r="H211" s="199">
        <v>8415444</v>
      </c>
      <c r="I211" s="200">
        <v>0</v>
      </c>
      <c r="J211" s="199">
        <v>0</v>
      </c>
      <c r="K211" s="199">
        <v>0</v>
      </c>
      <c r="L211" s="199">
        <v>0</v>
      </c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140</v>
      </c>
      <c r="B212" s="33" t="s">
        <v>202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>
        <v>0</v>
      </c>
      <c r="L212" s="199">
        <v>0</v>
      </c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140</v>
      </c>
      <c r="B213" s="33" t="s">
        <v>202</v>
      </c>
      <c r="C213" s="33">
        <v>10</v>
      </c>
      <c r="D213" s="33" t="s">
        <v>32</v>
      </c>
      <c r="E213" s="200">
        <v>2687</v>
      </c>
      <c r="F213" s="199">
        <v>5798.5460000000003</v>
      </c>
      <c r="G213" s="200">
        <v>0</v>
      </c>
      <c r="H213" s="199">
        <v>0</v>
      </c>
      <c r="I213" s="200">
        <v>0</v>
      </c>
      <c r="J213" s="199">
        <v>0</v>
      </c>
      <c r="K213" s="199">
        <v>0</v>
      </c>
      <c r="L213" s="199">
        <v>0</v>
      </c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140</v>
      </c>
      <c r="B214" s="33" t="s">
        <v>202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>
        <v>0</v>
      </c>
      <c r="L214" s="199">
        <v>0</v>
      </c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140</v>
      </c>
      <c r="B215" s="33" t="s">
        <v>202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>
        <v>0</v>
      </c>
      <c r="L215" s="199">
        <v>0</v>
      </c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140</v>
      </c>
      <c r="B216" s="33" t="s">
        <v>202</v>
      </c>
      <c r="C216" s="33">
        <v>13</v>
      </c>
      <c r="D216" s="33" t="s">
        <v>39</v>
      </c>
      <c r="E216" s="200">
        <v>69347</v>
      </c>
      <c r="F216" s="199">
        <v>171425.78400000001</v>
      </c>
      <c r="G216" s="200">
        <v>-72528</v>
      </c>
      <c r="H216" s="199">
        <v>-156515.424</v>
      </c>
      <c r="I216" s="200">
        <v>0</v>
      </c>
      <c r="J216" s="199">
        <v>0</v>
      </c>
      <c r="K216" s="199">
        <v>0</v>
      </c>
      <c r="L216" s="199">
        <v>0</v>
      </c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140</v>
      </c>
      <c r="B217" s="33" t="s">
        <v>202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>
        <v>0</v>
      </c>
      <c r="L217" s="199">
        <v>0</v>
      </c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140</v>
      </c>
      <c r="B218" s="33" t="s">
        <v>202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>
        <v>0</v>
      </c>
      <c r="L218" s="199">
        <v>0</v>
      </c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140</v>
      </c>
      <c r="B219" s="33" t="s">
        <v>202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>
        <v>0</v>
      </c>
      <c r="L219" s="199">
        <v>0</v>
      </c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140</v>
      </c>
      <c r="B220" s="33" t="s">
        <v>202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>
        <v>0</v>
      </c>
      <c r="L220" s="199">
        <v>0</v>
      </c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140</v>
      </c>
      <c r="B221" s="33" t="s">
        <v>202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>
        <v>0</v>
      </c>
      <c r="L221" s="199">
        <v>0</v>
      </c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140</v>
      </c>
      <c r="B222" s="33" t="s">
        <v>202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>
        <v>0</v>
      </c>
      <c r="L222" s="199">
        <v>0</v>
      </c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140</v>
      </c>
      <c r="B223" s="33" t="s">
        <v>202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>
        <v>0</v>
      </c>
      <c r="L223" s="199">
        <v>0</v>
      </c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140</v>
      </c>
      <c r="B224" s="33" t="s">
        <v>202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>
        <v>0</v>
      </c>
      <c r="L224" s="199">
        <v>0</v>
      </c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140</v>
      </c>
      <c r="B225" s="33" t="s">
        <v>202</v>
      </c>
      <c r="C225" s="33">
        <v>22</v>
      </c>
      <c r="D225" s="33" t="s">
        <v>130</v>
      </c>
      <c r="E225" s="200">
        <v>483316</v>
      </c>
      <c r="F225" s="199">
        <v>1042995.928</v>
      </c>
      <c r="G225" s="200">
        <v>-151442</v>
      </c>
      <c r="H225" s="199">
        <v>-326811.83600000001</v>
      </c>
      <c r="I225" s="200">
        <v>85686</v>
      </c>
      <c r="J225" s="199">
        <v>184910.38800000001</v>
      </c>
      <c r="K225" s="199">
        <v>0</v>
      </c>
      <c r="L225" s="199">
        <v>0</v>
      </c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140</v>
      </c>
      <c r="B226" s="33" t="s">
        <v>202</v>
      </c>
      <c r="C226" s="33">
        <v>23</v>
      </c>
      <c r="D226" s="33" t="s">
        <v>131</v>
      </c>
      <c r="E226" s="200">
        <v>-2687</v>
      </c>
      <c r="F226" s="199">
        <v>-5798.5460000000003</v>
      </c>
      <c r="G226" s="200">
        <v>0</v>
      </c>
      <c r="H226" s="199">
        <v>0</v>
      </c>
      <c r="I226" s="200">
        <v>0</v>
      </c>
      <c r="J226" s="199">
        <v>0</v>
      </c>
      <c r="K226" s="199">
        <v>0</v>
      </c>
      <c r="L226" s="199">
        <v>0</v>
      </c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140</v>
      </c>
      <c r="B227" s="33" t="s">
        <v>202</v>
      </c>
      <c r="C227" s="33">
        <v>24</v>
      </c>
      <c r="D227" s="33" t="s">
        <v>55</v>
      </c>
      <c r="E227" s="200">
        <v>-7210765</v>
      </c>
      <c r="F227" s="199">
        <v>-87576.6</v>
      </c>
      <c r="G227" s="200">
        <v>1817205</v>
      </c>
      <c r="H227" s="199">
        <v>-39282.769999999997</v>
      </c>
      <c r="I227" s="200">
        <v>-2182684</v>
      </c>
      <c r="J227" s="199">
        <v>0</v>
      </c>
      <c r="K227" s="199">
        <v>72746</v>
      </c>
      <c r="L227" s="199">
        <v>18356.28</v>
      </c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140</v>
      </c>
      <c r="B228" s="33" t="s">
        <v>202</v>
      </c>
      <c r="C228" s="33">
        <v>25</v>
      </c>
      <c r="D228" s="33" t="s">
        <v>56</v>
      </c>
      <c r="E228" s="200">
        <v>0</v>
      </c>
      <c r="F228" s="199">
        <v>-718092.03</v>
      </c>
      <c r="G228" s="200">
        <v>0</v>
      </c>
      <c r="H228" s="199">
        <v>16113.92</v>
      </c>
      <c r="I228" s="200">
        <v>0</v>
      </c>
      <c r="J228" s="199">
        <v>0</v>
      </c>
      <c r="K228" s="199">
        <v>0</v>
      </c>
      <c r="L228" s="199">
        <v>0</v>
      </c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140</v>
      </c>
      <c r="B229" s="33" t="s">
        <v>202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>
        <v>0</v>
      </c>
      <c r="L229" s="199">
        <v>0</v>
      </c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140</v>
      </c>
      <c r="B230" s="33" t="s">
        <v>202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>
        <v>0</v>
      </c>
      <c r="L230" s="199">
        <v>0</v>
      </c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140</v>
      </c>
      <c r="B231" s="33" t="s">
        <v>202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>
        <v>0</v>
      </c>
      <c r="L231" s="199">
        <v>0</v>
      </c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140</v>
      </c>
      <c r="B232" s="33" t="s">
        <v>202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>
        <v>0</v>
      </c>
      <c r="L232" s="199">
        <v>0</v>
      </c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140</v>
      </c>
      <c r="B233" s="33" t="s">
        <v>202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>
        <v>0</v>
      </c>
      <c r="L233" s="199">
        <v>0</v>
      </c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140</v>
      </c>
      <c r="B234" s="33" t="s">
        <v>202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>
        <v>0</v>
      </c>
      <c r="L234" s="199">
        <v>0</v>
      </c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140</v>
      </c>
      <c r="B235" s="33" t="s">
        <v>202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>
        <v>0</v>
      </c>
      <c r="L235" s="199">
        <v>0</v>
      </c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140</v>
      </c>
      <c r="B236" s="33" t="s">
        <v>202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>
        <v>0</v>
      </c>
      <c r="L236" s="199">
        <v>0</v>
      </c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140</v>
      </c>
      <c r="B237" s="33" t="s">
        <v>202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>
        <v>0</v>
      </c>
      <c r="L237" s="199">
        <v>0</v>
      </c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140</v>
      </c>
      <c r="B238" s="33" t="s">
        <v>202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>
        <v>0</v>
      </c>
      <c r="L238" s="199">
        <v>0</v>
      </c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140</v>
      </c>
      <c r="B239" s="33" t="s">
        <v>202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>
        <v>0</v>
      </c>
      <c r="L239" s="199">
        <v>0</v>
      </c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140</v>
      </c>
      <c r="B240" s="33" t="s">
        <v>202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>
        <v>0</v>
      </c>
      <c r="L240" s="199">
        <v>0</v>
      </c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140</v>
      </c>
      <c r="B241" s="33" t="s">
        <v>202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>
        <v>0</v>
      </c>
      <c r="L241" s="199">
        <v>0</v>
      </c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140</v>
      </c>
      <c r="B242" s="33" t="s">
        <v>202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>
        <v>0</v>
      </c>
      <c r="L242" s="199">
        <v>0</v>
      </c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140</v>
      </c>
      <c r="B243" s="33" t="s">
        <v>202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>
        <v>0</v>
      </c>
      <c r="L243" s="199">
        <v>0</v>
      </c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189746325</v>
      </c>
      <c r="F244" s="199">
        <v>467815212.26999998</v>
      </c>
      <c r="G244" s="200">
        <v>7253637</v>
      </c>
      <c r="H244" s="199">
        <v>21651971.629999999</v>
      </c>
      <c r="I244" s="200">
        <v>-5507898</v>
      </c>
      <c r="J244" s="199">
        <v>-12207516.93</v>
      </c>
      <c r="K244" s="199">
        <v>1559053</v>
      </c>
      <c r="L244" s="199">
        <v>3967928.63</v>
      </c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>
        <v>0</v>
      </c>
      <c r="L245" s="199">
        <v>0</v>
      </c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71628606</v>
      </c>
      <c r="F246" s="199">
        <v>185895133</v>
      </c>
      <c r="G246" s="200">
        <v>-51333347</v>
      </c>
      <c r="H246" s="199">
        <v>-133933759</v>
      </c>
      <c r="I246" s="200">
        <v>4403</v>
      </c>
      <c r="J246" s="199">
        <v>14283</v>
      </c>
      <c r="K246" s="199">
        <v>-4300</v>
      </c>
      <c r="L246" s="199">
        <v>-9459</v>
      </c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>
        <v>0</v>
      </c>
      <c r="L247" s="199">
        <v>0</v>
      </c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14932935.800000001</v>
      </c>
      <c r="G248" s="200">
        <v>0</v>
      </c>
      <c r="H248" s="199">
        <v>254808.88</v>
      </c>
      <c r="I248" s="200">
        <v>0</v>
      </c>
      <c r="J248" s="199">
        <v>1901257.24</v>
      </c>
      <c r="K248" s="199">
        <v>0</v>
      </c>
      <c r="L248" s="199">
        <v>-29307.66</v>
      </c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-187210283</v>
      </c>
      <c r="F249" s="199">
        <v>-450026772.61000001</v>
      </c>
      <c r="G249" s="200">
        <v>-2313451</v>
      </c>
      <c r="H249" s="199">
        <v>-5902770.2499999991</v>
      </c>
      <c r="I249" s="200">
        <v>1907676</v>
      </c>
      <c r="J249" s="199">
        <v>3057392.04</v>
      </c>
      <c r="K249" s="199">
        <v>-1272513</v>
      </c>
      <c r="L249" s="199">
        <v>3507897.39</v>
      </c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>
        <v>0</v>
      </c>
      <c r="L250" s="199">
        <v>0</v>
      </c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-71003668</v>
      </c>
      <c r="F251" s="199">
        <v>-187641099</v>
      </c>
      <c r="G251" s="200">
        <v>51204961</v>
      </c>
      <c r="H251" s="199">
        <v>133403760</v>
      </c>
      <c r="I251" s="200">
        <v>39502</v>
      </c>
      <c r="J251" s="199">
        <v>86114</v>
      </c>
      <c r="K251" s="199">
        <v>2473</v>
      </c>
      <c r="L251" s="199">
        <v>3233</v>
      </c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>
        <v>0</v>
      </c>
      <c r="L252" s="199">
        <v>0</v>
      </c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1597692</v>
      </c>
      <c r="F253" s="199">
        <v>3749783.1239999998</v>
      </c>
      <c r="G253" s="200">
        <v>80718</v>
      </c>
      <c r="H253" s="199">
        <v>189445.14600000001</v>
      </c>
      <c r="I253" s="200">
        <v>-28325</v>
      </c>
      <c r="J253" s="199">
        <v>-66478.774999999994</v>
      </c>
      <c r="K253" s="199">
        <v>-211467</v>
      </c>
      <c r="L253" s="199">
        <v>-587814.549</v>
      </c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11333350</v>
      </c>
      <c r="F254" s="199">
        <v>27144101</v>
      </c>
      <c r="G254" s="200">
        <v>0</v>
      </c>
      <c r="H254" s="199">
        <v>111625.23</v>
      </c>
      <c r="I254" s="200">
        <v>3876</v>
      </c>
      <c r="J254" s="199">
        <v>21007.93</v>
      </c>
      <c r="K254" s="199">
        <v>0</v>
      </c>
      <c r="L254" s="199">
        <v>0</v>
      </c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-7755552</v>
      </c>
      <c r="F255" s="199">
        <v>-19018931.719999999</v>
      </c>
      <c r="G255" s="200">
        <v>-196782</v>
      </c>
      <c r="H255" s="199">
        <v>-462998.91</v>
      </c>
      <c r="I255" s="200">
        <v>-1</v>
      </c>
      <c r="J255" s="199">
        <v>1229.71</v>
      </c>
      <c r="K255" s="199">
        <v>0</v>
      </c>
      <c r="L255" s="199">
        <v>0</v>
      </c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-947426</v>
      </c>
      <c r="F256" s="199">
        <v>-2223608.8220000002</v>
      </c>
      <c r="G256" s="200">
        <v>1573714</v>
      </c>
      <c r="H256" s="199">
        <v>3693506.7579999999</v>
      </c>
      <c r="I256" s="200">
        <v>-3912142</v>
      </c>
      <c r="J256" s="199">
        <v>-9181797.2740000002</v>
      </c>
      <c r="K256" s="199">
        <v>1559653</v>
      </c>
      <c r="L256" s="199">
        <v>3660505.591</v>
      </c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-554147</v>
      </c>
      <c r="H257" s="199">
        <v>-1606345.77</v>
      </c>
      <c r="I257" s="200">
        <v>-2315616</v>
      </c>
      <c r="J257" s="199">
        <v>-5865.47</v>
      </c>
      <c r="K257" s="199">
        <v>-236259</v>
      </c>
      <c r="L257" s="199">
        <v>-595026.32999999996</v>
      </c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45566</v>
      </c>
      <c r="H258" s="199">
        <v>159040.41</v>
      </c>
      <c r="I258" s="200">
        <v>2392518</v>
      </c>
      <c r="J258" s="199">
        <v>151691.6</v>
      </c>
      <c r="K258" s="199">
        <v>95225</v>
      </c>
      <c r="L258" s="199">
        <v>729145.83</v>
      </c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-730000</v>
      </c>
      <c r="J259" s="199">
        <v>-0.01</v>
      </c>
      <c r="K259" s="199">
        <v>0</v>
      </c>
      <c r="L259" s="199">
        <v>0</v>
      </c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4</v>
      </c>
      <c r="F260" s="199">
        <v>9.39</v>
      </c>
      <c r="G260" s="200">
        <v>20073</v>
      </c>
      <c r="H260" s="199">
        <v>47111.33</v>
      </c>
      <c r="I260" s="200">
        <v>-20081</v>
      </c>
      <c r="J260" s="199">
        <v>-47130.12</v>
      </c>
      <c r="K260" s="199">
        <v>0</v>
      </c>
      <c r="L260" s="199">
        <v>0</v>
      </c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-3453689</v>
      </c>
      <c r="F261" s="199">
        <v>-8713594.5299999993</v>
      </c>
      <c r="G261" s="200">
        <v>90257</v>
      </c>
      <c r="H261" s="199">
        <v>226424.36</v>
      </c>
      <c r="I261" s="200">
        <v>-472988</v>
      </c>
      <c r="J261" s="199">
        <v>-761114.41</v>
      </c>
      <c r="K261" s="199">
        <v>-268386</v>
      </c>
      <c r="L261" s="199">
        <v>-682045.15</v>
      </c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>
        <v>0</v>
      </c>
      <c r="L262" s="199">
        <v>0</v>
      </c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>
        <v>0</v>
      </c>
      <c r="L263" s="199">
        <v>0</v>
      </c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>
        <v>0</v>
      </c>
      <c r="L264" s="199">
        <v>0</v>
      </c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-3935359</v>
      </c>
      <c r="F265" s="199">
        <v>-9236287.5730000008</v>
      </c>
      <c r="G265" s="200">
        <v>-5871199</v>
      </c>
      <c r="H265" s="199">
        <v>-13779704.052999998</v>
      </c>
      <c r="I265" s="200">
        <v>8639076</v>
      </c>
      <c r="J265" s="199">
        <v>20275911.372000001</v>
      </c>
      <c r="K265" s="199">
        <v>-1223479</v>
      </c>
      <c r="L265" s="199">
        <v>-2871505.213</v>
      </c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-1597692</v>
      </c>
      <c r="F266" s="199">
        <v>-3749783.1239999998</v>
      </c>
      <c r="G266" s="200">
        <v>-80718</v>
      </c>
      <c r="H266" s="199">
        <v>-189445.14600000001</v>
      </c>
      <c r="I266" s="200">
        <v>28325</v>
      </c>
      <c r="J266" s="199">
        <v>66478.774999999994</v>
      </c>
      <c r="K266" s="199">
        <v>-520545</v>
      </c>
      <c r="L266" s="199">
        <v>-1221719.115</v>
      </c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-157687723</v>
      </c>
      <c r="F267" s="199">
        <v>-2362930</v>
      </c>
      <c r="G267" s="200">
        <v>28139750</v>
      </c>
      <c r="H267" s="199">
        <v>1049202.02</v>
      </c>
      <c r="I267" s="200">
        <v>-1173052</v>
      </c>
      <c r="J267" s="199">
        <v>-1656853.35</v>
      </c>
      <c r="K267" s="199">
        <v>-1059727</v>
      </c>
      <c r="L267" s="199">
        <v>-56713.25</v>
      </c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-6131068.8900000006</v>
      </c>
      <c r="G268" s="200">
        <v>0</v>
      </c>
      <c r="H268" s="199">
        <v>-608301.96</v>
      </c>
      <c r="I268" s="200">
        <v>0</v>
      </c>
      <c r="J268" s="199">
        <v>-265948.82</v>
      </c>
      <c r="K268" s="199">
        <v>0</v>
      </c>
      <c r="L268" s="199">
        <v>5495.45</v>
      </c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66216</v>
      </c>
      <c r="G269" s="200">
        <v>0</v>
      </c>
      <c r="H269" s="199">
        <v>-19359.169999999998</v>
      </c>
      <c r="I269" s="200">
        <v>0</v>
      </c>
      <c r="J269" s="199">
        <v>18325.72</v>
      </c>
      <c r="K269" s="199">
        <v>0</v>
      </c>
      <c r="L269" s="199">
        <v>0</v>
      </c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>
        <v>0</v>
      </c>
      <c r="L270" s="199">
        <v>0</v>
      </c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>
        <v>0</v>
      </c>
      <c r="L271" s="199">
        <v>0</v>
      </c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>
        <v>0</v>
      </c>
      <c r="L272" s="199">
        <v>0</v>
      </c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>
        <v>0</v>
      </c>
      <c r="L273" s="199">
        <v>0</v>
      </c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>
        <v>0</v>
      </c>
      <c r="L274" s="199">
        <v>0</v>
      </c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>
        <v>0</v>
      </c>
      <c r="L275" s="199">
        <v>0</v>
      </c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>
        <v>0</v>
      </c>
      <c r="L276" s="199">
        <v>0</v>
      </c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>
        <v>0</v>
      </c>
      <c r="L277" s="199">
        <v>0</v>
      </c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-8979.5400000000009</v>
      </c>
      <c r="G278" s="200">
        <v>0</v>
      </c>
      <c r="H278" s="199">
        <v>-3678.71</v>
      </c>
      <c r="I278" s="200">
        <v>0</v>
      </c>
      <c r="J278" s="199">
        <v>7129.76</v>
      </c>
      <c r="K278" s="199">
        <v>0</v>
      </c>
      <c r="L278" s="199">
        <v>0</v>
      </c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>
        <v>0</v>
      </c>
      <c r="L279" s="199">
        <v>0</v>
      </c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>
        <v>0</v>
      </c>
      <c r="L280" s="199">
        <v>0</v>
      </c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>
        <v>0</v>
      </c>
      <c r="L281" s="199">
        <v>0</v>
      </c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>
        <v>0</v>
      </c>
      <c r="L282" s="199">
        <v>0</v>
      </c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201134.56</v>
      </c>
      <c r="G283" s="200">
        <v>0</v>
      </c>
      <c r="H283" s="199">
        <v>25279.03</v>
      </c>
      <c r="I283" s="200">
        <v>0</v>
      </c>
      <c r="J283" s="199">
        <v>0</v>
      </c>
      <c r="K283" s="199">
        <v>0</v>
      </c>
      <c r="L283" s="199">
        <v>0</v>
      </c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37751028</v>
      </c>
      <c r="F284" s="199">
        <v>86842907.959999993</v>
      </c>
      <c r="G284" s="200">
        <v>0</v>
      </c>
      <c r="H284" s="199">
        <v>-243551.48</v>
      </c>
      <c r="I284" s="200">
        <v>0</v>
      </c>
      <c r="J284" s="199">
        <v>0</v>
      </c>
      <c r="K284" s="199">
        <v>627959</v>
      </c>
      <c r="L284" s="199">
        <v>1475703.84</v>
      </c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>
        <v>0</v>
      </c>
      <c r="L285" s="199">
        <v>0</v>
      </c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3709833</v>
      </c>
      <c r="F286" s="199">
        <v>9157794</v>
      </c>
      <c r="G286" s="200">
        <v>-2009725</v>
      </c>
      <c r="H286" s="199">
        <v>-4881944</v>
      </c>
      <c r="I286" s="200">
        <v>0</v>
      </c>
      <c r="J286" s="199">
        <v>0</v>
      </c>
      <c r="K286" s="199">
        <v>545</v>
      </c>
      <c r="L286" s="199">
        <v>3564</v>
      </c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>
        <v>0</v>
      </c>
      <c r="L287" s="199">
        <v>0</v>
      </c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>
        <v>0</v>
      </c>
      <c r="L288" s="199">
        <v>0</v>
      </c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-41086985</v>
      </c>
      <c r="F289" s="199">
        <v>-95951544.220000014</v>
      </c>
      <c r="G289" s="200">
        <v>-2729</v>
      </c>
      <c r="H289" s="199">
        <v>283665.39</v>
      </c>
      <c r="I289" s="200">
        <v>609669</v>
      </c>
      <c r="J289" s="199">
        <v>1426625</v>
      </c>
      <c r="K289" s="199">
        <v>-1237636</v>
      </c>
      <c r="L289" s="199">
        <v>-2902347.45</v>
      </c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>
        <v>0</v>
      </c>
      <c r="L290" s="199">
        <v>0</v>
      </c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-139182</v>
      </c>
      <c r="F291" s="199">
        <v>-331021</v>
      </c>
      <c r="G291" s="200">
        <v>-5000</v>
      </c>
      <c r="H291" s="199">
        <v>-11400</v>
      </c>
      <c r="I291" s="200">
        <v>0</v>
      </c>
      <c r="J291" s="199">
        <v>0</v>
      </c>
      <c r="K291" s="199">
        <v>0</v>
      </c>
      <c r="L291" s="199">
        <v>0</v>
      </c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>
        <v>0</v>
      </c>
      <c r="L292" s="199">
        <v>0</v>
      </c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4620</v>
      </c>
      <c r="F293" s="199">
        <v>12474</v>
      </c>
      <c r="G293" s="200">
        <v>60742</v>
      </c>
      <c r="H293" s="199">
        <v>164003.4</v>
      </c>
      <c r="I293" s="200">
        <v>0</v>
      </c>
      <c r="J293" s="199">
        <v>0</v>
      </c>
      <c r="K293" s="199">
        <v>0</v>
      </c>
      <c r="L293" s="199">
        <v>0</v>
      </c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>
        <v>0</v>
      </c>
      <c r="L294" s="199">
        <v>0</v>
      </c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>
        <v>0</v>
      </c>
      <c r="L295" s="199">
        <v>0</v>
      </c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-358303</v>
      </c>
      <c r="F296" s="199">
        <v>-967418.1</v>
      </c>
      <c r="G296" s="200">
        <v>1218756</v>
      </c>
      <c r="H296" s="199">
        <v>3290641.2</v>
      </c>
      <c r="I296" s="200">
        <v>0</v>
      </c>
      <c r="J296" s="199">
        <v>0</v>
      </c>
      <c r="K296" s="199">
        <v>-3126</v>
      </c>
      <c r="L296" s="199">
        <v>-8440.2000000000007</v>
      </c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>
        <v>0</v>
      </c>
      <c r="L297" s="199">
        <v>0</v>
      </c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>
        <v>0</v>
      </c>
      <c r="L298" s="199">
        <v>0</v>
      </c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>
        <v>0</v>
      </c>
      <c r="L299" s="199">
        <v>0</v>
      </c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>
        <v>0</v>
      </c>
      <c r="L300" s="199">
        <v>0</v>
      </c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>
        <v>0</v>
      </c>
      <c r="L301" s="199">
        <v>0</v>
      </c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>
        <v>0</v>
      </c>
      <c r="L302" s="199">
        <v>0</v>
      </c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>
        <v>0</v>
      </c>
      <c r="L303" s="199">
        <v>0</v>
      </c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>
        <v>0</v>
      </c>
      <c r="L304" s="199">
        <v>0</v>
      </c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118989</v>
      </c>
      <c r="F305" s="199">
        <v>321270.3</v>
      </c>
      <c r="G305" s="200">
        <v>737956</v>
      </c>
      <c r="H305" s="199">
        <v>1992481.2</v>
      </c>
      <c r="I305" s="200">
        <v>-609669</v>
      </c>
      <c r="J305" s="199">
        <v>-1646106.3</v>
      </c>
      <c r="K305" s="199">
        <v>612258</v>
      </c>
      <c r="L305" s="199">
        <v>1653096.6</v>
      </c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-4620</v>
      </c>
      <c r="F306" s="199">
        <v>-12474</v>
      </c>
      <c r="G306" s="200">
        <v>-60742</v>
      </c>
      <c r="H306" s="199">
        <v>-164003.4</v>
      </c>
      <c r="I306" s="200">
        <v>0</v>
      </c>
      <c r="J306" s="199">
        <v>0</v>
      </c>
      <c r="K306" s="199">
        <v>0</v>
      </c>
      <c r="L306" s="199">
        <v>0</v>
      </c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-138293.92000000001</v>
      </c>
      <c r="I307" s="200">
        <v>0</v>
      </c>
      <c r="J307" s="199">
        <v>0</v>
      </c>
      <c r="K307" s="199">
        <v>0</v>
      </c>
      <c r="L307" s="199">
        <v>89.92</v>
      </c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>
        <v>0</v>
      </c>
      <c r="L308" s="199">
        <v>0</v>
      </c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>
        <v>0</v>
      </c>
      <c r="L309" s="199">
        <v>0</v>
      </c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>
        <v>0</v>
      </c>
      <c r="L310" s="199">
        <v>0</v>
      </c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>
        <v>0</v>
      </c>
      <c r="L311" s="199">
        <v>0</v>
      </c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>
        <v>0</v>
      </c>
      <c r="L312" s="199">
        <v>0</v>
      </c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>
        <v>0</v>
      </c>
      <c r="L313" s="199">
        <v>0</v>
      </c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>
        <v>0</v>
      </c>
      <c r="L314" s="199">
        <v>0</v>
      </c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>
        <v>0</v>
      </c>
      <c r="L315" s="199">
        <v>0</v>
      </c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>
        <v>0</v>
      </c>
      <c r="L316" s="199">
        <v>0</v>
      </c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>
        <v>0</v>
      </c>
      <c r="L317" s="199">
        <v>0</v>
      </c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-342.73</v>
      </c>
      <c r="G318" s="200">
        <v>0</v>
      </c>
      <c r="H318" s="199">
        <v>0</v>
      </c>
      <c r="I318" s="200">
        <v>0</v>
      </c>
      <c r="J318" s="199">
        <v>0</v>
      </c>
      <c r="K318" s="199">
        <v>0</v>
      </c>
      <c r="L318" s="199">
        <v>0</v>
      </c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>
        <v>0</v>
      </c>
      <c r="L319" s="199">
        <v>0</v>
      </c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>
        <v>0</v>
      </c>
      <c r="L320" s="199">
        <v>0</v>
      </c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>
        <v>0</v>
      </c>
      <c r="L321" s="199">
        <v>0</v>
      </c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>
        <v>0</v>
      </c>
      <c r="L322" s="199">
        <v>0</v>
      </c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>
        <v>0</v>
      </c>
      <c r="L323" s="199">
        <v>0</v>
      </c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140</v>
      </c>
      <c r="B324" s="33" t="s">
        <v>207</v>
      </c>
      <c r="C324" s="33">
        <v>1</v>
      </c>
      <c r="D324" s="33" t="s">
        <v>25</v>
      </c>
      <c r="E324" s="200">
        <v>16545855</v>
      </c>
      <c r="F324" s="199">
        <v>39857789</v>
      </c>
      <c r="G324" s="200">
        <v>-6107</v>
      </c>
      <c r="H324" s="199">
        <v>-14536.34</v>
      </c>
      <c r="I324" s="200">
        <v>0</v>
      </c>
      <c r="J324" s="199">
        <v>-1477.35</v>
      </c>
      <c r="K324" s="199">
        <v>0</v>
      </c>
      <c r="L324" s="199">
        <v>0</v>
      </c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140</v>
      </c>
      <c r="B325" s="33" t="s">
        <v>207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>
        <v>0</v>
      </c>
      <c r="L325" s="199">
        <v>0</v>
      </c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140</v>
      </c>
      <c r="B326" s="33" t="s">
        <v>207</v>
      </c>
      <c r="C326" s="33">
        <v>3</v>
      </c>
      <c r="D326" s="33" t="s">
        <v>27</v>
      </c>
      <c r="E326" s="200">
        <v>25646524</v>
      </c>
      <c r="F326" s="199">
        <v>62333419</v>
      </c>
      <c r="G326" s="200">
        <v>-16593766</v>
      </c>
      <c r="H326" s="199">
        <v>-40724229</v>
      </c>
      <c r="I326" s="200">
        <v>0</v>
      </c>
      <c r="J326" s="199">
        <v>0</v>
      </c>
      <c r="K326" s="199">
        <v>0</v>
      </c>
      <c r="L326" s="199">
        <v>0</v>
      </c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140</v>
      </c>
      <c r="B327" s="33" t="s">
        <v>207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>
        <v>0</v>
      </c>
      <c r="L327" s="199">
        <v>0</v>
      </c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140</v>
      </c>
      <c r="B328" s="33" t="s">
        <v>207</v>
      </c>
      <c r="C328" s="33">
        <v>5</v>
      </c>
      <c r="D328" s="33" t="s">
        <v>125</v>
      </c>
      <c r="E328" s="200">
        <v>0</v>
      </c>
      <c r="F328" s="199">
        <v>2781866.5</v>
      </c>
      <c r="G328" s="200">
        <v>0</v>
      </c>
      <c r="H328" s="199">
        <v>276497</v>
      </c>
      <c r="I328" s="200">
        <v>0</v>
      </c>
      <c r="J328" s="199">
        <v>0</v>
      </c>
      <c r="K328" s="199">
        <v>0</v>
      </c>
      <c r="L328" s="199">
        <v>0</v>
      </c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140</v>
      </c>
      <c r="B329" s="33" t="s">
        <v>207</v>
      </c>
      <c r="C329" s="33">
        <v>6</v>
      </c>
      <c r="D329" s="33" t="s">
        <v>25</v>
      </c>
      <c r="E329" s="200">
        <v>-11681391</v>
      </c>
      <c r="F329" s="199">
        <v>-27284907.579999998</v>
      </c>
      <c r="G329" s="200">
        <v>388</v>
      </c>
      <c r="H329" s="199">
        <v>-0.49</v>
      </c>
      <c r="I329" s="200">
        <v>-13</v>
      </c>
      <c r="J329" s="199">
        <v>2.35</v>
      </c>
      <c r="K329" s="199">
        <v>-1</v>
      </c>
      <c r="L329" s="199">
        <v>-2.35</v>
      </c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140</v>
      </c>
      <c r="B330" s="33" t="s">
        <v>207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>
        <v>0</v>
      </c>
      <c r="L330" s="199">
        <v>0</v>
      </c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140</v>
      </c>
      <c r="B331" s="33" t="s">
        <v>207</v>
      </c>
      <c r="C331" s="33">
        <v>8</v>
      </c>
      <c r="D331" s="33" t="s">
        <v>27</v>
      </c>
      <c r="E331" s="200">
        <v>-30848646</v>
      </c>
      <c r="F331" s="199">
        <v>-74567387</v>
      </c>
      <c r="G331" s="200">
        <v>16603761</v>
      </c>
      <c r="H331" s="199">
        <v>40751940</v>
      </c>
      <c r="I331" s="200">
        <v>0</v>
      </c>
      <c r="J331" s="199">
        <v>0</v>
      </c>
      <c r="K331" s="199">
        <v>0</v>
      </c>
      <c r="L331" s="199">
        <v>0</v>
      </c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140</v>
      </c>
      <c r="B332" s="33" t="s">
        <v>207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>
        <v>0</v>
      </c>
      <c r="L332" s="199">
        <v>0</v>
      </c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140</v>
      </c>
      <c r="B333" s="33" t="s">
        <v>207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0</v>
      </c>
      <c r="J333" s="199">
        <v>0</v>
      </c>
      <c r="K333" s="199">
        <v>0</v>
      </c>
      <c r="L333" s="199">
        <v>0</v>
      </c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140</v>
      </c>
      <c r="B334" s="33" t="s">
        <v>207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>
        <v>0</v>
      </c>
      <c r="L334" s="199">
        <v>0</v>
      </c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140</v>
      </c>
      <c r="B335" s="33" t="s">
        <v>207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>
        <v>0</v>
      </c>
      <c r="L335" s="199">
        <v>0</v>
      </c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140</v>
      </c>
      <c r="B336" s="33" t="s">
        <v>207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>
        <v>0</v>
      </c>
      <c r="L336" s="199">
        <v>0</v>
      </c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140</v>
      </c>
      <c r="B337" s="33" t="s">
        <v>207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>
        <v>0</v>
      </c>
      <c r="L337" s="199">
        <v>0</v>
      </c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140</v>
      </c>
      <c r="B338" s="33" t="s">
        <v>207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>
        <v>0</v>
      </c>
      <c r="L338" s="199">
        <v>0</v>
      </c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140</v>
      </c>
      <c r="B339" s="33" t="s">
        <v>207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>
        <v>0</v>
      </c>
      <c r="L339" s="199">
        <v>0</v>
      </c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140</v>
      </c>
      <c r="B340" s="33" t="s">
        <v>207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>
        <v>0</v>
      </c>
      <c r="L340" s="199">
        <v>0</v>
      </c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140</v>
      </c>
      <c r="B341" s="201" t="s">
        <v>207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>
        <v>0</v>
      </c>
      <c r="L341" s="200">
        <v>0</v>
      </c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140</v>
      </c>
      <c r="B342" s="33" t="s">
        <v>207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>
        <v>0</v>
      </c>
      <c r="L342" s="199">
        <v>0</v>
      </c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140</v>
      </c>
      <c r="B343" s="33" t="s">
        <v>207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>
        <v>0</v>
      </c>
      <c r="L343" s="199">
        <v>0</v>
      </c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140</v>
      </c>
      <c r="B344" s="33" t="s">
        <v>207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>
        <v>0</v>
      </c>
      <c r="L344" s="199">
        <v>0</v>
      </c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140</v>
      </c>
      <c r="B345" s="33" t="s">
        <v>207</v>
      </c>
      <c r="C345" s="33">
        <v>22</v>
      </c>
      <c r="D345" s="33" t="s">
        <v>130</v>
      </c>
      <c r="E345" s="200">
        <v>337658</v>
      </c>
      <c r="F345" s="199">
        <v>799574.14399999997</v>
      </c>
      <c r="G345" s="200">
        <v>-4276</v>
      </c>
      <c r="H345" s="199">
        <v>-10125.56799999997</v>
      </c>
      <c r="I345" s="200">
        <v>13</v>
      </c>
      <c r="J345" s="199">
        <v>30.783999999999999</v>
      </c>
      <c r="K345" s="199">
        <v>1</v>
      </c>
      <c r="L345" s="199">
        <v>2.3679999999999999</v>
      </c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140</v>
      </c>
      <c r="B346" s="33" t="s">
        <v>207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>
        <v>0</v>
      </c>
      <c r="J346" s="199">
        <v>0</v>
      </c>
      <c r="K346" s="199">
        <v>0</v>
      </c>
      <c r="L346" s="199">
        <v>0</v>
      </c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140</v>
      </c>
      <c r="B347" s="33" t="s">
        <v>207</v>
      </c>
      <c r="C347" s="33">
        <v>24</v>
      </c>
      <c r="D347" s="33" t="s">
        <v>55</v>
      </c>
      <c r="E347" s="200">
        <v>-7943431</v>
      </c>
      <c r="F347" s="199">
        <v>-142074.26999999999</v>
      </c>
      <c r="G347" s="200">
        <v>6888</v>
      </c>
      <c r="H347" s="199">
        <v>20.239999999999998</v>
      </c>
      <c r="I347" s="200">
        <v>29</v>
      </c>
      <c r="J347" s="199">
        <v>0</v>
      </c>
      <c r="K347" s="199">
        <v>0</v>
      </c>
      <c r="L347" s="199">
        <v>0</v>
      </c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140</v>
      </c>
      <c r="B348" s="33" t="s">
        <v>207</v>
      </c>
      <c r="C348" s="33">
        <v>25</v>
      </c>
      <c r="D348" s="33" t="s">
        <v>56</v>
      </c>
      <c r="E348" s="200">
        <v>0</v>
      </c>
      <c r="F348" s="199">
        <v>-771631.76</v>
      </c>
      <c r="G348" s="200">
        <v>0</v>
      </c>
      <c r="H348" s="199">
        <v>-2257950.34</v>
      </c>
      <c r="I348" s="200">
        <v>0</v>
      </c>
      <c r="J348" s="199">
        <v>0</v>
      </c>
      <c r="K348" s="199">
        <v>0</v>
      </c>
      <c r="L348" s="199">
        <v>-547046.91</v>
      </c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140</v>
      </c>
      <c r="B349" s="33" t="s">
        <v>207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>
        <v>0</v>
      </c>
      <c r="L349" s="199">
        <v>0</v>
      </c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140</v>
      </c>
      <c r="B350" s="33" t="s">
        <v>207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>
        <v>0</v>
      </c>
      <c r="L350" s="199">
        <v>0</v>
      </c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140</v>
      </c>
      <c r="B351" s="33" t="s">
        <v>207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v>0</v>
      </c>
      <c r="L351" s="199">
        <v>0</v>
      </c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140</v>
      </c>
      <c r="B352" s="33" t="s">
        <v>207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>
        <v>0</v>
      </c>
      <c r="L352" s="199">
        <v>0</v>
      </c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140</v>
      </c>
      <c r="B353" s="33" t="s">
        <v>207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>
        <v>0</v>
      </c>
      <c r="L353" s="199">
        <v>0</v>
      </c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140</v>
      </c>
      <c r="B354" s="33" t="s">
        <v>207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>
        <v>0</v>
      </c>
      <c r="L354" s="199">
        <v>0</v>
      </c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140</v>
      </c>
      <c r="B355" s="33" t="s">
        <v>207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>
        <v>0</v>
      </c>
      <c r="L355" s="199">
        <v>0</v>
      </c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140</v>
      </c>
      <c r="B356" s="33" t="s">
        <v>207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>
        <v>0</v>
      </c>
      <c r="L356" s="199">
        <v>0</v>
      </c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140</v>
      </c>
      <c r="B357" s="33" t="s">
        <v>207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>
        <v>0</v>
      </c>
      <c r="L357" s="199">
        <v>0</v>
      </c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140</v>
      </c>
      <c r="B358" s="33" t="s">
        <v>207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>
        <v>0</v>
      </c>
      <c r="L358" s="199">
        <v>0</v>
      </c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140</v>
      </c>
      <c r="B359" s="33" t="s">
        <v>207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>
        <v>0</v>
      </c>
      <c r="L359" s="199">
        <v>0</v>
      </c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140</v>
      </c>
      <c r="B360" s="33" t="s">
        <v>207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>
        <v>0</v>
      </c>
      <c r="L360" s="199">
        <v>0</v>
      </c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140</v>
      </c>
      <c r="B361" s="33" t="s">
        <v>207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>
        <v>0</v>
      </c>
      <c r="L361" s="199">
        <v>0</v>
      </c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140</v>
      </c>
      <c r="B362" s="33" t="s">
        <v>207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>
        <v>0</v>
      </c>
      <c r="L362" s="199">
        <v>0</v>
      </c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140</v>
      </c>
      <c r="B363" s="33" t="s">
        <v>207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>
        <v>0</v>
      </c>
      <c r="L363" s="199">
        <v>0</v>
      </c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>
        <v>0</v>
      </c>
      <c r="L364" s="199">
        <v>0</v>
      </c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>
        <v>0</v>
      </c>
      <c r="L365" s="199">
        <v>0</v>
      </c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>
        <v>0</v>
      </c>
      <c r="L366" s="199">
        <v>0</v>
      </c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>
        <v>0</v>
      </c>
      <c r="L367" s="199">
        <v>0</v>
      </c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>
        <v>0</v>
      </c>
      <c r="L368" s="199">
        <v>0</v>
      </c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>
        <v>0</v>
      </c>
      <c r="L369" s="199">
        <v>0</v>
      </c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>
        <v>0</v>
      </c>
      <c r="L370" s="199">
        <v>0</v>
      </c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>
        <v>0</v>
      </c>
      <c r="L371" s="199">
        <v>0</v>
      </c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>
        <v>0</v>
      </c>
      <c r="L372" s="199">
        <v>0</v>
      </c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>
        <v>0</v>
      </c>
      <c r="L373" s="199">
        <v>0</v>
      </c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>
        <v>0</v>
      </c>
      <c r="L374" s="199">
        <v>0</v>
      </c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>
        <v>0</v>
      </c>
      <c r="L375" s="199">
        <v>0</v>
      </c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>
        <v>0</v>
      </c>
      <c r="L376" s="199">
        <v>0</v>
      </c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>
        <v>0</v>
      </c>
      <c r="L377" s="199">
        <v>0</v>
      </c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>
        <v>0</v>
      </c>
      <c r="L378" s="199">
        <v>0</v>
      </c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>
        <v>0</v>
      </c>
      <c r="L379" s="199">
        <v>0</v>
      </c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>
        <v>0</v>
      </c>
      <c r="L380" s="199">
        <v>0</v>
      </c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>
        <v>0</v>
      </c>
      <c r="L381" s="199">
        <v>0</v>
      </c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>
        <v>0</v>
      </c>
      <c r="L382" s="199">
        <v>0</v>
      </c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>
        <v>0</v>
      </c>
      <c r="L383" s="199">
        <v>0</v>
      </c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>
        <v>0</v>
      </c>
      <c r="L384" s="199">
        <v>0</v>
      </c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>
        <v>0</v>
      </c>
      <c r="L385" s="199">
        <v>0</v>
      </c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>
        <v>0</v>
      </c>
      <c r="L386" s="199">
        <v>0</v>
      </c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>
        <v>0</v>
      </c>
      <c r="L387" s="199">
        <v>0</v>
      </c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>
        <v>0</v>
      </c>
      <c r="L388" s="199">
        <v>0</v>
      </c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>
        <v>0</v>
      </c>
      <c r="L389" s="199">
        <v>0</v>
      </c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>
        <v>0</v>
      </c>
      <c r="L390" s="199">
        <v>0</v>
      </c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>
        <v>0</v>
      </c>
      <c r="L391" s="199">
        <v>0</v>
      </c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>
        <v>0</v>
      </c>
      <c r="L392" s="199">
        <v>0</v>
      </c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>
        <v>0</v>
      </c>
      <c r="L393" s="199">
        <v>0</v>
      </c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>
        <v>0</v>
      </c>
      <c r="L394" s="199">
        <v>0</v>
      </c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>
        <v>0</v>
      </c>
      <c r="L395" s="199">
        <v>0</v>
      </c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>
        <v>0</v>
      </c>
      <c r="L396" s="199">
        <v>0</v>
      </c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>
        <v>0</v>
      </c>
      <c r="L397" s="199">
        <v>0</v>
      </c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>
        <v>0</v>
      </c>
      <c r="L398" s="199">
        <v>0</v>
      </c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>
        <v>0</v>
      </c>
      <c r="L399" s="199">
        <v>0</v>
      </c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>
        <v>0</v>
      </c>
      <c r="L400" s="199">
        <v>0</v>
      </c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>
        <v>0</v>
      </c>
      <c r="L401" s="199">
        <v>0</v>
      </c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>
        <v>0</v>
      </c>
      <c r="L402" s="199">
        <v>0</v>
      </c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>
        <v>0</v>
      </c>
      <c r="L403" s="199">
        <v>0</v>
      </c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4966961</v>
      </c>
      <c r="F404" s="199">
        <v>15842036.24</v>
      </c>
      <c r="G404" s="200">
        <v>2588791</v>
      </c>
      <c r="H404" s="199">
        <v>3065537.33</v>
      </c>
      <c r="I404" s="200">
        <v>0</v>
      </c>
      <c r="J404" s="199">
        <v>6084.34</v>
      </c>
      <c r="K404" s="199">
        <v>0</v>
      </c>
      <c r="L404" s="199">
        <v>0</v>
      </c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>
        <v>0</v>
      </c>
      <c r="L405" s="199">
        <v>0</v>
      </c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3922553</v>
      </c>
      <c r="F406" s="199">
        <v>9491043</v>
      </c>
      <c r="G406" s="200">
        <v>-3825134</v>
      </c>
      <c r="H406" s="199">
        <v>-9215199</v>
      </c>
      <c r="I406" s="200">
        <v>0</v>
      </c>
      <c r="J406" s="199">
        <v>0</v>
      </c>
      <c r="K406" s="199">
        <v>0</v>
      </c>
      <c r="L406" s="199">
        <v>0</v>
      </c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>
        <v>0</v>
      </c>
      <c r="L407" s="199">
        <v>0</v>
      </c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>
        <v>0</v>
      </c>
      <c r="L408" s="199">
        <v>0</v>
      </c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-1123774</v>
      </c>
      <c r="F409" s="199">
        <v>-3054405.16</v>
      </c>
      <c r="G409" s="200">
        <v>0</v>
      </c>
      <c r="H409" s="199">
        <v>-52476.1</v>
      </c>
      <c r="I409" s="200">
        <v>0</v>
      </c>
      <c r="J409" s="199">
        <v>0</v>
      </c>
      <c r="K409" s="199">
        <v>0</v>
      </c>
      <c r="L409" s="199">
        <v>0</v>
      </c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>
        <v>0</v>
      </c>
      <c r="L410" s="199">
        <v>0</v>
      </c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-10332504</v>
      </c>
      <c r="F411" s="199">
        <v>-24454050</v>
      </c>
      <c r="G411" s="200">
        <v>6697179</v>
      </c>
      <c r="H411" s="199">
        <v>15727537</v>
      </c>
      <c r="I411" s="200">
        <v>0</v>
      </c>
      <c r="J411" s="199">
        <v>0</v>
      </c>
      <c r="K411" s="199">
        <v>0</v>
      </c>
      <c r="L411" s="199">
        <v>0</v>
      </c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>
        <v>0</v>
      </c>
      <c r="L412" s="199">
        <v>0</v>
      </c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>
        <v>0</v>
      </c>
      <c r="L413" s="199">
        <v>0</v>
      </c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>
        <v>0</v>
      </c>
      <c r="L414" s="199">
        <v>0</v>
      </c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>
        <v>0</v>
      </c>
      <c r="L415" s="199">
        <v>0</v>
      </c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>
        <v>0</v>
      </c>
      <c r="L416" s="199">
        <v>0</v>
      </c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>
        <v>0</v>
      </c>
      <c r="L417" s="199">
        <v>0</v>
      </c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>
        <v>0</v>
      </c>
      <c r="L418" s="199">
        <v>0</v>
      </c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>
        <v>0</v>
      </c>
      <c r="L419" s="199">
        <v>0</v>
      </c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>
        <v>0</v>
      </c>
      <c r="L420" s="199">
        <v>0</v>
      </c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>
        <v>0</v>
      </c>
      <c r="L421" s="199">
        <v>0</v>
      </c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>
        <v>0</v>
      </c>
      <c r="L422" s="199">
        <v>0</v>
      </c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>
        <v>0</v>
      </c>
      <c r="L423" s="199">
        <v>0</v>
      </c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>
        <v>0</v>
      </c>
      <c r="L424" s="199">
        <v>0</v>
      </c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2566764</v>
      </c>
      <c r="F425" s="199">
        <v>5870189.2680000002</v>
      </c>
      <c r="G425" s="200">
        <v>-5460836</v>
      </c>
      <c r="H425" s="199">
        <v>-12488931.932</v>
      </c>
      <c r="I425" s="200">
        <v>0</v>
      </c>
      <c r="J425" s="199">
        <v>0</v>
      </c>
      <c r="K425" s="199">
        <v>0</v>
      </c>
      <c r="L425" s="199">
        <v>0</v>
      </c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>
        <v>0</v>
      </c>
      <c r="L426" s="199">
        <v>0</v>
      </c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0</v>
      </c>
      <c r="K427" s="199">
        <v>0</v>
      </c>
      <c r="L427" s="199">
        <v>0</v>
      </c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>
        <v>0</v>
      </c>
      <c r="L428" s="199">
        <v>0</v>
      </c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>
        <v>0</v>
      </c>
      <c r="L429" s="199">
        <v>0</v>
      </c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>
        <v>0</v>
      </c>
      <c r="L430" s="199">
        <v>0</v>
      </c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>
        <v>0</v>
      </c>
      <c r="L431" s="199">
        <v>0</v>
      </c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>
        <v>0</v>
      </c>
      <c r="L432" s="199">
        <v>0</v>
      </c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>
        <v>0</v>
      </c>
      <c r="L433" s="199">
        <v>0</v>
      </c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>
        <v>0</v>
      </c>
      <c r="L434" s="199">
        <v>0</v>
      </c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>
        <v>0</v>
      </c>
      <c r="L435" s="199">
        <v>0</v>
      </c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>
        <v>0</v>
      </c>
      <c r="L436" s="199">
        <v>0</v>
      </c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>
        <v>0</v>
      </c>
      <c r="L437" s="199">
        <v>0</v>
      </c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>
        <v>0</v>
      </c>
      <c r="L438" s="199">
        <v>0</v>
      </c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>
        <v>0</v>
      </c>
      <c r="L439" s="199">
        <v>0</v>
      </c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>
        <v>0</v>
      </c>
      <c r="L440" s="199">
        <v>0</v>
      </c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>
        <v>0</v>
      </c>
      <c r="L441" s="199">
        <v>0</v>
      </c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>
        <v>0</v>
      </c>
      <c r="L442" s="199">
        <v>0</v>
      </c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>
        <v>0</v>
      </c>
      <c r="L443" s="199">
        <v>0</v>
      </c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17351815</v>
      </c>
      <c r="F444" s="199">
        <v>44535953.909999996</v>
      </c>
      <c r="G444" s="200">
        <v>34669</v>
      </c>
      <c r="H444" s="199">
        <v>59569.52</v>
      </c>
      <c r="I444" s="200">
        <v>-20609</v>
      </c>
      <c r="J444" s="199">
        <v>1517667.59</v>
      </c>
      <c r="K444" s="199">
        <v>70287</v>
      </c>
      <c r="L444" s="199">
        <v>148735.93</v>
      </c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>
        <v>0</v>
      </c>
      <c r="L445" s="199">
        <v>0</v>
      </c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11332509</v>
      </c>
      <c r="F446" s="199">
        <v>26371437</v>
      </c>
      <c r="G446" s="200">
        <v>-9857227</v>
      </c>
      <c r="H446" s="199">
        <v>-22968890</v>
      </c>
      <c r="I446" s="200">
        <v>0</v>
      </c>
      <c r="J446" s="199">
        <v>0</v>
      </c>
      <c r="K446" s="199">
        <v>0</v>
      </c>
      <c r="L446" s="199">
        <v>0</v>
      </c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>
        <v>0</v>
      </c>
      <c r="L447" s="199">
        <v>0</v>
      </c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2498660</v>
      </c>
      <c r="G448" s="200">
        <v>0</v>
      </c>
      <c r="H448" s="199">
        <v>-7500</v>
      </c>
      <c r="I448" s="200">
        <v>0</v>
      </c>
      <c r="J448" s="199">
        <v>0</v>
      </c>
      <c r="K448" s="199">
        <v>0</v>
      </c>
      <c r="L448" s="199">
        <v>0</v>
      </c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-4128498</v>
      </c>
      <c r="F449" s="199">
        <v>-9292599.4399999995</v>
      </c>
      <c r="G449" s="200">
        <v>-215827</v>
      </c>
      <c r="H449" s="199">
        <v>-509657.66</v>
      </c>
      <c r="I449" s="200">
        <v>-111862</v>
      </c>
      <c r="J449" s="199">
        <v>-233753.79</v>
      </c>
      <c r="K449" s="199">
        <v>-107217</v>
      </c>
      <c r="L449" s="199">
        <v>-248712.41</v>
      </c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>
        <v>0</v>
      </c>
      <c r="L450" s="199">
        <v>0</v>
      </c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-9997007</v>
      </c>
      <c r="F451" s="199">
        <v>-23266574</v>
      </c>
      <c r="G451" s="200">
        <v>9857938</v>
      </c>
      <c r="H451" s="199">
        <v>22970457</v>
      </c>
      <c r="I451" s="200">
        <v>0</v>
      </c>
      <c r="J451" s="199">
        <v>0</v>
      </c>
      <c r="K451" s="199">
        <v>0</v>
      </c>
      <c r="L451" s="199">
        <v>0</v>
      </c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>
        <v>0</v>
      </c>
      <c r="L452" s="199">
        <v>0</v>
      </c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12946</v>
      </c>
      <c r="F453" s="199">
        <v>29426.258000000002</v>
      </c>
      <c r="G453" s="200">
        <v>860</v>
      </c>
      <c r="H453" s="199">
        <v>1954.78</v>
      </c>
      <c r="I453" s="200">
        <v>0</v>
      </c>
      <c r="J453" s="199">
        <v>0</v>
      </c>
      <c r="K453" s="199">
        <v>0</v>
      </c>
      <c r="L453" s="199">
        <v>0</v>
      </c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6450055</v>
      </c>
      <c r="F454" s="199">
        <v>16394383.42</v>
      </c>
      <c r="G454" s="200">
        <v>16073</v>
      </c>
      <c r="H454" s="199">
        <v>-976463.09</v>
      </c>
      <c r="I454" s="200">
        <v>70908</v>
      </c>
      <c r="J454" s="199">
        <v>177502.15</v>
      </c>
      <c r="K454" s="199">
        <v>62478</v>
      </c>
      <c r="L454" s="199">
        <v>148856.54</v>
      </c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-11229972</v>
      </c>
      <c r="F455" s="199">
        <v>-24334015.760000002</v>
      </c>
      <c r="G455" s="200">
        <v>-8916073</v>
      </c>
      <c r="H455" s="199">
        <v>-21661192.199999999</v>
      </c>
      <c r="I455" s="200">
        <v>329988</v>
      </c>
      <c r="J455" s="199">
        <v>778867.19</v>
      </c>
      <c r="K455" s="199">
        <v>11697</v>
      </c>
      <c r="L455" s="199">
        <v>29348.9</v>
      </c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-9731818</v>
      </c>
      <c r="F456" s="199">
        <v>-22120422.313999999</v>
      </c>
      <c r="G456" s="200">
        <v>9729276</v>
      </c>
      <c r="H456" s="199">
        <v>22114644.348000001</v>
      </c>
      <c r="I456" s="200">
        <v>-20151</v>
      </c>
      <c r="J456" s="199">
        <v>-45803.222999999998</v>
      </c>
      <c r="K456" s="199">
        <v>0</v>
      </c>
      <c r="L456" s="199">
        <v>0</v>
      </c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>
        <v>0</v>
      </c>
      <c r="L457" s="199">
        <v>0</v>
      </c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>
        <v>0</v>
      </c>
      <c r="L458" s="199">
        <v>0</v>
      </c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>
        <v>0</v>
      </c>
      <c r="L459" s="199">
        <v>0</v>
      </c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>
        <v>0</v>
      </c>
      <c r="L460" s="199">
        <v>0</v>
      </c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-140000</v>
      </c>
      <c r="F461" s="199">
        <v>-299275.48</v>
      </c>
      <c r="G461" s="200">
        <v>-624794</v>
      </c>
      <c r="H461" s="199">
        <v>-2870676.72</v>
      </c>
      <c r="I461" s="200">
        <v>-205128</v>
      </c>
      <c r="J461" s="199">
        <v>-940484.69</v>
      </c>
      <c r="K461" s="199">
        <v>0</v>
      </c>
      <c r="L461" s="199">
        <v>0</v>
      </c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>
        <v>0</v>
      </c>
      <c r="L462" s="199">
        <v>0</v>
      </c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>
        <v>0</v>
      </c>
      <c r="L463" s="199">
        <v>0</v>
      </c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>
        <v>0</v>
      </c>
      <c r="L464" s="199">
        <v>0</v>
      </c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79970</v>
      </c>
      <c r="F465" s="199">
        <v>181771.81</v>
      </c>
      <c r="G465" s="200">
        <v>-24895</v>
      </c>
      <c r="H465" s="199">
        <v>-56586.334999999992</v>
      </c>
      <c r="I465" s="200">
        <v>-43146</v>
      </c>
      <c r="J465" s="199">
        <v>-98070.857999999993</v>
      </c>
      <c r="K465" s="199">
        <v>-37245</v>
      </c>
      <c r="L465" s="199">
        <v>-84657.884999999995</v>
      </c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-12946</v>
      </c>
      <c r="F466" s="199">
        <v>-29426.258000000002</v>
      </c>
      <c r="G466" s="200">
        <v>-860</v>
      </c>
      <c r="H466" s="199">
        <v>-1954.78</v>
      </c>
      <c r="I466" s="200">
        <v>0</v>
      </c>
      <c r="J466" s="199">
        <v>0</v>
      </c>
      <c r="K466" s="199">
        <v>0</v>
      </c>
      <c r="L466" s="199">
        <v>0</v>
      </c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-6709702</v>
      </c>
      <c r="F467" s="199">
        <v>-213269.27</v>
      </c>
      <c r="G467" s="200">
        <v>-9720573</v>
      </c>
      <c r="H467" s="199">
        <v>-205871.48</v>
      </c>
      <c r="I467" s="200">
        <v>-27495</v>
      </c>
      <c r="J467" s="199">
        <v>10606.04</v>
      </c>
      <c r="K467" s="199">
        <v>8748</v>
      </c>
      <c r="L467" s="199">
        <v>6199.75</v>
      </c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-51152</v>
      </c>
      <c r="G468" s="200">
        <v>0</v>
      </c>
      <c r="H468" s="199">
        <v>-93300</v>
      </c>
      <c r="I468" s="200">
        <v>0</v>
      </c>
      <c r="J468" s="199">
        <v>1152</v>
      </c>
      <c r="K468" s="199">
        <v>0</v>
      </c>
      <c r="L468" s="199">
        <v>-19.059999999999999</v>
      </c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>
        <v>0</v>
      </c>
      <c r="L469" s="199">
        <v>0</v>
      </c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>
        <v>0</v>
      </c>
      <c r="L470" s="199">
        <v>0</v>
      </c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-971.85</v>
      </c>
      <c r="I471" s="200">
        <v>0</v>
      </c>
      <c r="J471" s="199">
        <v>0</v>
      </c>
      <c r="K471" s="199">
        <v>0</v>
      </c>
      <c r="L471" s="199">
        <v>0</v>
      </c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>
        <v>0</v>
      </c>
      <c r="L472" s="199">
        <v>0</v>
      </c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>
        <v>0</v>
      </c>
      <c r="L473" s="199">
        <v>0</v>
      </c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>
        <v>0</v>
      </c>
      <c r="L474" s="199">
        <v>0</v>
      </c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>
        <v>0</v>
      </c>
      <c r="L475" s="199">
        <v>0</v>
      </c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>
        <v>0</v>
      </c>
      <c r="L476" s="199">
        <v>0</v>
      </c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>
        <v>0</v>
      </c>
      <c r="L477" s="199">
        <v>0</v>
      </c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-2541.2800000000002</v>
      </c>
      <c r="I478" s="200">
        <v>0</v>
      </c>
      <c r="J478" s="199">
        <v>0</v>
      </c>
      <c r="K478" s="199">
        <v>0</v>
      </c>
      <c r="L478" s="199">
        <v>0</v>
      </c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>
        <v>0</v>
      </c>
      <c r="L479" s="199">
        <v>0</v>
      </c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>
        <v>0</v>
      </c>
      <c r="L480" s="199">
        <v>0</v>
      </c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>
        <v>0</v>
      </c>
      <c r="L481" s="199">
        <v>0</v>
      </c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>
        <v>0</v>
      </c>
      <c r="L482" s="199">
        <v>0</v>
      </c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>
        <v>0</v>
      </c>
      <c r="L483" s="199">
        <v>0</v>
      </c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41151063</v>
      </c>
      <c r="F484" s="199">
        <v>92392968.040000007</v>
      </c>
      <c r="G484" s="200">
        <v>-87867</v>
      </c>
      <c r="H484" s="199">
        <v>-269007.28000000003</v>
      </c>
      <c r="I484" s="200">
        <v>58779</v>
      </c>
      <c r="J484" s="199">
        <v>128065.06</v>
      </c>
      <c r="K484" s="199">
        <v>-23806</v>
      </c>
      <c r="L484" s="199">
        <v>-47611.77</v>
      </c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>
        <v>0</v>
      </c>
      <c r="L485" s="199">
        <v>0</v>
      </c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19208491</v>
      </c>
      <c r="F486" s="199">
        <v>45307321</v>
      </c>
      <c r="G486" s="200">
        <v>-19208491</v>
      </c>
      <c r="H486" s="199">
        <v>-45307321</v>
      </c>
      <c r="I486" s="200">
        <v>0</v>
      </c>
      <c r="J486" s="199">
        <v>0</v>
      </c>
      <c r="K486" s="199">
        <v>0</v>
      </c>
      <c r="L486" s="199">
        <v>0</v>
      </c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>
        <v>0</v>
      </c>
      <c r="L487" s="199">
        <v>0</v>
      </c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1129129</v>
      </c>
      <c r="G488" s="200">
        <v>0</v>
      </c>
      <c r="H488" s="199">
        <v>1891.68</v>
      </c>
      <c r="I488" s="200">
        <v>0</v>
      </c>
      <c r="J488" s="199">
        <v>0</v>
      </c>
      <c r="K488" s="199">
        <v>0</v>
      </c>
      <c r="L488" s="199">
        <v>0</v>
      </c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-42688795</v>
      </c>
      <c r="F489" s="199">
        <v>-96195381.11999999</v>
      </c>
      <c r="G489" s="200">
        <v>-229268</v>
      </c>
      <c r="H489" s="199">
        <v>-194596.82</v>
      </c>
      <c r="I489" s="200">
        <v>21407</v>
      </c>
      <c r="J489" s="199">
        <v>46190.879999999997</v>
      </c>
      <c r="K489" s="199">
        <v>-10120</v>
      </c>
      <c r="L489" s="199">
        <v>-24961.599999999999</v>
      </c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>
        <v>0</v>
      </c>
      <c r="L490" s="199">
        <v>0</v>
      </c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-19275990</v>
      </c>
      <c r="F491" s="199">
        <v>-45452981</v>
      </c>
      <c r="G491" s="200">
        <v>19208491</v>
      </c>
      <c r="H491" s="199">
        <v>45307323</v>
      </c>
      <c r="I491" s="200">
        <v>0</v>
      </c>
      <c r="J491" s="199">
        <v>0</v>
      </c>
      <c r="K491" s="199">
        <v>0</v>
      </c>
      <c r="L491" s="199">
        <v>0</v>
      </c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>
        <v>0</v>
      </c>
      <c r="L492" s="199">
        <v>0</v>
      </c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719145</v>
      </c>
      <c r="F493" s="199">
        <v>1587153.0149999999</v>
      </c>
      <c r="G493" s="200">
        <v>-21</v>
      </c>
      <c r="H493" s="199">
        <v>-46.347000000000001</v>
      </c>
      <c r="I493" s="200">
        <v>0</v>
      </c>
      <c r="J493" s="199">
        <v>0</v>
      </c>
      <c r="K493" s="199">
        <v>0</v>
      </c>
      <c r="L493" s="199">
        <v>0</v>
      </c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859628</v>
      </c>
      <c r="F494" s="199">
        <v>2026388.13</v>
      </c>
      <c r="G494" s="200">
        <v>-2035</v>
      </c>
      <c r="H494" s="199">
        <v>-5352.05</v>
      </c>
      <c r="I494" s="200">
        <v>0</v>
      </c>
      <c r="J494" s="199">
        <v>0</v>
      </c>
      <c r="K494" s="199">
        <v>0</v>
      </c>
      <c r="L494" s="199">
        <v>0</v>
      </c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0</v>
      </c>
      <c r="F495" s="199">
        <v>0</v>
      </c>
      <c r="G495" s="200">
        <v>0</v>
      </c>
      <c r="H495" s="199">
        <v>0</v>
      </c>
      <c r="I495" s="200">
        <v>0</v>
      </c>
      <c r="J495" s="199">
        <v>0</v>
      </c>
      <c r="K495" s="199">
        <v>0</v>
      </c>
      <c r="L495" s="199">
        <v>0</v>
      </c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-57911</v>
      </c>
      <c r="F496" s="199">
        <v>-127809.577</v>
      </c>
      <c r="G496" s="200">
        <v>-1702877</v>
      </c>
      <c r="H496" s="199">
        <v>-3758249.5389999999</v>
      </c>
      <c r="I496" s="200">
        <v>1708683</v>
      </c>
      <c r="J496" s="199">
        <v>3771063.3810000001</v>
      </c>
      <c r="K496" s="199">
        <v>-10401</v>
      </c>
      <c r="L496" s="199">
        <v>-22955.007000000001</v>
      </c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-569</v>
      </c>
      <c r="H497" s="199">
        <v>-1266.03</v>
      </c>
      <c r="I497" s="200">
        <v>-1</v>
      </c>
      <c r="J497" s="199">
        <v>-2.19</v>
      </c>
      <c r="K497" s="199">
        <v>0</v>
      </c>
      <c r="L497" s="199">
        <v>0</v>
      </c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>
        <v>6</v>
      </c>
      <c r="J498" s="199">
        <v>12.9</v>
      </c>
      <c r="K498" s="199">
        <v>0</v>
      </c>
      <c r="L498" s="199">
        <v>0</v>
      </c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0</v>
      </c>
      <c r="J499" s="199">
        <v>0</v>
      </c>
      <c r="K499" s="199">
        <v>0</v>
      </c>
      <c r="L499" s="199">
        <v>0</v>
      </c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3701</v>
      </c>
      <c r="F500" s="199">
        <v>8168.11</v>
      </c>
      <c r="G500" s="200">
        <v>217856</v>
      </c>
      <c r="H500" s="199">
        <v>480810.82</v>
      </c>
      <c r="I500" s="200">
        <v>0</v>
      </c>
      <c r="J500" s="199">
        <v>0</v>
      </c>
      <c r="K500" s="199">
        <v>0</v>
      </c>
      <c r="L500" s="199">
        <v>0</v>
      </c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0</v>
      </c>
      <c r="F501" s="199">
        <v>0</v>
      </c>
      <c r="G501" s="200">
        <v>0</v>
      </c>
      <c r="H501" s="199">
        <v>0</v>
      </c>
      <c r="I501" s="200">
        <v>0</v>
      </c>
      <c r="J501" s="199">
        <v>0</v>
      </c>
      <c r="K501" s="199">
        <v>0</v>
      </c>
      <c r="L501" s="199">
        <v>0</v>
      </c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>
        <v>0</v>
      </c>
      <c r="L502" s="199">
        <v>0</v>
      </c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>
        <v>0</v>
      </c>
      <c r="L503" s="199">
        <v>0</v>
      </c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>
        <v>0</v>
      </c>
      <c r="L504" s="199">
        <v>0</v>
      </c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80668</v>
      </c>
      <c r="F505" s="199">
        <v>178034.27600000001</v>
      </c>
      <c r="G505" s="200">
        <v>1804781</v>
      </c>
      <c r="H505" s="199">
        <v>3983151.6669999999</v>
      </c>
      <c r="I505" s="200">
        <v>-1788874</v>
      </c>
      <c r="J505" s="199">
        <v>-3948044.9180000001</v>
      </c>
      <c r="K505" s="199">
        <v>44327</v>
      </c>
      <c r="L505" s="199">
        <v>97829.688999999998</v>
      </c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-719145</v>
      </c>
      <c r="F506" s="199">
        <v>-1587153.0149999999</v>
      </c>
      <c r="G506" s="200">
        <v>21</v>
      </c>
      <c r="H506" s="199">
        <v>46.347000000000001</v>
      </c>
      <c r="I506" s="200">
        <v>0</v>
      </c>
      <c r="J506" s="199">
        <v>0</v>
      </c>
      <c r="K506" s="199">
        <v>0</v>
      </c>
      <c r="L506" s="199">
        <v>0</v>
      </c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-24183369</v>
      </c>
      <c r="F507" s="199">
        <v>-379380.82</v>
      </c>
      <c r="G507" s="200">
        <v>-2294047</v>
      </c>
      <c r="H507" s="199">
        <v>-14240.75</v>
      </c>
      <c r="I507" s="200">
        <v>1699793</v>
      </c>
      <c r="J507" s="199">
        <v>9.9999999999980105E-3</v>
      </c>
      <c r="K507" s="199">
        <v>-766071</v>
      </c>
      <c r="L507" s="199">
        <v>1.3500311979441904E-13</v>
      </c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-2278451.4500000002</v>
      </c>
      <c r="G508" s="200">
        <v>0</v>
      </c>
      <c r="H508" s="199">
        <v>-3170212.12</v>
      </c>
      <c r="I508" s="200">
        <v>0</v>
      </c>
      <c r="J508" s="199">
        <v>0</v>
      </c>
      <c r="K508" s="199">
        <v>0</v>
      </c>
      <c r="L508" s="199">
        <v>0</v>
      </c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>
        <v>0</v>
      </c>
      <c r="L509" s="199">
        <v>0</v>
      </c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>
        <v>0</v>
      </c>
      <c r="L510" s="199">
        <v>0</v>
      </c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>
        <v>0</v>
      </c>
      <c r="L511" s="199">
        <v>0</v>
      </c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>
        <v>0</v>
      </c>
      <c r="L512" s="199">
        <v>0</v>
      </c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>
        <v>0</v>
      </c>
      <c r="L513" s="199">
        <v>0</v>
      </c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>
        <v>0</v>
      </c>
      <c r="L514" s="199">
        <v>0</v>
      </c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>
        <v>0</v>
      </c>
      <c r="L515" s="199">
        <v>0</v>
      </c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>
        <v>0</v>
      </c>
      <c r="L516" s="199">
        <v>0</v>
      </c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>
        <v>0</v>
      </c>
      <c r="L517" s="199">
        <v>0</v>
      </c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-9739.94</v>
      </c>
      <c r="G518" s="200">
        <v>0</v>
      </c>
      <c r="H518" s="199">
        <v>-281.75</v>
      </c>
      <c r="I518" s="200">
        <v>0</v>
      </c>
      <c r="J518" s="199">
        <v>0</v>
      </c>
      <c r="K518" s="199">
        <v>0</v>
      </c>
      <c r="L518" s="199">
        <v>0</v>
      </c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>
        <v>0</v>
      </c>
      <c r="L519" s="199">
        <v>0</v>
      </c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>
        <v>0</v>
      </c>
      <c r="L520" s="199">
        <v>0</v>
      </c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>
        <v>0</v>
      </c>
      <c r="L521" s="199">
        <v>0</v>
      </c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>
        <v>0</v>
      </c>
      <c r="L522" s="199">
        <v>0</v>
      </c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0</v>
      </c>
      <c r="I523" s="200">
        <v>0</v>
      </c>
      <c r="J523" s="199">
        <v>0</v>
      </c>
      <c r="K523" s="199">
        <v>0</v>
      </c>
      <c r="L523" s="199">
        <v>0</v>
      </c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>
        <v>0</v>
      </c>
      <c r="L524" s="199">
        <v>0</v>
      </c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>
        <v>0</v>
      </c>
      <c r="L525" s="199">
        <v>0</v>
      </c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>
        <v>0</v>
      </c>
      <c r="L526" s="199">
        <v>0</v>
      </c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>
        <v>0</v>
      </c>
      <c r="L527" s="199">
        <v>0</v>
      </c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>
        <v>0</v>
      </c>
      <c r="L528" s="199">
        <v>0</v>
      </c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>
        <v>0</v>
      </c>
      <c r="L529" s="199">
        <v>0</v>
      </c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>
        <v>0</v>
      </c>
      <c r="L530" s="199">
        <v>0</v>
      </c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>
        <v>0</v>
      </c>
      <c r="L531" s="199">
        <v>0</v>
      </c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>
        <v>0</v>
      </c>
      <c r="L532" s="199">
        <v>0</v>
      </c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>
        <v>0</v>
      </c>
      <c r="L533" s="199">
        <v>0</v>
      </c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>
        <v>0</v>
      </c>
      <c r="L534" s="199">
        <v>0</v>
      </c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>
        <v>0</v>
      </c>
      <c r="L535" s="199">
        <v>0</v>
      </c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>
        <v>0</v>
      </c>
      <c r="L536" s="199">
        <v>0</v>
      </c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>
        <v>0</v>
      </c>
      <c r="L537" s="199">
        <v>0</v>
      </c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>
        <v>0</v>
      </c>
      <c r="L538" s="199">
        <v>0</v>
      </c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>
        <v>0</v>
      </c>
      <c r="L539" s="199">
        <v>0</v>
      </c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>
        <v>0</v>
      </c>
      <c r="L540" s="199">
        <v>0</v>
      </c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>
        <v>0</v>
      </c>
      <c r="L541" s="199">
        <v>0</v>
      </c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>
        <v>0</v>
      </c>
      <c r="L542" s="199">
        <v>0</v>
      </c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>
        <v>0</v>
      </c>
      <c r="L543" s="199">
        <v>0</v>
      </c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>
        <v>0</v>
      </c>
      <c r="L544" s="199">
        <v>0</v>
      </c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>
        <v>0</v>
      </c>
      <c r="L545" s="199">
        <v>0</v>
      </c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>
        <v>0</v>
      </c>
      <c r="L546" s="199">
        <v>0</v>
      </c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>
        <v>0</v>
      </c>
      <c r="L547" s="199">
        <v>0</v>
      </c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>
        <v>0</v>
      </c>
      <c r="L548" s="199">
        <v>0</v>
      </c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>
        <v>0</v>
      </c>
      <c r="L549" s="199">
        <v>0</v>
      </c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>
        <v>0</v>
      </c>
      <c r="L550" s="199">
        <v>0</v>
      </c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>
        <v>0</v>
      </c>
      <c r="L551" s="199">
        <v>0</v>
      </c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>
        <v>0</v>
      </c>
      <c r="L552" s="199">
        <v>0</v>
      </c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>
        <v>0</v>
      </c>
      <c r="L553" s="199">
        <v>0</v>
      </c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>
        <v>0</v>
      </c>
      <c r="L554" s="199">
        <v>0</v>
      </c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>
        <v>0</v>
      </c>
      <c r="L555" s="199">
        <v>0</v>
      </c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>
        <v>0</v>
      </c>
      <c r="L556" s="199">
        <v>0</v>
      </c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>
        <v>0</v>
      </c>
      <c r="L557" s="199">
        <v>0</v>
      </c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>
        <v>0</v>
      </c>
      <c r="L558" s="199">
        <v>0</v>
      </c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>
        <v>0</v>
      </c>
      <c r="L559" s="199">
        <v>0</v>
      </c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>
        <v>0</v>
      </c>
      <c r="L560" s="199">
        <v>0</v>
      </c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>
        <v>0</v>
      </c>
      <c r="L561" s="199">
        <v>0</v>
      </c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>
        <v>0</v>
      </c>
      <c r="L562" s="199">
        <v>0</v>
      </c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>
        <v>0</v>
      </c>
      <c r="L563" s="199">
        <v>0</v>
      </c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>
        <v>0</v>
      </c>
      <c r="L564" s="199">
        <v>0</v>
      </c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>
        <v>0</v>
      </c>
      <c r="L565" s="199">
        <v>0</v>
      </c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>
        <v>0</v>
      </c>
      <c r="L566" s="199">
        <v>0</v>
      </c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>
        <v>0</v>
      </c>
      <c r="L567" s="199">
        <v>0</v>
      </c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>
        <v>0</v>
      </c>
      <c r="L568" s="199">
        <v>0</v>
      </c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>
        <v>0</v>
      </c>
      <c r="L569" s="199">
        <v>0</v>
      </c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  <c r="K570" s="33">
        <v>0</v>
      </c>
      <c r="L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  <c r="K571" s="33">
        <v>0</v>
      </c>
      <c r="L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  <c r="K572" s="33">
        <v>0</v>
      </c>
      <c r="L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  <c r="K573" s="33">
        <v>0</v>
      </c>
      <c r="L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  <c r="K574" s="33">
        <v>0</v>
      </c>
      <c r="L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  <c r="K575" s="33">
        <v>0</v>
      </c>
      <c r="L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  <c r="K576" s="33">
        <v>0</v>
      </c>
      <c r="L576" s="33">
        <v>0</v>
      </c>
    </row>
    <row r="577" spans="1:12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  <c r="K577" s="33">
        <v>0</v>
      </c>
      <c r="L577" s="33">
        <v>0</v>
      </c>
    </row>
    <row r="578" spans="1:12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  <c r="K578" s="33">
        <v>0</v>
      </c>
      <c r="L578" s="33">
        <v>0</v>
      </c>
    </row>
    <row r="579" spans="1:12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  <c r="K579" s="33">
        <v>0</v>
      </c>
      <c r="L579" s="33">
        <v>0</v>
      </c>
    </row>
    <row r="580" spans="1:12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  <c r="K580" s="33">
        <v>0</v>
      </c>
      <c r="L580" s="33">
        <v>0</v>
      </c>
    </row>
    <row r="581" spans="1:12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  <c r="K581" s="33">
        <v>0</v>
      </c>
      <c r="L581" s="33">
        <v>0</v>
      </c>
    </row>
    <row r="582" spans="1:12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  <c r="K582" s="33">
        <v>0</v>
      </c>
      <c r="L582" s="33">
        <v>0</v>
      </c>
    </row>
    <row r="583" spans="1:12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  <c r="K583" s="33">
        <v>0</v>
      </c>
      <c r="L583" s="33">
        <v>0</v>
      </c>
    </row>
    <row r="584" spans="1:12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  <c r="K584" s="33">
        <v>0</v>
      </c>
      <c r="L584" s="33">
        <v>0</v>
      </c>
    </row>
    <row r="585" spans="1:12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  <c r="K585" s="33">
        <v>0</v>
      </c>
      <c r="L585" s="33">
        <v>0</v>
      </c>
    </row>
    <row r="586" spans="1:12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  <c r="K586" s="33">
        <v>0</v>
      </c>
      <c r="L586" s="33">
        <v>0</v>
      </c>
    </row>
    <row r="587" spans="1:12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  <c r="K587" s="33">
        <v>0</v>
      </c>
      <c r="L587" s="33">
        <v>0</v>
      </c>
    </row>
    <row r="588" spans="1:12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  <c r="K588" s="33">
        <v>0</v>
      </c>
      <c r="L588" s="33">
        <v>0</v>
      </c>
    </row>
    <row r="589" spans="1:12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  <c r="K589" s="33">
        <v>0</v>
      </c>
      <c r="L589" s="33">
        <v>0</v>
      </c>
    </row>
    <row r="590" spans="1:12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  <c r="K590" s="33">
        <v>0</v>
      </c>
      <c r="L590" s="33">
        <v>0</v>
      </c>
    </row>
    <row r="591" spans="1:12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  <c r="K591" s="33">
        <v>0</v>
      </c>
      <c r="L591" s="33">
        <v>0</v>
      </c>
    </row>
    <row r="592" spans="1:12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  <c r="K592" s="33">
        <v>0</v>
      </c>
      <c r="L592" s="33">
        <v>0</v>
      </c>
    </row>
    <row r="593" spans="1:12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  <c r="K593" s="33">
        <v>0</v>
      </c>
      <c r="L593" s="33">
        <v>0</v>
      </c>
    </row>
    <row r="594" spans="1:12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  <c r="K594" s="33">
        <v>0</v>
      </c>
      <c r="L594" s="33">
        <v>0</v>
      </c>
    </row>
    <row r="595" spans="1:12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  <c r="K595" s="33">
        <v>0</v>
      </c>
      <c r="L595" s="33">
        <v>0</v>
      </c>
    </row>
    <row r="596" spans="1:12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  <c r="K596" s="33">
        <v>0</v>
      </c>
      <c r="L596" s="33">
        <v>0</v>
      </c>
    </row>
    <row r="597" spans="1:12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  <c r="K597" s="33">
        <v>0</v>
      </c>
      <c r="L597" s="33">
        <v>0</v>
      </c>
    </row>
    <row r="598" spans="1:12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  <c r="K598" s="33">
        <v>0</v>
      </c>
      <c r="L598" s="33">
        <v>0</v>
      </c>
    </row>
    <row r="599" spans="1:12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  <c r="K599" s="33">
        <v>0</v>
      </c>
      <c r="L599" s="33">
        <v>0</v>
      </c>
    </row>
    <row r="600" spans="1:12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  <c r="K600" s="33">
        <v>0</v>
      </c>
      <c r="L600" s="33">
        <v>0</v>
      </c>
    </row>
    <row r="601" spans="1:12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  <c r="K601" s="33">
        <v>0</v>
      </c>
      <c r="L601" s="33">
        <v>0</v>
      </c>
    </row>
    <row r="602" spans="1:12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  <c r="K602" s="33">
        <v>0</v>
      </c>
      <c r="L602" s="33">
        <v>0</v>
      </c>
    </row>
    <row r="603" spans="1:12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  <c r="K603" s="33">
        <v>0</v>
      </c>
      <c r="L603" s="33">
        <v>0</v>
      </c>
    </row>
    <row r="633" spans="4:31" x14ac:dyDescent="0.2">
      <c r="I633" s="207"/>
    </row>
    <row r="636" spans="4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">
      <c r="D638" s="208" t="s">
        <v>113</v>
      </c>
      <c r="E638" s="209"/>
      <c r="F638" s="210">
        <f>BUG_GL!H82</f>
        <v>0</v>
      </c>
      <c r="G638" s="211">
        <f>BUG_GL!I82</f>
        <v>10983302.846000003</v>
      </c>
      <c r="H638" s="210">
        <f>BUG_GL!J82</f>
        <v>0</v>
      </c>
      <c r="I638" s="211">
        <f>BUG_GL!K82</f>
        <v>-10566036.280000003</v>
      </c>
      <c r="J638" s="210">
        <f>BUG_GL!L82</f>
        <v>0</v>
      </c>
      <c r="K638" s="211">
        <f>BUG_GL!M82</f>
        <v>-62093.420000000006</v>
      </c>
      <c r="L638" s="210">
        <f>BUG_GL!N82</f>
        <v>0</v>
      </c>
      <c r="M638" s="211">
        <f>BUG_GL!O82</f>
        <v>1820570.2180000001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141</v>
      </c>
      <c r="E639" s="209"/>
      <c r="F639" s="210">
        <f>CE_GL!H82</f>
        <v>0</v>
      </c>
      <c r="G639" s="212">
        <f>CE_GL!I82</f>
        <v>-3629573.1239999733</v>
      </c>
      <c r="H639" s="210">
        <f>CE_GL!J82</f>
        <v>0</v>
      </c>
      <c r="I639" s="211">
        <f>CE_GL!K82</f>
        <v>-1609351.6479999989</v>
      </c>
      <c r="J639" s="210">
        <f>CE_GL!L82</f>
        <v>0</v>
      </c>
      <c r="K639" s="211">
        <f>CE_GL!M82</f>
        <v>1697517.3279999944</v>
      </c>
      <c r="L639" s="210">
        <f>CE_GL!N82</f>
        <v>0</v>
      </c>
      <c r="M639" s="211">
        <f>CE_GL!O82</f>
        <v>2007157.8120000002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142</v>
      </c>
      <c r="E640" s="209"/>
      <c r="F640" s="210">
        <f>+'EAST-EGM-GL'!H82</f>
        <v>0</v>
      </c>
      <c r="G640" s="211">
        <f>+'EAST-EGM-GL'!I82</f>
        <v>10691469.334999859</v>
      </c>
      <c r="H640" s="210">
        <f>+'EAST-EGM-GL'!J82</f>
        <v>0</v>
      </c>
      <c r="I640" s="211">
        <f>+'EAST-EGM-GL'!K82</f>
        <v>4309407.8249999871</v>
      </c>
      <c r="J640" s="210">
        <f>+'EAST-EGM-GL'!L82</f>
        <v>0</v>
      </c>
      <c r="K640" s="210">
        <f>+'EAST-EGM-GL'!M82</f>
        <v>19905590.467999998</v>
      </c>
      <c r="L640" s="210">
        <f>+'EAST-EGM-GL'!N82</f>
        <v>0</v>
      </c>
      <c r="M640" s="210">
        <f>+'EAST-EGM-GL'!O82</f>
        <v>5756406.4639999988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150</v>
      </c>
      <c r="E641" s="209"/>
      <c r="F641" s="210">
        <f>+'EAST-LRC-GL'!H82</f>
        <v>0</v>
      </c>
      <c r="G641" s="211">
        <f>+'EAST-LRC-GL'!I82</f>
        <v>740264.45999999973</v>
      </c>
      <c r="H641" s="210">
        <f>+'EAST-LRC-GL'!J82</f>
        <v>0</v>
      </c>
      <c r="I641" s="211">
        <f>+'EAST-LRC-GL'!K82</f>
        <v>716650.94199999922</v>
      </c>
      <c r="J641" s="210">
        <f>+'EAST-LRC-GL'!L82</f>
        <v>0</v>
      </c>
      <c r="K641" s="210">
        <f>+'EAST-LRC-GL'!M82</f>
        <v>-132761.49100000013</v>
      </c>
      <c r="L641" s="210">
        <f>+'EAST-LRC-GL'!N82</f>
        <v>0</v>
      </c>
      <c r="M641" s="210">
        <f>+'EAST-LRC-GL'!O82</f>
        <v>122666.66500000001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152</v>
      </c>
      <c r="E643" s="209"/>
      <c r="F643" s="210">
        <f>+'EAST-CON-GL '!H82</f>
        <v>0</v>
      </c>
      <c r="G643" s="210">
        <f>+'EAST-CON-GL '!I82</f>
        <v>11431733.79499981</v>
      </c>
      <c r="H643" s="210">
        <f>+'EAST-CON-GL '!J82</f>
        <v>0</v>
      </c>
      <c r="I643" s="210">
        <f>+'EAST-CON-GL '!K82</f>
        <v>5026058.7669999916</v>
      </c>
      <c r="J643" s="210">
        <f>+'EAST-CON-GL '!L82</f>
        <v>0</v>
      </c>
      <c r="K643" s="210">
        <f>+'EAST-CON-GL '!M82</f>
        <v>19772828.977000002</v>
      </c>
      <c r="L643" s="210">
        <f>+'EAST-CON-GL '!N82</f>
        <v>0</v>
      </c>
      <c r="M643" s="210">
        <f>+'EAST-CON-GL '!O82</f>
        <v>5943282.2889999999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153</v>
      </c>
      <c r="E644" s="209"/>
      <c r="F644" s="210">
        <f>+'TX-EGM-GL'!H82</f>
        <v>0</v>
      </c>
      <c r="G644" s="211">
        <f>+'TX-EGM-GL'!I82</f>
        <v>10404897.875999998</v>
      </c>
      <c r="H644" s="210">
        <f>+'TX-EGM-GL'!J82</f>
        <v>0</v>
      </c>
      <c r="I644" s="211">
        <f>+'TX-EGM-GL'!K91</f>
        <v>-4237058.7469999976</v>
      </c>
      <c r="J644" s="210">
        <f>+'TX-EGM-GL'!L82</f>
        <v>0</v>
      </c>
      <c r="K644" s="211">
        <f>+'TX-EGM-GL'!M82</f>
        <v>1100818.3690000004</v>
      </c>
      <c r="L644" s="210">
        <f>+'TX-EGM-GL'!N82</f>
        <v>0</v>
      </c>
      <c r="M644" s="211">
        <f>+'TX-EGM-GL'!O82</f>
        <v>-248.23500000000331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181</v>
      </c>
      <c r="E645" s="209"/>
      <c r="F645" s="210">
        <f>+'TX-HPLR-GL '!H82</f>
        <v>0</v>
      </c>
      <c r="G645" s="211">
        <f>+'TX-HPLR-GL '!I82</f>
        <v>254767.59999999998</v>
      </c>
      <c r="H645" s="210">
        <f>+'TX-HPLR-GL '!J82</f>
        <v>0</v>
      </c>
      <c r="I645" s="211">
        <f>+'TX-HPLR-GL '!K82</f>
        <v>-265884.48</v>
      </c>
      <c r="J645" s="210">
        <f>+'TX-HPLR-GL '!L82</f>
        <v>0</v>
      </c>
      <c r="K645" s="211">
        <f>+'TX-HPLR-GL '!M82</f>
        <v>113410.16</v>
      </c>
      <c r="L645" s="210">
        <f>+'TX-HPLR-GL '!N82</f>
        <v>0</v>
      </c>
      <c r="M645" s="211">
        <f>+'TX-HPLR-GL '!O82</f>
        <v>415.68000000000029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180</v>
      </c>
      <c r="E646" s="209"/>
      <c r="F646" s="210">
        <f>+'TX-HPLC-GL'!H82</f>
        <v>0</v>
      </c>
      <c r="G646" s="210">
        <f>+'TX-HPLC-GL'!I82</f>
        <v>3136253</v>
      </c>
      <c r="H646" s="210">
        <f>+'TX-HPLC-GL'!J82</f>
        <v>0</v>
      </c>
      <c r="I646" s="210">
        <f>+'TX-HPLC-GL'!K82</f>
        <v>337966</v>
      </c>
      <c r="J646" s="210">
        <f>+'TX-HPLC-GL'!L82</f>
        <v>0</v>
      </c>
      <c r="K646" s="210">
        <f>+'TX-HPLC-GL'!M82</f>
        <v>-1688281</v>
      </c>
      <c r="L646" s="210">
        <f>+'TX-HPLC-GL'!N82</f>
        <v>0</v>
      </c>
      <c r="M646" s="210">
        <f>+'TX-HPLC-GL'!O82</f>
        <v>1920010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154</v>
      </c>
      <c r="E647" s="209"/>
      <c r="F647" s="210">
        <f>+'TX-CON-GL '!H82</f>
        <v>0</v>
      </c>
      <c r="G647" s="210">
        <f>+'TX-CON-GL '!I82</f>
        <v>13795918.475999985</v>
      </c>
      <c r="H647" s="210">
        <f>+'TX-CON-GL '!J82</f>
        <v>0</v>
      </c>
      <c r="I647" s="210">
        <f>+'TX-CON-GL '!K82</f>
        <v>-4164977.2269999967</v>
      </c>
      <c r="J647" s="210">
        <f>+'TX-CON-GL '!L82</f>
        <v>0</v>
      </c>
      <c r="K647" s="210">
        <f>+'TX-CON-GL '!M82</f>
        <v>-474052.47100000019</v>
      </c>
      <c r="L647" s="210">
        <f>+'TX-CON-GL '!N82</f>
        <v>0</v>
      </c>
      <c r="M647" s="210">
        <f>+'TX-CON-GL '!O82</f>
        <v>1920177.4450000001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144</v>
      </c>
      <c r="E648" s="209"/>
      <c r="F648" s="210">
        <f>+'WE-GL '!H82</f>
        <v>0</v>
      </c>
      <c r="G648" s="211">
        <f>+'WE-GL '!I82</f>
        <v>-3394592.4910000106</v>
      </c>
      <c r="H648" s="210">
        <f>+'WE-GL '!J82</f>
        <v>0</v>
      </c>
      <c r="I648" s="210">
        <f>+'WE-GL '!K82</f>
        <v>-3142502.1720000049</v>
      </c>
      <c r="J648" s="210">
        <f>+'WE-GL '!L82</f>
        <v>0</v>
      </c>
      <c r="K648" s="211">
        <f>+'WE-GL '!M82</f>
        <v>21410.122999999894</v>
      </c>
      <c r="L648" s="210">
        <f>+'WE-GL '!N82</f>
        <v>0</v>
      </c>
      <c r="M648" s="211">
        <f>+'WE-GL '!O82</f>
        <v>2301.3120000000054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202</v>
      </c>
      <c r="E649" s="209"/>
      <c r="F649" s="210">
        <f>+'DEN-GL'!H82</f>
        <v>0</v>
      </c>
      <c r="G649" s="211">
        <f>+'DEN-GL'!I82</f>
        <v>-559151.60799999756</v>
      </c>
      <c r="H649" s="210">
        <f>+'DEN-GL'!J82</f>
        <v>0</v>
      </c>
      <c r="I649" s="211">
        <f>+'DEN-GL'!K82</f>
        <v>190751.41999999931</v>
      </c>
      <c r="J649" s="210">
        <f>+'DEN-GL'!L82</f>
        <v>0</v>
      </c>
      <c r="K649" s="211">
        <f>+'DEN-GL'!M82</f>
        <v>-391223.32199999993</v>
      </c>
      <c r="L649" s="210">
        <f>+'DEN-GL'!N82</f>
        <v>0</v>
      </c>
      <c r="M649" s="211">
        <f>+'DEN-GL'!O82</f>
        <v>-243.72000000000116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146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-459457</v>
      </c>
      <c r="J650" s="210">
        <f>+STG_GL!L82</f>
        <v>0</v>
      </c>
      <c r="K650" s="210">
        <f>+STG_GL!M82</f>
        <v>2805302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160</v>
      </c>
      <c r="E651" s="209"/>
      <c r="F651" s="210">
        <f>+'ONT_GL '!H82</f>
        <v>0</v>
      </c>
      <c r="G651" s="211">
        <f>+'ONT_GL '!I82</f>
        <v>-928353.79000002448</v>
      </c>
      <c r="H651" s="210">
        <f>+'ONT_GL '!J82</f>
        <v>0</v>
      </c>
      <c r="I651" s="210">
        <f>+'ONT_GL '!K82</f>
        <v>291598.38999999966</v>
      </c>
      <c r="J651" s="210">
        <f>+'ONT_GL '!L82</f>
        <v>0</v>
      </c>
      <c r="K651" s="211">
        <f>+'ONT_GL '!M82</f>
        <v>-219481.30000000005</v>
      </c>
      <c r="L651" s="210">
        <f>+'ONT_GL '!N82</f>
        <v>0</v>
      </c>
      <c r="M651" s="211">
        <f>+'ONT_GL '!O82</f>
        <v>221666.71000000005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193</v>
      </c>
      <c r="E652" s="209"/>
      <c r="F652" s="210">
        <f>+ARUBA_GL!H82</f>
        <v>0</v>
      </c>
      <c r="G652" s="211">
        <f>+ARUBA_GL!I82</f>
        <v>3006648.0340000018</v>
      </c>
      <c r="H652" s="210">
        <f>+ARUBA_GL!J82</f>
        <v>0</v>
      </c>
      <c r="I652" s="211">
        <f>+ARUBA_GL!K82</f>
        <v>-1978384.4980000053</v>
      </c>
      <c r="J652" s="210">
        <f>+ARUBA_GL!L82</f>
        <v>0</v>
      </c>
      <c r="K652" s="211">
        <f>+ARUBA_GL!M82</f>
        <v>-1444.2159999999999</v>
      </c>
      <c r="L652" s="210">
        <f>+ARUBA_GL!N82</f>
        <v>0</v>
      </c>
      <c r="M652" s="211">
        <f>+ARUBA_GL!O82</f>
        <v>-547046.89199999999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197</v>
      </c>
      <c r="E653" s="209"/>
      <c r="F653" s="210">
        <f>+SITHE_GL!H82</f>
        <v>0</v>
      </c>
      <c r="G653" s="211">
        <f>+SITHE_GL!I82</f>
        <v>3694813.3480000021</v>
      </c>
      <c r="H653" s="210">
        <f>+SITHE_GL!J82</f>
        <v>0</v>
      </c>
      <c r="I653" s="211">
        <f>+SITHE_GL!K82</f>
        <v>-2963532.7019999996</v>
      </c>
      <c r="J653" s="210">
        <f>+SITHE_GL!L82</f>
        <v>0</v>
      </c>
      <c r="K653" s="211">
        <f>+SITHE_GL!M82</f>
        <v>159358.34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Jan Havlíček</cp:lastModifiedBy>
  <cp:lastPrinted>2000-03-17T19:43:10Z</cp:lastPrinted>
  <dcterms:created xsi:type="dcterms:W3CDTF">1997-07-11T21:57:33Z</dcterms:created>
  <dcterms:modified xsi:type="dcterms:W3CDTF">2023-09-15T15:00:27Z</dcterms:modified>
</cp:coreProperties>
</file>