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9C81D7-C374-40D3-AC73-7F58E96EA150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AD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H32" i="29"/>
  <c r="I32" i="29"/>
  <c r="J32" i="29"/>
  <c r="K32" i="29"/>
  <c r="N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H39" i="29"/>
  <c r="I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N49" i="29"/>
  <c r="O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H51" i="29"/>
  <c r="I51" i="29"/>
  <c r="N51" i="29"/>
  <c r="O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K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H55" i="29"/>
  <c r="I55" i="29"/>
  <c r="J55" i="29"/>
  <c r="L55" i="29"/>
  <c r="M55" i="29"/>
  <c r="N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I59" i="29"/>
  <c r="J59" i="29"/>
  <c r="K59" i="29"/>
  <c r="L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X20" i="21"/>
  <c r="Z20" i="21"/>
  <c r="AB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AD8" i="31"/>
  <c r="D11" i="31"/>
  <c r="E11" i="31"/>
  <c r="F11" i="31"/>
  <c r="G11" i="31"/>
  <c r="H11" i="31"/>
  <c r="I11" i="31"/>
  <c r="L11" i="31"/>
  <c r="M11" i="31"/>
  <c r="V11" i="31"/>
  <c r="W11" i="31"/>
  <c r="X11" i="31"/>
  <c r="Y11" i="31"/>
  <c r="Z11" i="31"/>
  <c r="AA11" i="31"/>
  <c r="AB11" i="31"/>
  <c r="AC11" i="31"/>
  <c r="D12" i="31"/>
  <c r="E12" i="31"/>
  <c r="F12" i="31"/>
  <c r="G12" i="31"/>
  <c r="V12" i="31"/>
  <c r="W12" i="31"/>
  <c r="X12" i="31"/>
  <c r="Y12" i="31"/>
  <c r="Z12" i="31"/>
  <c r="AA12" i="31"/>
  <c r="AB12" i="31"/>
  <c r="AC12" i="31"/>
  <c r="D13" i="31"/>
  <c r="E13" i="31"/>
  <c r="F13" i="31"/>
  <c r="G13" i="31"/>
  <c r="H13" i="31"/>
  <c r="I13" i="31"/>
  <c r="V13" i="31"/>
  <c r="W13" i="31"/>
  <c r="X13" i="31"/>
  <c r="Y13" i="31"/>
  <c r="Z13" i="31"/>
  <c r="AA13" i="31"/>
  <c r="AB13" i="31"/>
  <c r="AC13" i="31"/>
  <c r="D14" i="31"/>
  <c r="E14" i="31"/>
  <c r="F14" i="31"/>
  <c r="G14" i="31"/>
  <c r="V14" i="31"/>
  <c r="W14" i="31"/>
  <c r="X14" i="31"/>
  <c r="Y14" i="31"/>
  <c r="Z14" i="31"/>
  <c r="AA14" i="31"/>
  <c r="AB14" i="31"/>
  <c r="AC14" i="31"/>
  <c r="D15" i="31"/>
  <c r="E15" i="31"/>
  <c r="F15" i="31"/>
  <c r="G15" i="31"/>
  <c r="V15" i="31"/>
  <c r="W15" i="31"/>
  <c r="X15" i="31"/>
  <c r="Y15" i="31"/>
  <c r="Z15" i="31"/>
  <c r="AA15" i="31"/>
  <c r="AB15" i="31"/>
  <c r="AC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J19" i="31"/>
  <c r="K19" i="31"/>
  <c r="L19" i="31"/>
  <c r="M19" i="31"/>
  <c r="V19" i="31"/>
  <c r="W19" i="31"/>
  <c r="X19" i="31"/>
  <c r="Y19" i="31"/>
  <c r="Z19" i="31"/>
  <c r="AA19" i="31"/>
  <c r="AB19" i="31"/>
  <c r="AC19" i="31"/>
  <c r="D20" i="31"/>
  <c r="E20" i="31"/>
  <c r="F20" i="31"/>
  <c r="G20" i="31"/>
  <c r="V20" i="31"/>
  <c r="W20" i="31"/>
  <c r="X20" i="31"/>
  <c r="Y20" i="31"/>
  <c r="Z20" i="31"/>
  <c r="AA20" i="31"/>
  <c r="AB20" i="31"/>
  <c r="AC20" i="31"/>
  <c r="D21" i="31"/>
  <c r="E21" i="31"/>
  <c r="F21" i="31"/>
  <c r="G21" i="31"/>
  <c r="V21" i="31"/>
  <c r="W21" i="31"/>
  <c r="X21" i="31"/>
  <c r="Y21" i="31"/>
  <c r="Z21" i="31"/>
  <c r="AA21" i="31"/>
  <c r="AB21" i="31"/>
  <c r="AC21" i="31"/>
  <c r="D22" i="31"/>
  <c r="E22" i="31"/>
  <c r="F22" i="31"/>
  <c r="G22" i="31"/>
  <c r="V22" i="31"/>
  <c r="W22" i="31"/>
  <c r="X22" i="31"/>
  <c r="Y22" i="31"/>
  <c r="Z22" i="31"/>
  <c r="AA22" i="31"/>
  <c r="AB22" i="31"/>
  <c r="AC22" i="31"/>
  <c r="D23" i="31"/>
  <c r="E23" i="31"/>
  <c r="F23" i="31"/>
  <c r="G23" i="31"/>
  <c r="V23" i="31"/>
  <c r="W23" i="31"/>
  <c r="X23" i="31"/>
  <c r="Y23" i="31"/>
  <c r="Z23" i="31"/>
  <c r="AA23" i="31"/>
  <c r="AB23" i="31"/>
  <c r="AC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V27" i="31"/>
  <c r="W27" i="31"/>
  <c r="X27" i="31"/>
  <c r="Y27" i="31"/>
  <c r="Z27" i="31"/>
  <c r="AA27" i="31"/>
  <c r="AB27" i="31"/>
  <c r="AC27" i="31"/>
  <c r="D28" i="31"/>
  <c r="E28" i="31"/>
  <c r="F28" i="31"/>
  <c r="G28" i="31"/>
  <c r="V28" i="31"/>
  <c r="W28" i="31"/>
  <c r="X28" i="31"/>
  <c r="Y28" i="31"/>
  <c r="Z28" i="31"/>
  <c r="AA28" i="31"/>
  <c r="AB28" i="31"/>
  <c r="AC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V32" i="31"/>
  <c r="W32" i="31"/>
  <c r="X32" i="31"/>
  <c r="Y32" i="31"/>
  <c r="Z32" i="31"/>
  <c r="AA32" i="31"/>
  <c r="AB32" i="31"/>
  <c r="AC32" i="31"/>
  <c r="D33" i="31"/>
  <c r="E33" i="31"/>
  <c r="F33" i="31"/>
  <c r="G33" i="31"/>
  <c r="V33" i="31"/>
  <c r="W33" i="31"/>
  <c r="X33" i="31"/>
  <c r="Y33" i="31"/>
  <c r="Z33" i="31"/>
  <c r="AA33" i="31"/>
  <c r="AB33" i="31"/>
  <c r="AC33" i="31"/>
  <c r="D34" i="31"/>
  <c r="E34" i="31"/>
  <c r="F34" i="31"/>
  <c r="G34" i="31"/>
  <c r="V34" i="31"/>
  <c r="W34" i="31"/>
  <c r="X34" i="31"/>
  <c r="Y34" i="31"/>
  <c r="Z34" i="31"/>
  <c r="AA34" i="31"/>
  <c r="AB34" i="31"/>
  <c r="AC34" i="31"/>
  <c r="D35" i="31"/>
  <c r="E35" i="31"/>
  <c r="F35" i="31"/>
  <c r="G35" i="31"/>
  <c r="V35" i="31"/>
  <c r="W35" i="31"/>
  <c r="X35" i="31"/>
  <c r="Y35" i="31"/>
  <c r="Z35" i="31"/>
  <c r="AA35" i="31"/>
  <c r="AB35" i="31"/>
  <c r="AC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V39" i="31"/>
  <c r="W39" i="31"/>
  <c r="X39" i="31"/>
  <c r="Y39" i="31"/>
  <c r="Z39" i="31"/>
  <c r="AA39" i="31"/>
  <c r="AB39" i="31"/>
  <c r="AC39" i="31"/>
  <c r="D40" i="31"/>
  <c r="E40" i="31"/>
  <c r="F40" i="31"/>
  <c r="G40" i="31"/>
  <c r="V40" i="31"/>
  <c r="W40" i="31"/>
  <c r="X40" i="31"/>
  <c r="Y40" i="31"/>
  <c r="Z40" i="31"/>
  <c r="AA40" i="31"/>
  <c r="AB40" i="31"/>
  <c r="AC40" i="31"/>
  <c r="D41" i="31"/>
  <c r="E41" i="31"/>
  <c r="F41" i="31"/>
  <c r="G41" i="31"/>
  <c r="V41" i="31"/>
  <c r="W41" i="31"/>
  <c r="X41" i="31"/>
  <c r="Y41" i="31"/>
  <c r="Z41" i="31"/>
  <c r="AA41" i="31"/>
  <c r="AB41" i="31"/>
  <c r="AC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V45" i="31"/>
  <c r="W45" i="31"/>
  <c r="X45" i="31"/>
  <c r="Y45" i="31"/>
  <c r="Z45" i="31"/>
  <c r="AA45" i="31"/>
  <c r="AB45" i="31"/>
  <c r="AC45" i="31"/>
  <c r="D47" i="31"/>
  <c r="E47" i="31"/>
  <c r="F47" i="31"/>
  <c r="G47" i="31"/>
  <c r="V47" i="31"/>
  <c r="W47" i="31"/>
  <c r="X47" i="31"/>
  <c r="Y47" i="31"/>
  <c r="Z47" i="31"/>
  <c r="AA47" i="31"/>
  <c r="AB47" i="31"/>
  <c r="AC47" i="31"/>
  <c r="D49" i="31"/>
  <c r="E49" i="31"/>
  <c r="F49" i="31"/>
  <c r="G49" i="31"/>
  <c r="V49" i="31"/>
  <c r="W49" i="31"/>
  <c r="X49" i="31"/>
  <c r="Y49" i="31"/>
  <c r="Z49" i="31"/>
  <c r="AA49" i="31"/>
  <c r="AB49" i="31"/>
  <c r="AC49" i="31"/>
  <c r="D51" i="31"/>
  <c r="E51" i="31"/>
  <c r="F51" i="31"/>
  <c r="G51" i="31"/>
  <c r="V51" i="31"/>
  <c r="W51" i="31"/>
  <c r="X51" i="31"/>
  <c r="Y51" i="31"/>
  <c r="Z51" i="31"/>
  <c r="AA51" i="31"/>
  <c r="AB51" i="31"/>
  <c r="AC51" i="31"/>
  <c r="D54" i="31"/>
  <c r="E54" i="31"/>
  <c r="F54" i="31"/>
  <c r="G54" i="31"/>
  <c r="V54" i="31"/>
  <c r="W54" i="31"/>
  <c r="X54" i="31"/>
  <c r="Y54" i="31"/>
  <c r="Z54" i="31"/>
  <c r="AA54" i="31"/>
  <c r="AB54" i="31"/>
  <c r="AC54" i="31"/>
  <c r="D55" i="31"/>
  <c r="E55" i="31"/>
  <c r="F55" i="31"/>
  <c r="G55" i="31"/>
  <c r="V55" i="31"/>
  <c r="W55" i="31"/>
  <c r="X55" i="31"/>
  <c r="Y55" i="31"/>
  <c r="Z55" i="31"/>
  <c r="AA55" i="31"/>
  <c r="AB55" i="31"/>
  <c r="AC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V59" i="31"/>
  <c r="W59" i="31"/>
  <c r="X59" i="31"/>
  <c r="Y59" i="31"/>
  <c r="Z59" i="31"/>
  <c r="AA59" i="31"/>
  <c r="AB59" i="31"/>
  <c r="AC59" i="31"/>
  <c r="D60" i="31"/>
  <c r="E60" i="31"/>
  <c r="F60" i="31"/>
  <c r="G60" i="31"/>
  <c r="V60" i="31"/>
  <c r="W60" i="31"/>
  <c r="X60" i="31"/>
  <c r="Y60" i="31"/>
  <c r="Z60" i="31"/>
  <c r="AA60" i="31"/>
  <c r="AB60" i="31"/>
  <c r="AC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V64" i="31"/>
  <c r="W64" i="31"/>
  <c r="X64" i="31"/>
  <c r="Y64" i="31"/>
  <c r="Z64" i="31"/>
  <c r="AA64" i="31"/>
  <c r="AB64" i="31"/>
  <c r="AC64" i="31"/>
  <c r="D65" i="31"/>
  <c r="E65" i="31"/>
  <c r="F65" i="31"/>
  <c r="G65" i="31"/>
  <c r="V65" i="31"/>
  <c r="W65" i="31"/>
  <c r="X65" i="31"/>
  <c r="Y65" i="31"/>
  <c r="Z65" i="31"/>
  <c r="AA65" i="31"/>
  <c r="AB65" i="31"/>
  <c r="AC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V70" i="31"/>
  <c r="W70" i="31"/>
  <c r="X70" i="31"/>
  <c r="Y70" i="31"/>
  <c r="Z70" i="31"/>
  <c r="AA70" i="31"/>
  <c r="AB70" i="31"/>
  <c r="AC70" i="31"/>
  <c r="D71" i="31"/>
  <c r="E71" i="31"/>
  <c r="F71" i="31"/>
  <c r="G71" i="31"/>
  <c r="V71" i="31"/>
  <c r="W71" i="31"/>
  <c r="X71" i="31"/>
  <c r="Y71" i="31"/>
  <c r="Z71" i="31"/>
  <c r="AA71" i="31"/>
  <c r="AB71" i="31"/>
  <c r="AC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V73" i="31"/>
  <c r="W73" i="31"/>
  <c r="X73" i="31"/>
  <c r="Y73" i="31"/>
  <c r="Z73" i="31"/>
  <c r="AA73" i="31"/>
  <c r="AB73" i="31"/>
  <c r="AC73" i="31"/>
  <c r="D74" i="31"/>
  <c r="E74" i="31"/>
  <c r="F74" i="31"/>
  <c r="G74" i="31"/>
  <c r="V74" i="31"/>
  <c r="W74" i="31"/>
  <c r="X74" i="31"/>
  <c r="Y74" i="31"/>
  <c r="Z74" i="31"/>
  <c r="AB74" i="31"/>
  <c r="D75" i="31"/>
  <c r="E75" i="31"/>
  <c r="F75" i="31"/>
  <c r="G75" i="31"/>
  <c r="V75" i="31"/>
  <c r="W75" i="31"/>
  <c r="X75" i="31"/>
  <c r="Y75" i="31"/>
  <c r="Z75" i="31"/>
  <c r="AA75" i="31"/>
  <c r="AB75" i="31"/>
  <c r="AC75" i="31"/>
  <c r="D76" i="31"/>
  <c r="E76" i="31"/>
  <c r="F76" i="31"/>
  <c r="G76" i="31"/>
  <c r="V76" i="31"/>
  <c r="W76" i="31"/>
  <c r="X76" i="31"/>
  <c r="Y76" i="31"/>
  <c r="Z76" i="31"/>
  <c r="AA76" i="31"/>
  <c r="AB76" i="31"/>
  <c r="AC76" i="31"/>
  <c r="D77" i="31"/>
  <c r="E77" i="31"/>
  <c r="F77" i="31"/>
  <c r="G77" i="31"/>
  <c r="V77" i="31"/>
  <c r="W77" i="31"/>
  <c r="X77" i="31"/>
  <c r="Y77" i="31"/>
  <c r="Z77" i="31"/>
  <c r="AA77" i="31"/>
  <c r="AB77" i="31"/>
  <c r="AC77" i="31"/>
  <c r="D78" i="31"/>
  <c r="E78" i="31"/>
  <c r="F78" i="31"/>
  <c r="G78" i="31"/>
  <c r="V78" i="31"/>
  <c r="W78" i="31"/>
  <c r="X78" i="31"/>
  <c r="Y78" i="31"/>
  <c r="Z78" i="31"/>
  <c r="AA78" i="31"/>
  <c r="AB78" i="31"/>
  <c r="AC78" i="31"/>
  <c r="D79" i="31"/>
  <c r="E79" i="31"/>
  <c r="F79" i="31"/>
  <c r="G79" i="31"/>
  <c r="V79" i="31"/>
  <c r="W79" i="31"/>
  <c r="X79" i="31"/>
  <c r="Y79" i="31"/>
  <c r="Z79" i="31"/>
  <c r="AA79" i="31"/>
  <c r="AB79" i="31"/>
  <c r="AC79" i="31"/>
  <c r="D80" i="31"/>
  <c r="E80" i="31"/>
  <c r="F80" i="31"/>
  <c r="G80" i="31"/>
  <c r="V80" i="31"/>
  <c r="W80" i="31"/>
  <c r="X80" i="31"/>
  <c r="Y80" i="31"/>
  <c r="Z80" i="31"/>
  <c r="AA80" i="31"/>
  <c r="AB80" i="31"/>
  <c r="AC80" i="31"/>
  <c r="D81" i="31"/>
  <c r="E81" i="31"/>
  <c r="F81" i="31"/>
  <c r="G81" i="31"/>
  <c r="V81" i="31"/>
  <c r="W81" i="31"/>
  <c r="X81" i="31"/>
  <c r="Y81" i="31"/>
  <c r="Z81" i="31"/>
  <c r="AA81" i="31"/>
  <c r="AB81" i="31"/>
  <c r="AC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Y11" i="6"/>
  <c r="D12" i="6"/>
  <c r="E12" i="6"/>
  <c r="D13" i="6"/>
  <c r="E13" i="6"/>
  <c r="D14" i="6"/>
  <c r="E14" i="6"/>
  <c r="D15" i="6"/>
  <c r="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G54" i="6"/>
  <c r="I54" i="6"/>
  <c r="Y54" i="6"/>
  <c r="D55" i="6"/>
  <c r="E55" i="6"/>
  <c r="G55" i="6"/>
  <c r="I55" i="6"/>
  <c r="O55" i="6"/>
  <c r="Y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S74" i="6"/>
  <c r="U74" i="6"/>
  <c r="D75" i="6"/>
  <c r="E75" i="6"/>
  <c r="D76" i="6"/>
  <c r="E76" i="6"/>
  <c r="D77" i="6"/>
  <c r="E77" i="6"/>
  <c r="D78" i="6"/>
  <c r="E78" i="6"/>
  <c r="D79" i="6"/>
  <c r="E79" i="6"/>
  <c r="G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AD8" i="30"/>
  <c r="D11" i="30"/>
  <c r="E11" i="30"/>
  <c r="F11" i="30"/>
  <c r="G11" i="30"/>
  <c r="K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Q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U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U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X20" i="25"/>
  <c r="Z20" i="25"/>
  <c r="AB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B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X20" i="28"/>
  <c r="Z20" i="28"/>
  <c r="AB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scarmic</author>
  </authors>
  <commentList>
    <comment ref="Y54" authorId="0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5/99 prod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Demand revaluation per P. Love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W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<sst xmlns="http://schemas.openxmlformats.org/spreadsheetml/2006/main" count="4786" uniqueCount="203">
  <si>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</si>
  <si>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</si>
  <si>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</si>
  <si>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</si>
  <si>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</si>
  <si>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</si>
  <si>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</si>
  <si>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</si>
  <si>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</si>
  <si>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</si>
  <si>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</si>
  <si>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</si>
  <si>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</si>
  <si>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</si>
  <si>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</si>
  <si>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</si>
  <si>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</si>
  <si>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</si>
  <si>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</si>
  <si>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</si>
  <si>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</si>
  <si>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</si>
  <si>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</si>
  <si>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</si>
  <si>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</si>
  <si>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</si>
  <si>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</si>
  <si>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</si>
  <si>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</si>
  <si>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</si>
  <si>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</si>
  <si>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</si>
  <si>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</si>
  <si>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</si>
  <si>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</si>
  <si>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</si>
  <si>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</si>
  <si>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</si>
  <si>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</si>
  <si>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</si>
  <si>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</si>
  <si>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</si>
  <si>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</si>
  <si>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</si>
  <si>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</si>
  <si>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</si>
  <si>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</si>
  <si>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</si>
  <si>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</si>
  <si>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</si>
  <si>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</si>
  <si>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</si>
  <si>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</si>
  <si>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</si>
  <si>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</si>
  <si>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</si>
  <si>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</si>
  <si>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</si>
  <si>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</si>
  <si>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</si>
  <si>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</si>
  <si>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</si>
  <si>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</si>
  <si>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</si>
  <si>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</si>
  <si>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</si>
  <si>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</si>
  <si>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</si>
  <si>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</si>
  <si>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</si>
  <si>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</si>
  <si>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</si>
  <si>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</si>
  <si>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</si>
  <si>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</si>
  <si>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</si>
  <si>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</si>
  <si>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</si>
  <si>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</si>
  <si>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</si>
  <si>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</si>
  <si>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</si>
  <si>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</si>
  <si>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</si>
  <si>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</si>
  <si>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</si>
  <si>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</si>
  <si>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</si>
  <si>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</si>
  <si>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</si>
  <si>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</si>
  <si>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</si>
  <si>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</si>
  <si>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</si>
  <si>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</si>
  <si>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</si>
  <si>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</si>
  <si>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</si>
  <si>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</si>
  <si>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</si>
  <si>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</si>
  <si>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</si>
  <si>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</si>
  <si>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</si>
  <si>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</si>
  <si>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</si>
  <si>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</si>
  <si>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</si>
  <si>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</si>
  <si>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</si>
  <si>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</si>
  <si>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</si>
  <si>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</si>
  <si>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</si>
  <si>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</si>
  <si>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</si>
  <si>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</si>
  <si>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</si>
  <si>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</si>
  <si>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</si>
  <si>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</si>
  <si>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</si>
  <si>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</si>
  <si>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</si>
  <si>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</si>
  <si>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</si>
  <si>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</si>
  <si>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</si>
  <si>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</si>
  <si>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</si>
  <si>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</si>
  <si>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</si>
  <si>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</si>
  <si>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</si>
  <si>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</si>
  <si>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</si>
  <si>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</si>
  <si>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</si>
  <si>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</si>
  <si>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</si>
  <si>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</si>
  <si>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</si>
  <si>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</si>
  <si>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</si>
  <si>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</si>
  <si>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</si>
  <si>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</si>
  <si>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</si>
  <si>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</si>
  <si>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</si>
  <si>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</si>
  <si>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</si>
  <si>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</si>
  <si>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</si>
  <si>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</si>
  <si>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</si>
  <si>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</si>
  <si>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</si>
  <si>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</si>
  <si>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</si>
  <si>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</si>
  <si>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</si>
  <si>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</si>
  <si>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</si>
  <si>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</si>
  <si>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</si>
  <si>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</si>
  <si>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</si>
  <si>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</si>
  <si>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</si>
  <si>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</si>
  <si>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</si>
  <si>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</si>
  <si>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</si>
  <si>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</si>
  <si>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</si>
  <si>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</si>
  <si>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</si>
  <si>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</si>
  <si>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</si>
  <si>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</si>
  <si>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</si>
  <si>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</si>
  <si>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</si>
  <si>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</si>
  <si>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</si>
  <si>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</si>
  <si>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</si>
  <si>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June</t>
  </si>
  <si>
    <t>9906V</t>
  </si>
  <si>
    <t>9906A</t>
  </si>
  <si>
    <t>July</t>
  </si>
  <si>
    <t>PRODUCTION MONTH: 9906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</si>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</sst>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4" fillId="0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CCFFF28-5006-6C10-7301-AE5C09FE6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5C685B8-72AD-7187-0F10-4890485D3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4C2454D-1732-ABC0-6063-E8D3B4629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77F45A2-CD57-1658-B8D3-B176FAD7C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BAAEA3E-7F11-4504-96C2-975528041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8397661-4604-71FD-956A-78BA5D096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FF4413D-2452-C9A4-741F-07AB6B513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B0E7EE7-1019-CFB7-881C-96C57BFE8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5D1014F-0D6B-468E-7256-32EDFE327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B52A396-783B-09AB-E781-C092A5E37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BE81C44-533F-4629-AB4E-838F90055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7">
          <cell r="C47">
            <v>-222290.94000000134</v>
          </cell>
          <cell r="G47">
            <v>-1718800.9400000013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44">
            <v>2002768</v>
          </cell>
          <cell r="C44">
            <v>-1615621</v>
          </cell>
          <cell r="D44">
            <v>0</v>
          </cell>
          <cell r="E44">
            <v>0</v>
          </cell>
          <cell r="F44">
            <v>0</v>
          </cell>
          <cell r="G44">
            <v>1388038</v>
          </cell>
          <cell r="H44">
            <v>2136973</v>
          </cell>
          <cell r="I44">
            <v>0</v>
          </cell>
          <cell r="J44">
            <v>0</v>
          </cell>
          <cell r="K44">
            <v>0</v>
          </cell>
          <cell r="L44">
            <v>-33774</v>
          </cell>
          <cell r="M44">
            <v>149791</v>
          </cell>
          <cell r="O44">
            <v>-2531665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5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72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11" sqref="D11: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0">
        <v>48318940</v>
      </c>
      <c r="E11" s="38">
        <v>108156193.66999999</v>
      </c>
      <c r="F11" s="65">
        <f>H11-D11</f>
        <v>0</v>
      </c>
      <c r="G11" s="63">
        <f>I11-E11</f>
        <v>0</v>
      </c>
      <c r="H11" s="65">
        <f>D11</f>
        <v>48318940</v>
      </c>
      <c r="I11" s="66">
        <f>E11</f>
        <v>108156193.66999999</v>
      </c>
      <c r="J11" s="60"/>
      <c r="K11" s="38"/>
      <c r="L11" s="60">
        <f t="shared" ref="L11:M15" si="0">H11+J11</f>
        <v>48318940</v>
      </c>
      <c r="M11" s="38">
        <f t="shared" si="0"/>
        <v>108156193.66999999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48318940</v>
      </c>
      <c r="E16" s="39">
        <v>108156193.66999999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48318940</v>
      </c>
      <c r="I16" s="39">
        <f>SUM(I11:I15)</f>
        <v>108156193.66999999</v>
      </c>
      <c r="J16" s="61">
        <f t="shared" si="3"/>
        <v>0</v>
      </c>
      <c r="K16" s="39">
        <f t="shared" si="3"/>
        <v>0</v>
      </c>
      <c r="L16" s="61">
        <f t="shared" si="3"/>
        <v>48318940</v>
      </c>
      <c r="M16" s="39">
        <f t="shared" si="3"/>
        <v>108156193.66999999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-47849624</v>
      </c>
      <c r="E19" s="38">
        <v>-105545250.86999999</v>
      </c>
      <c r="F19" s="65">
        <f>H19-D19</f>
        <v>0</v>
      </c>
      <c r="G19" s="63">
        <f>I19-E19</f>
        <v>0</v>
      </c>
      <c r="H19" s="65">
        <f t="shared" si="4"/>
        <v>-47849624</v>
      </c>
      <c r="I19" s="66">
        <f t="shared" si="4"/>
        <v>-105545250.86999999</v>
      </c>
      <c r="J19" s="60"/>
      <c r="K19" s="38"/>
      <c r="L19" s="60">
        <f t="shared" ref="L19:M23" si="5">H19+J19</f>
        <v>-47849624</v>
      </c>
      <c r="M19" s="38">
        <f t="shared" si="5"/>
        <v>-105545250.86999999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-1728732</v>
      </c>
      <c r="E21" s="38">
        <v>-3845421.13</v>
      </c>
      <c r="F21" s="65">
        <f t="shared" si="6"/>
        <v>0</v>
      </c>
      <c r="G21" s="63">
        <f t="shared" si="6"/>
        <v>0</v>
      </c>
      <c r="H21" s="65">
        <f t="shared" si="4"/>
        <v>-1728732</v>
      </c>
      <c r="I21" s="66">
        <f t="shared" si="4"/>
        <v>-3845421.13</v>
      </c>
      <c r="J21" s="60"/>
      <c r="K21" s="38"/>
      <c r="L21" s="60">
        <f t="shared" si="5"/>
        <v>-1728732</v>
      </c>
      <c r="M21" s="38">
        <f t="shared" si="5"/>
        <v>-3845421.13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15826</v>
      </c>
      <c r="E23" s="38">
        <v>35650.74</v>
      </c>
      <c r="F23" s="65">
        <f t="shared" si="6"/>
        <v>0</v>
      </c>
      <c r="G23" s="63">
        <f t="shared" si="6"/>
        <v>0</v>
      </c>
      <c r="H23" s="65">
        <f t="shared" si="4"/>
        <v>15826</v>
      </c>
      <c r="I23" s="66">
        <f t="shared" si="4"/>
        <v>35650.74</v>
      </c>
      <c r="J23" s="60"/>
      <c r="K23" s="38"/>
      <c r="L23" s="60">
        <f t="shared" si="5"/>
        <v>15826</v>
      </c>
      <c r="M23" s="38">
        <f t="shared" si="5"/>
        <v>35650.74</v>
      </c>
    </row>
    <row r="24" spans="1:13" x14ac:dyDescent="0.2">
      <c r="A24" s="9"/>
      <c r="B24" s="7" t="s">
        <v>36</v>
      </c>
      <c r="C24" s="6"/>
      <c r="D24" s="61">
        <v>-49562530</v>
      </c>
      <c r="E24" s="39">
        <v>-109355021.25999999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-49562530</v>
      </c>
      <c r="I24" s="39">
        <f>SUM(I19:I23)</f>
        <v>-109355021.25999999</v>
      </c>
      <c r="J24" s="61">
        <f t="shared" si="7"/>
        <v>0</v>
      </c>
      <c r="K24" s="39">
        <f t="shared" si="7"/>
        <v>0</v>
      </c>
      <c r="L24" s="61">
        <f t="shared" si="7"/>
        <v>-49562530</v>
      </c>
      <c r="M24" s="39">
        <f t="shared" si="7"/>
        <v>-109355021.25999999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28708482</v>
      </c>
      <c r="E27" s="38">
        <v>65345122.939999998</v>
      </c>
      <c r="F27" s="65">
        <f>H27-D27</f>
        <v>0</v>
      </c>
      <c r="G27" s="63">
        <f>I27-E27</f>
        <v>0</v>
      </c>
      <c r="H27" s="65">
        <f>D27</f>
        <v>28708482</v>
      </c>
      <c r="I27" s="66">
        <f>E27</f>
        <v>65345122.939999998</v>
      </c>
      <c r="J27" s="60"/>
      <c r="K27" s="38"/>
      <c r="L27" s="60">
        <f>H27+J27</f>
        <v>28708482</v>
      </c>
      <c r="M27" s="38">
        <f>I27+K27</f>
        <v>65345122.939999998</v>
      </c>
    </row>
    <row r="28" spans="1:13" x14ac:dyDescent="0.2">
      <c r="A28" s="9">
        <v>12</v>
      </c>
      <c r="B28" s="7"/>
      <c r="C28" s="18" t="s">
        <v>39</v>
      </c>
      <c r="D28" s="60">
        <v>-28733492</v>
      </c>
      <c r="E28" s="38">
        <v>-65401145.100000001</v>
      </c>
      <c r="F28" s="65">
        <f>H28-D28</f>
        <v>0</v>
      </c>
      <c r="G28" s="63">
        <f>I28-E28</f>
        <v>0</v>
      </c>
      <c r="H28" s="65">
        <f>D28</f>
        <v>-28733492</v>
      </c>
      <c r="I28" s="66">
        <f>E28</f>
        <v>-65401145.100000001</v>
      </c>
      <c r="J28" s="60"/>
      <c r="K28" s="38"/>
      <c r="L28" s="60">
        <f>H28+J28</f>
        <v>-28733492</v>
      </c>
      <c r="M28" s="38">
        <f>I28+K28</f>
        <v>-65401145.100000001</v>
      </c>
    </row>
    <row r="29" spans="1:13" x14ac:dyDescent="0.2">
      <c r="A29" s="9"/>
      <c r="B29" s="7" t="s">
        <v>40</v>
      </c>
      <c r="C29" s="6"/>
      <c r="D29" s="61">
        <v>-25010</v>
      </c>
      <c r="E29" s="39">
        <v>-56022.160000003874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-25010</v>
      </c>
      <c r="I29" s="39">
        <f>SUM(I27:I28)</f>
        <v>-56022.160000003874</v>
      </c>
      <c r="J29" s="61">
        <f t="shared" si="8"/>
        <v>0</v>
      </c>
      <c r="K29" s="39">
        <f t="shared" si="8"/>
        <v>0</v>
      </c>
      <c r="L29" s="61">
        <f t="shared" si="8"/>
        <v>-25010</v>
      </c>
      <c r="M29" s="39">
        <f t="shared" si="8"/>
        <v>-56022.160000003874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87461</v>
      </c>
      <c r="E33" s="38">
        <v>158941.20053762317</v>
      </c>
      <c r="F33" s="65">
        <f t="shared" ref="F33:G35" si="11">H33-D33</f>
        <v>0</v>
      </c>
      <c r="G33" s="63">
        <f t="shared" si="11"/>
        <v>0</v>
      </c>
      <c r="H33" s="65">
        <f t="shared" si="9"/>
        <v>87461</v>
      </c>
      <c r="I33" s="66">
        <f t="shared" si="9"/>
        <v>158941.20053762317</v>
      </c>
      <c r="J33" s="60"/>
      <c r="K33" s="38"/>
      <c r="L33" s="60">
        <f t="shared" si="10"/>
        <v>87461</v>
      </c>
      <c r="M33" s="38">
        <f t="shared" si="10"/>
        <v>158941.20053762317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87461</v>
      </c>
      <c r="E36" s="39">
        <v>158941.20053762317</v>
      </c>
      <c r="F36" s="61">
        <f>SUM(F32:F35)</f>
        <v>0</v>
      </c>
      <c r="G36" s="39">
        <f>SUM(G32:G35)</f>
        <v>0</v>
      </c>
      <c r="H36" s="61">
        <f>SUM(H32:H35)</f>
        <v>87461</v>
      </c>
      <c r="I36" s="39">
        <f>SUM(I32:I35)</f>
        <v>158941.20053762317</v>
      </c>
      <c r="J36" s="61">
        <f>SUM(J32:J34)</f>
        <v>0</v>
      </c>
      <c r="K36" s="39">
        <f>SUM(K32:K34)</f>
        <v>0</v>
      </c>
      <c r="L36" s="61">
        <f>SUM(L32:L35)</f>
        <v>87461</v>
      </c>
      <c r="M36" s="39">
        <f>SUM(M32:M35)</f>
        <v>158941.20053762317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2109056</v>
      </c>
      <c r="E39" s="38">
        <v>4713318.3499999996</v>
      </c>
      <c r="F39" s="65">
        <f t="shared" ref="F39:G41" si="13">H39-D39</f>
        <v>0</v>
      </c>
      <c r="G39" s="63">
        <f t="shared" si="13"/>
        <v>0</v>
      </c>
      <c r="H39" s="65">
        <f t="shared" si="12"/>
        <v>2109056</v>
      </c>
      <c r="I39" s="66">
        <f t="shared" si="12"/>
        <v>4713318.3499999996</v>
      </c>
      <c r="J39" s="60"/>
      <c r="K39" s="38"/>
      <c r="L39" s="60">
        <f t="shared" ref="L39:M41" si="14">H39+J39</f>
        <v>2109056</v>
      </c>
      <c r="M39" s="38">
        <f t="shared" si="14"/>
        <v>4713318.3499999996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-927917</v>
      </c>
      <c r="E40" s="38">
        <v>-2073864.9</v>
      </c>
      <c r="F40" s="65">
        <f t="shared" si="13"/>
        <v>0</v>
      </c>
      <c r="G40" s="63">
        <f t="shared" si="13"/>
        <v>0</v>
      </c>
      <c r="H40" s="65">
        <f t="shared" si="12"/>
        <v>-927917</v>
      </c>
      <c r="I40" s="66">
        <f t="shared" si="12"/>
        <v>-2073864.9</v>
      </c>
      <c r="J40" s="60"/>
      <c r="K40" s="38"/>
      <c r="L40" s="60">
        <f t="shared" si="14"/>
        <v>-927917</v>
      </c>
      <c r="M40" s="38">
        <f t="shared" si="14"/>
        <v>-2073864.9</v>
      </c>
    </row>
    <row r="41" spans="1:13" x14ac:dyDescent="0.2">
      <c r="A41" s="9">
        <v>19</v>
      </c>
      <c r="B41" s="7"/>
      <c r="C41" s="18" t="s">
        <v>50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-927917</v>
      </c>
      <c r="E42" s="39">
        <v>-2073864.9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-927917</v>
      </c>
      <c r="I42" s="39">
        <f>SUM(I40:I41)</f>
        <v>-2073864.9</v>
      </c>
      <c r="J42" s="61">
        <f t="shared" si="15"/>
        <v>0</v>
      </c>
      <c r="K42" s="39">
        <f t="shared" si="15"/>
        <v>0</v>
      </c>
      <c r="L42" s="69">
        <f t="shared" si="15"/>
        <v>-927917</v>
      </c>
      <c r="M42" s="70">
        <f t="shared" si="15"/>
        <v>-2073864.9</v>
      </c>
    </row>
    <row r="43" spans="1:13" ht="21" customHeight="1" x14ac:dyDescent="0.2">
      <c r="A43" s="9"/>
      <c r="B43" s="7" t="s">
        <v>52</v>
      </c>
      <c r="C43" s="6"/>
      <c r="D43" s="60">
        <v>1181139</v>
      </c>
      <c r="E43" s="38">
        <v>2639453.4500000002</v>
      </c>
      <c r="F43" s="61">
        <f t="shared" ref="F43:M43" si="16">F42+F39</f>
        <v>0</v>
      </c>
      <c r="G43" s="39">
        <f t="shared" si="16"/>
        <v>0</v>
      </c>
      <c r="H43" s="61">
        <f>H42+H39</f>
        <v>1181139</v>
      </c>
      <c r="I43" s="39">
        <f>I42+I39</f>
        <v>2639453.4499999997</v>
      </c>
      <c r="J43" s="61">
        <f t="shared" si="16"/>
        <v>0</v>
      </c>
      <c r="K43" s="39">
        <f t="shared" si="16"/>
        <v>0</v>
      </c>
      <c r="L43" s="61">
        <f t="shared" si="16"/>
        <v>1181139</v>
      </c>
      <c r="M43" s="39">
        <f t="shared" si="16"/>
        <v>2639453.4499999997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-15826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-15826</v>
      </c>
      <c r="I51" s="66">
        <f>E51</f>
        <v>-25000</v>
      </c>
      <c r="J51" s="60"/>
      <c r="K51" s="38"/>
      <c r="L51" s="60">
        <f>H51+J51</f>
        <v>-15826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-977752.72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-977752.72</v>
      </c>
      <c r="J54" s="60"/>
      <c r="K54" s="38"/>
      <c r="L54" s="60">
        <f>H54+J54</f>
        <v>0</v>
      </c>
      <c r="M54" s="38">
        <f>I54+K54</f>
        <v>-977752.72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-15000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60</v>
      </c>
      <c r="C56" s="6"/>
      <c r="D56" s="61">
        <v>0</v>
      </c>
      <c r="E56" s="39">
        <v>-992752.72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-992752.72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-992752.72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722248.91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722248.91</v>
      </c>
      <c r="J70" s="60"/>
      <c r="K70" s="38"/>
      <c r="L70" s="60">
        <f t="shared" si="20"/>
        <v>0</v>
      </c>
      <c r="M70" s="38">
        <f t="shared" si="20"/>
        <v>722248.91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-250999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-250999</v>
      </c>
      <c r="J71" s="60"/>
      <c r="K71" s="38"/>
      <c r="L71" s="60">
        <f t="shared" si="20"/>
        <v>0</v>
      </c>
      <c r="M71" s="38">
        <f t="shared" si="20"/>
        <v>-250999</v>
      </c>
    </row>
    <row r="72" spans="1:13" x14ac:dyDescent="0.2">
      <c r="A72" s="9"/>
      <c r="B72" s="3"/>
      <c r="C72" s="55" t="s">
        <v>72</v>
      </c>
      <c r="D72" s="61">
        <v>0</v>
      </c>
      <c r="E72" s="39">
        <v>471249.91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471249.91000000003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471249.91000000003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740576.15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740576.15</v>
      </c>
      <c r="J74" s="60"/>
      <c r="K74" s="38"/>
      <c r="L74" s="60">
        <f t="shared" si="23"/>
        <v>0</v>
      </c>
      <c r="M74" s="38">
        <f t="shared" si="23"/>
        <v>740576.15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126894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126894</v>
      </c>
      <c r="J75" s="60"/>
      <c r="K75" s="38"/>
      <c r="L75" s="60">
        <f t="shared" si="23"/>
        <v>0</v>
      </c>
      <c r="M75" s="38">
        <f t="shared" si="23"/>
        <v>126894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-22536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-22536</v>
      </c>
      <c r="J76" s="60"/>
      <c r="K76" s="38"/>
      <c r="L76" s="60">
        <f t="shared" si="23"/>
        <v>0</v>
      </c>
      <c r="M76" s="38">
        <f t="shared" si="23"/>
        <v>-22536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-103300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-103300</v>
      </c>
      <c r="J77" s="60"/>
      <c r="K77" s="38"/>
      <c r="L77" s="60">
        <f t="shared" si="23"/>
        <v>0</v>
      </c>
      <c r="M77" s="38">
        <f t="shared" si="23"/>
        <v>-103300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38">
        <v>166908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166908</v>
      </c>
      <c r="J81" s="60"/>
      <c r="K81" s="38"/>
      <c r="L81" s="60">
        <f t="shared" si="23"/>
        <v>0</v>
      </c>
      <c r="M81" s="38">
        <f t="shared" si="23"/>
        <v>166908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167">
        <f>SUM(E72:E81)+E16+E24+E29+E36+E43+E45+E47+E49+E51+E56+E61+E66</f>
        <v>1905584.2405376181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1905584.2405376181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1905584.2405376181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181</v>
      </c>
      <c r="B85" s="3"/>
      <c r="M85" s="45">
        <f>M82+'TX-HPL-FLSH'!M82</f>
        <v>1999525.6801189326</v>
      </c>
    </row>
    <row r="86" spans="1:67" s="3" customFormat="1" x14ac:dyDescent="0.2">
      <c r="A86" s="174"/>
      <c r="C86" s="10" t="s">
        <v>177</v>
      </c>
      <c r="D86" s="178">
        <v>0</v>
      </c>
      <c r="E86" s="178">
        <v>114066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114066</v>
      </c>
      <c r="J86" s="178"/>
      <c r="K86" s="178"/>
      <c r="L86" s="178">
        <f t="shared" ref="L86:M88" si="27">H86+J86</f>
        <v>0</v>
      </c>
      <c r="M86" s="178">
        <f t="shared" si="27"/>
        <v>114066</v>
      </c>
    </row>
    <row r="87" spans="1:67" s="3" customFormat="1" x14ac:dyDescent="0.2">
      <c r="A87" s="174"/>
      <c r="C87" s="10" t="s">
        <v>74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67" s="3" customFormat="1" x14ac:dyDescent="0.2">
      <c r="A88" s="174"/>
      <c r="C88" s="10" t="s">
        <v>75</v>
      </c>
      <c r="D88" s="180">
        <v>0</v>
      </c>
      <c r="E88" s="180">
        <v>-113464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-113464</v>
      </c>
      <c r="J88" s="180"/>
      <c r="K88" s="180"/>
      <c r="L88" s="180">
        <f t="shared" si="27"/>
        <v>0</v>
      </c>
      <c r="M88" s="180">
        <f t="shared" si="27"/>
        <v>-113464</v>
      </c>
    </row>
    <row r="89" spans="1:67" s="44" customFormat="1" ht="20.25" customHeight="1" x14ac:dyDescent="0.2">
      <c r="A89" s="181"/>
      <c r="B89" s="182"/>
      <c r="C89" s="183" t="s">
        <v>180</v>
      </c>
      <c r="D89" s="185">
        <f>SUM(D86:D88)</f>
        <v>0</v>
      </c>
      <c r="E89" s="185">
        <f t="shared" ref="E89:M89" si="28">SUM(E86:E88)</f>
        <v>602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602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178</v>
      </c>
      <c r="D91" s="185">
        <f>+D82+D89</f>
        <v>0</v>
      </c>
      <c r="E91" s="185">
        <f t="shared" ref="E91:M91" si="29">+E82+E89</f>
        <v>1906186.2405376181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1906186.2405376181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1906186.2405376181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0">
        <v>1071329</v>
      </c>
      <c r="E11" s="60">
        <v>2372467.3300000131</v>
      </c>
      <c r="F11" s="60">
        <f>H11-D11</f>
        <v>0</v>
      </c>
      <c r="G11" s="37">
        <f>I11-E11</f>
        <v>0</v>
      </c>
      <c r="H11" s="65">
        <f>D11</f>
        <v>1071329</v>
      </c>
      <c r="I11" s="66">
        <f>E11</f>
        <v>2372467.3300000131</v>
      </c>
      <c r="J11" s="60"/>
      <c r="K11" s="38"/>
      <c r="L11" s="60">
        <f t="shared" ref="L11:M15" si="0">H11+J11</f>
        <v>1071329</v>
      </c>
      <c r="M11" s="38">
        <f t="shared" si="0"/>
        <v>2372467.3300000131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1071329</v>
      </c>
      <c r="E16" s="39">
        <v>2372467.3300000131</v>
      </c>
      <c r="F16" s="61">
        <f t="shared" ref="F16:M16" si="3">SUM(F11:F15)</f>
        <v>0</v>
      </c>
      <c r="G16" s="39">
        <f t="shared" si="3"/>
        <v>0</v>
      </c>
      <c r="H16" s="61">
        <f>SUM(H11:H15)</f>
        <v>1071329</v>
      </c>
      <c r="I16" s="39">
        <f>SUM(I11:I15)</f>
        <v>2372467.3300000131</v>
      </c>
      <c r="J16" s="61">
        <f t="shared" si="3"/>
        <v>0</v>
      </c>
      <c r="K16" s="39">
        <f t="shared" si="3"/>
        <v>0</v>
      </c>
      <c r="L16" s="61">
        <f t="shared" si="3"/>
        <v>1071329</v>
      </c>
      <c r="M16" s="39">
        <f t="shared" si="3"/>
        <v>2372467.3300000131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-1143041</v>
      </c>
      <c r="E19" s="60">
        <v>-2493269.1300000101</v>
      </c>
      <c r="F19" s="60">
        <f>H19-D19</f>
        <v>0</v>
      </c>
      <c r="G19" s="37">
        <f>I19-E19</f>
        <v>0</v>
      </c>
      <c r="H19" s="65">
        <f t="shared" si="4"/>
        <v>-1143041</v>
      </c>
      <c r="I19" s="66">
        <f t="shared" si="4"/>
        <v>-2493269.1300000101</v>
      </c>
      <c r="J19" s="60"/>
      <c r="K19" s="38"/>
      <c r="L19" s="60">
        <f t="shared" ref="L19:M23" si="5">H19+J19</f>
        <v>-1143041</v>
      </c>
      <c r="M19" s="38">
        <f t="shared" si="5"/>
        <v>-2493269.1300000101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0</v>
      </c>
      <c r="E21" s="60">
        <v>1.1299999998882413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1.1299999998882413</v>
      </c>
      <c r="J21" s="60"/>
      <c r="K21" s="38"/>
      <c r="L21" s="60">
        <f t="shared" si="5"/>
        <v>0</v>
      </c>
      <c r="M21" s="38">
        <f t="shared" si="5"/>
        <v>1.1299999998882413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60">
        <v>-1.7399999999979627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-1.7399999999979627</v>
      </c>
      <c r="J23" s="60"/>
      <c r="K23" s="38"/>
      <c r="L23" s="60">
        <f t="shared" si="5"/>
        <v>0</v>
      </c>
      <c r="M23" s="38">
        <f t="shared" si="5"/>
        <v>-1.7399999999979627</v>
      </c>
    </row>
    <row r="24" spans="1:13" x14ac:dyDescent="0.2">
      <c r="A24" s="9"/>
      <c r="B24" s="7" t="s">
        <v>36</v>
      </c>
      <c r="C24" s="6"/>
      <c r="D24" s="61">
        <v>-1143041</v>
      </c>
      <c r="E24" s="39">
        <v>-2493269.7400000105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-1143041</v>
      </c>
      <c r="I24" s="39">
        <f>SUM(I19:I23)</f>
        <v>-2493269.7400000105</v>
      </c>
      <c r="J24" s="61">
        <f t="shared" si="7"/>
        <v>0</v>
      </c>
      <c r="K24" s="39">
        <f t="shared" si="7"/>
        <v>0</v>
      </c>
      <c r="L24" s="61">
        <f t="shared" si="7"/>
        <v>-1143041</v>
      </c>
      <c r="M24" s="39">
        <f t="shared" si="7"/>
        <v>-2493269.7400000105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25010</v>
      </c>
      <c r="E27" s="60">
        <v>56029.060000002384</v>
      </c>
      <c r="F27" s="60">
        <f>H27-D27</f>
        <v>0</v>
      </c>
      <c r="G27" s="37">
        <f>I27-E27</f>
        <v>0</v>
      </c>
      <c r="H27" s="65">
        <f>D27</f>
        <v>25010</v>
      </c>
      <c r="I27" s="66">
        <f>E27</f>
        <v>56029.060000002384</v>
      </c>
      <c r="J27" s="60"/>
      <c r="K27" s="38"/>
      <c r="L27" s="60">
        <f>H27+J27</f>
        <v>25010</v>
      </c>
      <c r="M27" s="38">
        <f>I27+K27</f>
        <v>56029.060000002384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60">
        <v>-6.8999999985098839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-6.8999999985098839</v>
      </c>
      <c r="J28" s="60"/>
      <c r="K28" s="38"/>
      <c r="L28" s="60">
        <f>H28+J28</f>
        <v>0</v>
      </c>
      <c r="M28" s="38">
        <f>I28+K28</f>
        <v>-6.8999999985098839</v>
      </c>
    </row>
    <row r="29" spans="1:13" x14ac:dyDescent="0.2">
      <c r="A29" s="9"/>
      <c r="B29" s="7" t="s">
        <v>40</v>
      </c>
      <c r="C29" s="6"/>
      <c r="D29" s="61">
        <v>25010</v>
      </c>
      <c r="E29" s="39">
        <v>56022.160000003874</v>
      </c>
      <c r="F29" s="61">
        <f t="shared" ref="F29:M29" si="8">SUM(F27:F28)</f>
        <v>0</v>
      </c>
      <c r="G29" s="39">
        <f t="shared" si="8"/>
        <v>0</v>
      </c>
      <c r="H29" s="61">
        <f>SUM(H27:H28)</f>
        <v>25010</v>
      </c>
      <c r="I29" s="39">
        <f>SUM(I27:I28)</f>
        <v>56022.160000003874</v>
      </c>
      <c r="J29" s="61">
        <f t="shared" si="8"/>
        <v>0</v>
      </c>
      <c r="K29" s="39">
        <f t="shared" si="8"/>
        <v>0</v>
      </c>
      <c r="L29" s="61">
        <f t="shared" si="8"/>
        <v>25010</v>
      </c>
      <c r="M29" s="39">
        <f t="shared" si="8"/>
        <v>56022.160000003874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46702</v>
      </c>
      <c r="E33" s="60">
        <v>133722.13958130774</v>
      </c>
      <c r="F33" s="60">
        <f t="shared" ref="F33:G35" si="11">H33-D33</f>
        <v>0</v>
      </c>
      <c r="G33" s="37">
        <f t="shared" si="11"/>
        <v>0</v>
      </c>
      <c r="H33" s="65">
        <f t="shared" si="9"/>
        <v>46702</v>
      </c>
      <c r="I33" s="66">
        <f t="shared" si="9"/>
        <v>133722.13958130774</v>
      </c>
      <c r="J33" s="60"/>
      <c r="K33" s="38"/>
      <c r="L33" s="60">
        <f t="shared" si="10"/>
        <v>46702</v>
      </c>
      <c r="M33" s="38">
        <f t="shared" si="10"/>
        <v>133722.13958130774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46702</v>
      </c>
      <c r="E36" s="39">
        <v>133722.13958130774</v>
      </c>
      <c r="F36" s="61">
        <f>SUM(F32:F35)</f>
        <v>0</v>
      </c>
      <c r="G36" s="39">
        <f>SUM(G32:G35)</f>
        <v>0</v>
      </c>
      <c r="H36" s="61">
        <f>SUM(H32:H35)</f>
        <v>46702</v>
      </c>
      <c r="I36" s="39">
        <f>SUM(I32:I35)</f>
        <v>133722.13958130774</v>
      </c>
      <c r="J36" s="61">
        <f>SUM(J32:J34)</f>
        <v>0</v>
      </c>
      <c r="K36" s="39">
        <f>SUM(K32:K34)</f>
        <v>0</v>
      </c>
      <c r="L36" s="61">
        <f>SUM(L32:L35)</f>
        <v>46702</v>
      </c>
      <c r="M36" s="39">
        <f>SUM(M32:M35)</f>
        <v>133722.13958130774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60">
        <v>-0.34999999962747097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-0.34999999962747097</v>
      </c>
      <c r="J39" s="60"/>
      <c r="K39" s="38"/>
      <c r="L39" s="60">
        <f t="shared" ref="L39:M41" si="14">H39+J39</f>
        <v>0</v>
      </c>
      <c r="M39" s="38">
        <f t="shared" si="14"/>
        <v>-0.34999999962747097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60">
        <v>-0.10000000009313226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-0.10000000009313226</v>
      </c>
      <c r="J40" s="60"/>
      <c r="K40" s="38"/>
      <c r="L40" s="60">
        <f t="shared" si="14"/>
        <v>0</v>
      </c>
      <c r="M40" s="38">
        <f t="shared" si="14"/>
        <v>-0.10000000009313226</v>
      </c>
    </row>
    <row r="41" spans="1:13" x14ac:dyDescent="0.2">
      <c r="A41" s="9">
        <v>19</v>
      </c>
      <c r="B41" s="7"/>
      <c r="C41" s="18" t="s">
        <v>50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-0.10000000009313226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-0.10000000009313226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-0.10000000009313226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39">
        <v>-0.44999999972060323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-0.44999999972060323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-0.44999999972060323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15826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15826</v>
      </c>
      <c r="I51" s="66">
        <f>E51</f>
        <v>25000</v>
      </c>
      <c r="J51" s="60"/>
      <c r="K51" s="38"/>
      <c r="L51" s="60">
        <f>H51+J51</f>
        <v>15826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72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167">
        <f>SUM(E72:E81)+E16+E24+E29+E36+E43+E45+E47+E49+E51+E56+E61+E66</f>
        <v>93941.439581314538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93941.439581314538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93941.439581314538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0">
        <v>51725492</v>
      </c>
      <c r="E11" s="38">
        <v>120477378</v>
      </c>
      <c r="F11" s="60">
        <f>H11-D11</f>
        <v>-2335223</v>
      </c>
      <c r="G11" s="37">
        <f>I11-E11</f>
        <v>-9948717</v>
      </c>
      <c r="H11" s="60">
        <f>'TX-EGM-FLSH'!H11+'TX-HPL-FLSH'!H11</f>
        <v>49390269</v>
      </c>
      <c r="I11" s="38">
        <f>'TX-EGM-FLSH'!I11+'TX-HPL-FLSH'!I11</f>
        <v>110528661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49390269</v>
      </c>
      <c r="M11" s="38">
        <f t="shared" si="0"/>
        <v>110528661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71127</v>
      </c>
      <c r="E13" s="38">
        <v>159944</v>
      </c>
      <c r="F13" s="60">
        <f t="shared" si="1"/>
        <v>-71127</v>
      </c>
      <c r="G13" s="37">
        <f t="shared" si="1"/>
        <v>-159944</v>
      </c>
      <c r="H13" s="60">
        <f>'TX-EGM-FLSH'!H13+'TX-HPL-FLSH'!H13</f>
        <v>0</v>
      </c>
      <c r="I13" s="38">
        <f>'TX-EGM-FLSH'!I13+'TX-HPL-FLSH'!I13</f>
        <v>0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51796619</v>
      </c>
      <c r="E16" s="39">
        <v>120637322</v>
      </c>
      <c r="F16" s="61">
        <f t="shared" ref="F16:M16" si="2">SUM(F11:F15)</f>
        <v>-2406350</v>
      </c>
      <c r="G16" s="39">
        <f t="shared" si="2"/>
        <v>-10108661</v>
      </c>
      <c r="H16" s="61">
        <f t="shared" si="2"/>
        <v>49390269</v>
      </c>
      <c r="I16" s="39">
        <f t="shared" si="2"/>
        <v>110528661</v>
      </c>
      <c r="J16" s="61">
        <f t="shared" si="2"/>
        <v>0</v>
      </c>
      <c r="K16" s="39">
        <f t="shared" si="2"/>
        <v>0</v>
      </c>
      <c r="L16" s="61">
        <f t="shared" si="2"/>
        <v>49390269</v>
      </c>
      <c r="M16" s="39">
        <f t="shared" si="2"/>
        <v>110528661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-57689353</v>
      </c>
      <c r="E19" s="38">
        <v>-132145289</v>
      </c>
      <c r="F19" s="60">
        <f>H19-D19</f>
        <v>8696688</v>
      </c>
      <c r="G19" s="37">
        <f>I19-E19</f>
        <v>24106769</v>
      </c>
      <c r="H19" s="60">
        <f>'TX-EGM-FLSH'!H19+'TX-HPL-FLSH'!H19</f>
        <v>-48992665</v>
      </c>
      <c r="I19" s="38">
        <f>'TX-EGM-FLSH'!I19+'TX-HPL-FLSH'!I19</f>
        <v>-108038520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-48992665</v>
      </c>
      <c r="M19" s="38">
        <f t="shared" si="3"/>
        <v>-108038520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30</v>
      </c>
      <c r="D21" s="60">
        <v>-2052275</v>
      </c>
      <c r="E21" s="38">
        <v>-4472679</v>
      </c>
      <c r="F21" s="60">
        <f t="shared" si="4"/>
        <v>323543</v>
      </c>
      <c r="G21" s="37">
        <f t="shared" si="4"/>
        <v>627259</v>
      </c>
      <c r="H21" s="60">
        <f>'TX-EGM-FLSH'!H21+'TX-HPL-FLSH'!H21</f>
        <v>-1728732</v>
      </c>
      <c r="I21" s="38">
        <f>'TX-EGM-FLSH'!I21+'TX-HPL-FLSH'!I21</f>
        <v>-3845420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-1728732</v>
      </c>
      <c r="M21" s="38">
        <f t="shared" si="3"/>
        <v>-3845420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38">
        <v>0</v>
      </c>
      <c r="F23" s="60">
        <f t="shared" si="4"/>
        <v>15826</v>
      </c>
      <c r="G23" s="37">
        <f t="shared" si="4"/>
        <v>35649</v>
      </c>
      <c r="H23" s="60">
        <f>'TX-EGM-FLSH'!H23+'TX-HPL-FLSH'!H23</f>
        <v>15826</v>
      </c>
      <c r="I23" s="38">
        <f>'TX-EGM-FLSH'!I23+'TX-HPL-FLSH'!I23</f>
        <v>35649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15826</v>
      </c>
      <c r="M23" s="38">
        <f t="shared" si="3"/>
        <v>35649</v>
      </c>
    </row>
    <row r="24" spans="1:13" x14ac:dyDescent="0.2">
      <c r="A24" s="9"/>
      <c r="B24" s="7" t="s">
        <v>36</v>
      </c>
      <c r="C24" s="6"/>
      <c r="D24" s="61">
        <v>-59741628</v>
      </c>
      <c r="E24" s="39">
        <v>-136617968</v>
      </c>
      <c r="F24" s="61">
        <f t="shared" ref="F24:M24" si="5">SUM(F19:F23)</f>
        <v>9036057</v>
      </c>
      <c r="G24" s="39">
        <f t="shared" si="5"/>
        <v>24769677</v>
      </c>
      <c r="H24" s="61">
        <f t="shared" si="5"/>
        <v>-50705571</v>
      </c>
      <c r="I24" s="39">
        <f t="shared" si="5"/>
        <v>-111848291</v>
      </c>
      <c r="J24" s="61">
        <f t="shared" si="5"/>
        <v>0</v>
      </c>
      <c r="K24" s="39">
        <f t="shared" si="5"/>
        <v>0</v>
      </c>
      <c r="L24" s="61">
        <f t="shared" si="5"/>
        <v>-50705571</v>
      </c>
      <c r="M24" s="39">
        <f t="shared" si="5"/>
        <v>-111848291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32997274</v>
      </c>
      <c r="E27" s="38">
        <v>74244674.739999995</v>
      </c>
      <c r="F27" s="60">
        <f>H27-D27</f>
        <v>-4263782</v>
      </c>
      <c r="G27" s="37">
        <f>I27-E27</f>
        <v>-8843522.7399999946</v>
      </c>
      <c r="H27" s="60">
        <f>'TX-EGM-FLSH'!H27+'TX-HPL-FLSH'!H27</f>
        <v>28733492</v>
      </c>
      <c r="I27" s="38">
        <f>'TX-EGM-FLSH'!I27+'TX-HPL-FLSH'!I27</f>
        <v>65401152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28733492</v>
      </c>
      <c r="M27" s="38">
        <f>I27+K27</f>
        <v>65401152</v>
      </c>
    </row>
    <row r="28" spans="1:13" x14ac:dyDescent="0.2">
      <c r="A28" s="9">
        <v>12</v>
      </c>
      <c r="B28" s="7"/>
      <c r="C28" s="18" t="s">
        <v>39</v>
      </c>
      <c r="D28" s="60">
        <v>-33022074</v>
      </c>
      <c r="E28" s="38">
        <v>-74302953</v>
      </c>
      <c r="F28" s="60">
        <f>H28-D28</f>
        <v>4288582</v>
      </c>
      <c r="G28" s="37">
        <f>I28-E28</f>
        <v>8901801</v>
      </c>
      <c r="H28" s="60">
        <f>'TX-EGM-FLSH'!H28+'TX-HPL-FLSH'!H28</f>
        <v>-28733492</v>
      </c>
      <c r="I28" s="38">
        <f>'TX-EGM-FLSH'!I28+'TX-HPL-FLSH'!I28</f>
        <v>-65401152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-28733492</v>
      </c>
      <c r="M28" s="38">
        <f>I28+K28</f>
        <v>-65401152</v>
      </c>
    </row>
    <row r="29" spans="1:13" x14ac:dyDescent="0.2">
      <c r="A29" s="9"/>
      <c r="B29" s="7" t="s">
        <v>40</v>
      </c>
      <c r="C29" s="6"/>
      <c r="D29" s="61">
        <v>-24800</v>
      </c>
      <c r="E29" s="39">
        <v>-58278.260000005364</v>
      </c>
      <c r="F29" s="61">
        <f t="shared" ref="F29:M29" si="6">SUM(F27:F28)</f>
        <v>24800</v>
      </c>
      <c r="G29" s="39">
        <f t="shared" si="6"/>
        <v>58278.260000005364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43</v>
      </c>
      <c r="D33" s="60">
        <v>1209207</v>
      </c>
      <c r="E33" s="38">
        <v>2766943.1264456199</v>
      </c>
      <c r="F33" s="60">
        <f t="shared" ref="F33:G35" si="8">H33-D33</f>
        <v>-1075044</v>
      </c>
      <c r="G33" s="37">
        <f t="shared" si="8"/>
        <v>-2474279.7863266887</v>
      </c>
      <c r="H33" s="60">
        <f>'TX-EGM-FLSH'!H33+'TX-HPL-FLSH'!H33</f>
        <v>134163</v>
      </c>
      <c r="I33" s="38">
        <f>'TX-EGM-FLSH'!I33+'TX-HPL-FLSH'!I33</f>
        <v>292663.34011893091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134163</v>
      </c>
      <c r="M33" s="38">
        <f t="shared" si="7"/>
        <v>292663.34011893091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46</v>
      </c>
      <c r="C36" s="6"/>
      <c r="D36" s="61">
        <v>1209207</v>
      </c>
      <c r="E36" s="39">
        <v>2766943.1264456199</v>
      </c>
      <c r="F36" s="61">
        <f>SUM(F32:F35)</f>
        <v>-1075044</v>
      </c>
      <c r="G36" s="39">
        <f>SUM(G32:G35)</f>
        <v>-2474279.7863266887</v>
      </c>
      <c r="H36" s="61">
        <f>SUM(H32:H35)</f>
        <v>134163</v>
      </c>
      <c r="I36" s="39">
        <f>SUM(I32:I35)</f>
        <v>292663.34011893091</v>
      </c>
      <c r="J36" s="61">
        <f>SUM(J32:J34)</f>
        <v>0</v>
      </c>
      <c r="K36" s="39">
        <f>SUM(K32:K34)</f>
        <v>0</v>
      </c>
      <c r="L36" s="61">
        <f>SUM(L32:L35)</f>
        <v>134163</v>
      </c>
      <c r="M36" s="39">
        <f>SUM(M32:M35)</f>
        <v>292663.34011893091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7337145</v>
      </c>
      <c r="E39" s="38">
        <v>16945465</v>
      </c>
      <c r="F39" s="60">
        <f t="shared" ref="F39:G41" si="9">H39-D39</f>
        <v>-5228089</v>
      </c>
      <c r="G39" s="37">
        <f t="shared" si="9"/>
        <v>-12232147</v>
      </c>
      <c r="H39" s="60">
        <f>'TX-EGM-FLSH'!H39+'TX-HPL-FLSH'!H39</f>
        <v>2109056</v>
      </c>
      <c r="I39" s="38">
        <f>'TX-EGM-FLSH'!I39+'TX-HPL-FLSH'!I39</f>
        <v>4713318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2109056</v>
      </c>
      <c r="M39" s="38">
        <f t="shared" si="10"/>
        <v>4713318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-576543</v>
      </c>
      <c r="E40" s="38">
        <v>-1293657</v>
      </c>
      <c r="F40" s="60">
        <f t="shared" si="9"/>
        <v>-351374</v>
      </c>
      <c r="G40" s="37">
        <f t="shared" si="9"/>
        <v>-780208</v>
      </c>
      <c r="H40" s="60">
        <f>'TX-EGM-FLSH'!H40+'TX-HPL-FLSH'!H40</f>
        <v>-927917</v>
      </c>
      <c r="I40" s="38">
        <f>'TX-EGM-FLSH'!I40+'TX-HPL-FLSH'!I40</f>
        <v>-2073865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-927917</v>
      </c>
      <c r="M40" s="38">
        <f t="shared" si="10"/>
        <v>-2073865</v>
      </c>
    </row>
    <row r="41" spans="1:13" x14ac:dyDescent="0.2">
      <c r="A41" s="9">
        <v>19</v>
      </c>
      <c r="B41" s="7"/>
      <c r="C41" s="18" t="s">
        <v>50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51</v>
      </c>
      <c r="D42" s="61">
        <v>-576543</v>
      </c>
      <c r="E42" s="39">
        <v>-1293657</v>
      </c>
      <c r="F42" s="61">
        <f t="shared" ref="F42:M42" si="11">SUM(F40:F41)</f>
        <v>-351374</v>
      </c>
      <c r="G42" s="39">
        <f t="shared" si="11"/>
        <v>-780208</v>
      </c>
      <c r="H42" s="61">
        <f t="shared" si="11"/>
        <v>-927917</v>
      </c>
      <c r="I42" s="39">
        <f t="shared" si="11"/>
        <v>-2073865</v>
      </c>
      <c r="J42" s="61">
        <f t="shared" si="11"/>
        <v>0</v>
      </c>
      <c r="K42" s="39">
        <f t="shared" si="11"/>
        <v>0</v>
      </c>
      <c r="L42" s="61">
        <f t="shared" si="11"/>
        <v>-927917</v>
      </c>
      <c r="M42" s="39">
        <f t="shared" si="11"/>
        <v>-2073865</v>
      </c>
    </row>
    <row r="43" spans="1:13" ht="21" customHeight="1" x14ac:dyDescent="0.2">
      <c r="A43" s="9"/>
      <c r="B43" s="7" t="s">
        <v>52</v>
      </c>
      <c r="C43" s="6"/>
      <c r="D43" s="61">
        <v>6760602</v>
      </c>
      <c r="E43" s="39">
        <v>15651808</v>
      </c>
      <c r="F43" s="61">
        <f t="shared" ref="F43:M43" si="12">F42+F39</f>
        <v>-5579463</v>
      </c>
      <c r="G43" s="39">
        <f t="shared" si="12"/>
        <v>-13012355</v>
      </c>
      <c r="H43" s="61">
        <f t="shared" si="12"/>
        <v>1181139</v>
      </c>
      <c r="I43" s="39">
        <f t="shared" si="12"/>
        <v>2639453</v>
      </c>
      <c r="J43" s="61">
        <f t="shared" si="12"/>
        <v>0</v>
      </c>
      <c r="K43" s="39">
        <f t="shared" si="12"/>
        <v>0</v>
      </c>
      <c r="L43" s="61">
        <f t="shared" si="12"/>
        <v>1181139</v>
      </c>
      <c r="M43" s="39">
        <f t="shared" si="12"/>
        <v>2639453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-992568.27</v>
      </c>
      <c r="F54" s="60">
        <f>H54-D54</f>
        <v>0</v>
      </c>
      <c r="G54" s="37">
        <f>I54-E54</f>
        <v>14815.550000000047</v>
      </c>
      <c r="H54" s="60">
        <f>'TX-EGM-FLSH'!H54+'TX-HPL-FLSH'!H54</f>
        <v>0</v>
      </c>
      <c r="I54" s="38">
        <f>'TX-EGM-FLSH'!I54+'TX-HPL-FLSH'!I54</f>
        <v>-977752.72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-977752.72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'TX-EGM-FLSH'!H55+'TX-HPL-FLSH'!H55</f>
        <v>0</v>
      </c>
      <c r="I55" s="38">
        <f>'TX-EGM-FLSH'!I55+'TX-HPL-FLSH'!I55</f>
        <v>-15000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60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-184.44999999995343</v>
      </c>
      <c r="H56" s="61">
        <f t="shared" si="13"/>
        <v>0</v>
      </c>
      <c r="I56" s="39">
        <f t="shared" si="13"/>
        <v>-992752.72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-992752.72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250999.06</v>
      </c>
      <c r="F70" s="60">
        <f>H70-D70</f>
        <v>0</v>
      </c>
      <c r="G70" s="37">
        <f>I70-E70</f>
        <v>471249.85000000003</v>
      </c>
      <c r="H70" s="60">
        <f>'TX-EGM-FLSH'!H70+'TX-HPL-FLSH'!H70</f>
        <v>0</v>
      </c>
      <c r="I70" s="38">
        <f>'TX-EGM-FLSH'!I70+'TX-HPL-FLSH'!I70</f>
        <v>722248.91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722248.91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-1054678</v>
      </c>
      <c r="F71" s="60">
        <f>H71-D71</f>
        <v>0</v>
      </c>
      <c r="G71" s="37">
        <f>I71-E71</f>
        <v>803679</v>
      </c>
      <c r="H71" s="60">
        <f>'TX-EGM-FLSH'!H71+'TX-HPL-FLSH'!H71</f>
        <v>0</v>
      </c>
      <c r="I71" s="38">
        <f>'TX-EGM-FLSH'!I71+'TX-HPL-FLSH'!I71</f>
        <v>-250999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-250999</v>
      </c>
    </row>
    <row r="72" spans="1:13" x14ac:dyDescent="0.2">
      <c r="A72" s="9"/>
      <c r="B72" s="3"/>
      <c r="C72" s="55" t="s">
        <v>72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1274928.8500000001</v>
      </c>
      <c r="H72" s="61">
        <f t="shared" si="16"/>
        <v>0</v>
      </c>
      <c r="I72" s="39">
        <f t="shared" si="16"/>
        <v>471249.91000000003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471249.91000000003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-279172.26</v>
      </c>
      <c r="H74" s="60">
        <f>'TX-EGM-FLSH'!H74+'TX-HPL-FLSH'!H74</f>
        <v>0</v>
      </c>
      <c r="I74" s="38">
        <f>'TX-EGM-FLSH'!I74+'TX-HPL-FLSH'!I74</f>
        <v>740576.15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740576.15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81200</v>
      </c>
      <c r="F75" s="60">
        <f t="shared" si="18"/>
        <v>0</v>
      </c>
      <c r="G75" s="37">
        <f t="shared" si="18"/>
        <v>45694</v>
      </c>
      <c r="H75" s="60">
        <f>'TX-EGM-FLSH'!H75+'TX-HPL-FLSH'!H75</f>
        <v>0</v>
      </c>
      <c r="I75" s="38">
        <f>'TX-EGM-FLSH'!I75+'TX-HPL-FLSH'!I75</f>
        <v>126894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126894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-18476</v>
      </c>
      <c r="H76" s="60">
        <f>'TX-EGM-FLSH'!H76+'TX-HPL-FLSH'!H76</f>
        <v>0</v>
      </c>
      <c r="I76" s="38">
        <f>'TX-EGM-FLSH'!I76+'TX-HPL-FLSH'!I76</f>
        <v>-22536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-22536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'TX-EGM-FLSH'!H77+'TX-HPL-FLSH'!H77</f>
        <v>0</v>
      </c>
      <c r="I77" s="38">
        <f>'TX-EGM-FLSH'!I77+'TX-HPL-FLSH'!I77</f>
        <v>-103300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-103300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38">
        <v>0</v>
      </c>
      <c r="F81" s="60">
        <f t="shared" si="18"/>
        <v>0</v>
      </c>
      <c r="G81" s="37">
        <f t="shared" si="18"/>
        <v>166908</v>
      </c>
      <c r="H81" s="60">
        <f>'TX-EGM-FLSH'!H81+'TX-HPL-FLSH'!H81</f>
        <v>0</v>
      </c>
      <c r="I81" s="38">
        <f>'TX-EGM-FLSH'!I81+'TX-HPL-FLSH'!I81</f>
        <v>166908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166908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427357.61367331748</v>
      </c>
      <c r="H82" s="73">
        <f>H16+H24+H29+H36+H43+H45+H47+H49</f>
        <v>0</v>
      </c>
      <c r="I82" s="74">
        <f>SUM(I72:I81)+I16+I24+I29+I36+I43+I45+I47+I49+I51+I56+I61+I66</f>
        <v>1999525.6801189331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1999525.6801189331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175</v>
      </c>
      <c r="B85" s="3"/>
      <c r="E85" s="31">
        <f>+'TX-HPL-FLSH'!E82+'TX-EGM-FLSH'!E82</f>
        <v>1999525.6801189326</v>
      </c>
    </row>
    <row r="86" spans="1:67" s="3" customFormat="1" x14ac:dyDescent="0.2">
      <c r="A86" s="174"/>
      <c r="C86" s="10" t="s">
        <v>177</v>
      </c>
      <c r="D86" s="178">
        <f>'TX-EGM-FLSH'!D86+'TX-HPL-FLSH'!D86</f>
        <v>0</v>
      </c>
      <c r="E86" s="178">
        <f>'TX-EGM-FLSH'!E86+'TX-HPL-FLSH'!E86</f>
        <v>114066</v>
      </c>
      <c r="F86" s="178">
        <f>'TX-EGM-FLSH'!F86+'TX-HPL-FLSH'!F86</f>
        <v>0</v>
      </c>
      <c r="G86" s="178">
        <f>'TX-EGM-FLSH'!G86+'TX-HPL-FLSH'!G86</f>
        <v>0</v>
      </c>
      <c r="H86" s="178">
        <f>'TX-EGM-FLSH'!H86+'TX-HPL-FLSH'!H86</f>
        <v>0</v>
      </c>
      <c r="I86" s="178">
        <f>'TX-EGM-FLSH'!I86+'TX-HPL-FLSH'!I86</f>
        <v>114066</v>
      </c>
      <c r="J86" s="178">
        <f>'TX-EGM-FLSH'!J86+'TX-HPL-FLSH'!J86</f>
        <v>0</v>
      </c>
      <c r="K86" s="178">
        <f>'TX-EGM-FLSH'!K86+'TX-HPL-FLSH'!K86</f>
        <v>0</v>
      </c>
      <c r="L86" s="178">
        <f>'TX-EGM-FLSH'!L86+'TX-HPL-FLSH'!L86</f>
        <v>0</v>
      </c>
      <c r="M86" s="178">
        <f>'TX-EGM-FLSH'!M86+'TX-HPL-FLSH'!M86</f>
        <v>114066</v>
      </c>
    </row>
    <row r="87" spans="1:67" s="3" customFormat="1" x14ac:dyDescent="0.2">
      <c r="A87" s="174"/>
      <c r="C87" s="10" t="s">
        <v>74</v>
      </c>
      <c r="D87" s="179">
        <f>'TX-EGM-FLSH'!D87+'TX-HPL-FLSH'!D87</f>
        <v>0</v>
      </c>
      <c r="E87" s="179">
        <f>'TX-EGM-FLSH'!E87+'TX-HPL-FLSH'!E87</f>
        <v>0</v>
      </c>
      <c r="F87" s="179">
        <f>'TX-EGM-FLSH'!F87+'TX-HPL-FLSH'!F87</f>
        <v>0</v>
      </c>
      <c r="G87" s="179">
        <f>'TX-EGM-FLSH'!G87+'TX-HPL-FLSH'!G87</f>
        <v>0</v>
      </c>
      <c r="H87" s="179">
        <f>'TX-EGM-FLSH'!H87+'TX-HPL-FLSH'!H87</f>
        <v>0</v>
      </c>
      <c r="I87" s="179">
        <f>'TX-EGM-FLSH'!I87+'TX-HPL-FLSH'!I87</f>
        <v>0</v>
      </c>
      <c r="J87" s="179">
        <f>'TX-EGM-FLSH'!J87+'TX-HPL-FLSH'!J87</f>
        <v>0</v>
      </c>
      <c r="K87" s="179">
        <f>'TX-EGM-FLSH'!K87+'TX-HPL-FLSH'!K87</f>
        <v>0</v>
      </c>
      <c r="L87" s="179">
        <f>'TX-EGM-FLSH'!L87+'TX-HPL-FLSH'!L87</f>
        <v>0</v>
      </c>
      <c r="M87" s="179">
        <f>'TX-EGM-FLSH'!M87+'TX-HPL-FLSH'!M87</f>
        <v>0</v>
      </c>
    </row>
    <row r="88" spans="1:67" s="3" customFormat="1" x14ac:dyDescent="0.2">
      <c r="A88" s="174"/>
      <c r="C88" s="10" t="s">
        <v>75</v>
      </c>
      <c r="D88" s="180">
        <f>'TX-EGM-FLSH'!D88+'TX-HPL-FLSH'!D88</f>
        <v>0</v>
      </c>
      <c r="E88" s="180">
        <f>'TX-EGM-FLSH'!E88+'TX-HPL-FLSH'!E88</f>
        <v>-113464</v>
      </c>
      <c r="F88" s="180">
        <f>'TX-EGM-FLSH'!F88+'TX-HPL-FLSH'!F88</f>
        <v>0</v>
      </c>
      <c r="G88" s="180">
        <f>'TX-EGM-FLSH'!G88+'TX-HPL-FLSH'!G88</f>
        <v>0</v>
      </c>
      <c r="H88" s="180">
        <f>'TX-EGM-FLSH'!H88+'TX-HPL-FLSH'!H88</f>
        <v>0</v>
      </c>
      <c r="I88" s="180">
        <f>'TX-EGM-FLSH'!I88+'TX-HPL-FLSH'!I88</f>
        <v>-113464</v>
      </c>
      <c r="J88" s="180">
        <f>'TX-EGM-FLSH'!J88+'TX-HPL-FLSH'!J88</f>
        <v>0</v>
      </c>
      <c r="K88" s="180">
        <f>'TX-EGM-FLSH'!K88+'TX-HPL-FLSH'!K88</f>
        <v>0</v>
      </c>
      <c r="L88" s="180">
        <f>'TX-EGM-FLSH'!L88+'TX-HPL-FLSH'!L88</f>
        <v>0</v>
      </c>
      <c r="M88" s="180">
        <f>'TX-EGM-FLSH'!M88+'TX-HPL-FLSH'!M88</f>
        <v>-113464</v>
      </c>
    </row>
    <row r="89" spans="1:67" s="44" customFormat="1" ht="20.25" customHeight="1" x14ac:dyDescent="0.2">
      <c r="A89" s="181"/>
      <c r="B89" s="182"/>
      <c r="C89" s="183" t="s">
        <v>180</v>
      </c>
      <c r="D89" s="185">
        <f>SUM(D86:D88)</f>
        <v>0</v>
      </c>
      <c r="E89" s="185">
        <f t="shared" ref="E89:M89" si="19">SUM(E86:E88)</f>
        <v>602</v>
      </c>
      <c r="F89" s="185">
        <f t="shared" si="19"/>
        <v>0</v>
      </c>
      <c r="G89" s="185">
        <f t="shared" si="19"/>
        <v>0</v>
      </c>
      <c r="H89" s="185">
        <f t="shared" si="19"/>
        <v>0</v>
      </c>
      <c r="I89" s="185">
        <f t="shared" si="19"/>
        <v>602</v>
      </c>
      <c r="J89" s="185">
        <f t="shared" si="19"/>
        <v>0</v>
      </c>
      <c r="K89" s="185">
        <f t="shared" si="19"/>
        <v>0</v>
      </c>
      <c r="L89" s="185">
        <f t="shared" si="19"/>
        <v>0</v>
      </c>
      <c r="M89" s="185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178</v>
      </c>
      <c r="D91" s="185">
        <f>+D82+D89</f>
        <v>0</v>
      </c>
      <c r="E91" s="185">
        <f t="shared" ref="E91:M91" si="20">+E82+E89</f>
        <v>1572770.0664456128</v>
      </c>
      <c r="F91" s="185">
        <f t="shared" si="20"/>
        <v>0</v>
      </c>
      <c r="G91" s="185">
        <f t="shared" si="20"/>
        <v>427357.61367331748</v>
      </c>
      <c r="H91" s="185">
        <f t="shared" si="20"/>
        <v>0</v>
      </c>
      <c r="I91" s="185">
        <f t="shared" si="20"/>
        <v>2000127.6801189331</v>
      </c>
      <c r="J91" s="185">
        <f t="shared" si="20"/>
        <v>0</v>
      </c>
      <c r="K91" s="185">
        <f t="shared" si="20"/>
        <v>0</v>
      </c>
      <c r="L91" s="185">
        <f t="shared" si="20"/>
        <v>0</v>
      </c>
      <c r="M91" s="185">
        <f t="shared" si="20"/>
        <v>2000127.6801189331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25709008</v>
      </c>
      <c r="E11" s="65">
        <v>52991795</v>
      </c>
      <c r="F11" s="60">
        <f>H11-D11</f>
        <v>0</v>
      </c>
      <c r="G11" s="37">
        <f>I11-E11</f>
        <v>0</v>
      </c>
      <c r="H11" s="65">
        <f>D11</f>
        <v>25709008</v>
      </c>
      <c r="I11" s="66">
        <f>E11</f>
        <v>52991795</v>
      </c>
      <c r="J11" s="60"/>
      <c r="K11" s="38"/>
      <c r="L11" s="60">
        <f t="shared" ref="L11:M15" si="0">H11+J11</f>
        <v>25709008</v>
      </c>
      <c r="M11" s="38">
        <f t="shared" si="0"/>
        <v>52991795</v>
      </c>
    </row>
    <row r="12" spans="1:26" x14ac:dyDescent="0.2">
      <c r="A12" s="9">
        <v>2</v>
      </c>
      <c r="B12" s="7"/>
      <c r="C12" s="18" t="s">
        <v>29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v>21934545</v>
      </c>
      <c r="E13" s="65">
        <v>46926648</v>
      </c>
      <c r="F13" s="60">
        <f t="shared" si="1"/>
        <v>0</v>
      </c>
      <c r="G13" s="37">
        <f t="shared" si="1"/>
        <v>0</v>
      </c>
      <c r="H13" s="65">
        <f t="shared" si="2"/>
        <v>21934545</v>
      </c>
      <c r="I13" s="66">
        <f t="shared" si="2"/>
        <v>46926648</v>
      </c>
      <c r="J13" s="60"/>
      <c r="K13" s="38"/>
      <c r="L13" s="60">
        <f t="shared" si="0"/>
        <v>21934545</v>
      </c>
      <c r="M13" s="38">
        <f t="shared" si="0"/>
        <v>46926648</v>
      </c>
    </row>
    <row r="14" spans="1:26" x14ac:dyDescent="0.2">
      <c r="A14" s="9">
        <v>4</v>
      </c>
      <c r="B14" s="7"/>
      <c r="C14" s="18" t="s">
        <v>31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47643553</v>
      </c>
      <c r="E16" s="39">
        <v>99918443</v>
      </c>
      <c r="F16" s="61">
        <f t="shared" ref="F16:M16" si="3">SUM(F11:F15)</f>
        <v>0</v>
      </c>
      <c r="G16" s="39">
        <f t="shared" si="3"/>
        <v>0</v>
      </c>
      <c r="H16" s="61">
        <f>SUM(H11:H15)</f>
        <v>47643553</v>
      </c>
      <c r="I16" s="39">
        <f>SUM(I11:I15)</f>
        <v>99918443</v>
      </c>
      <c r="J16" s="61">
        <f t="shared" si="3"/>
        <v>0</v>
      </c>
      <c r="K16" s="39">
        <f t="shared" si="3"/>
        <v>0</v>
      </c>
      <c r="L16" s="61">
        <f t="shared" si="3"/>
        <v>47643553</v>
      </c>
      <c r="M16" s="39">
        <f t="shared" si="3"/>
        <v>99918443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v>-24975750</v>
      </c>
      <c r="E19" s="65">
        <v>-50478903</v>
      </c>
      <c r="F19" s="60">
        <f>H19-D19</f>
        <v>0</v>
      </c>
      <c r="G19" s="37">
        <f>I19-E19</f>
        <v>0</v>
      </c>
      <c r="H19" s="65">
        <f t="shared" si="4"/>
        <v>-24975750</v>
      </c>
      <c r="I19" s="66">
        <f t="shared" si="4"/>
        <v>-50478903</v>
      </c>
      <c r="J19" s="60"/>
      <c r="K19" s="38"/>
      <c r="L19" s="60">
        <f t="shared" ref="L19:M23" si="5">H19+J19</f>
        <v>-24975750</v>
      </c>
      <c r="M19" s="38">
        <f t="shared" si="5"/>
        <v>-50478903</v>
      </c>
    </row>
    <row r="20" spans="1:13" x14ac:dyDescent="0.2">
      <c r="A20" s="9">
        <v>7</v>
      </c>
      <c r="B20" s="7"/>
      <c r="C20" s="18" t="s">
        <v>29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5">
        <v>-22817932</v>
      </c>
      <c r="E21" s="65">
        <v>-48452350</v>
      </c>
      <c r="F21" s="60">
        <f t="shared" si="6"/>
        <v>0</v>
      </c>
      <c r="G21" s="37">
        <f t="shared" si="6"/>
        <v>0</v>
      </c>
      <c r="H21" s="65">
        <f t="shared" si="4"/>
        <v>-22817932</v>
      </c>
      <c r="I21" s="66">
        <f t="shared" si="4"/>
        <v>-48452350</v>
      </c>
      <c r="J21" s="60"/>
      <c r="K21" s="38"/>
      <c r="L21" s="60">
        <f t="shared" si="5"/>
        <v>-22817932</v>
      </c>
      <c r="M21" s="38">
        <f t="shared" si="5"/>
        <v>-48452350</v>
      </c>
    </row>
    <row r="22" spans="1:13" x14ac:dyDescent="0.2">
      <c r="A22" s="9">
        <v>9</v>
      </c>
      <c r="B22" s="7"/>
      <c r="C22" s="18" t="s">
        <v>31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5">
        <v>295007</v>
      </c>
      <c r="E23" s="65">
        <v>597680</v>
      </c>
      <c r="F23" s="60">
        <f t="shared" si="6"/>
        <v>0</v>
      </c>
      <c r="G23" s="37">
        <f t="shared" si="6"/>
        <v>0</v>
      </c>
      <c r="H23" s="65">
        <f t="shared" si="4"/>
        <v>295007</v>
      </c>
      <c r="I23" s="66">
        <f t="shared" si="4"/>
        <v>597680</v>
      </c>
      <c r="J23" s="60"/>
      <c r="K23" s="38"/>
      <c r="L23" s="60">
        <f t="shared" si="5"/>
        <v>295007</v>
      </c>
      <c r="M23" s="38">
        <f t="shared" si="5"/>
        <v>597680</v>
      </c>
    </row>
    <row r="24" spans="1:13" x14ac:dyDescent="0.2">
      <c r="A24" s="9"/>
      <c r="B24" s="7" t="s">
        <v>36</v>
      </c>
      <c r="C24" s="6"/>
      <c r="D24" s="61">
        <v>-47498675</v>
      </c>
      <c r="E24" s="39">
        <v>-98333573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-47498675</v>
      </c>
      <c r="I24" s="39">
        <f>SUM(I19:I23)</f>
        <v>-98333573</v>
      </c>
      <c r="J24" s="61">
        <f t="shared" si="7"/>
        <v>0</v>
      </c>
      <c r="K24" s="39">
        <f t="shared" si="7"/>
        <v>0</v>
      </c>
      <c r="L24" s="61">
        <f t="shared" si="7"/>
        <v>-47498675</v>
      </c>
      <c r="M24" s="39">
        <f t="shared" si="7"/>
        <v>-98333573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v>117016</v>
      </c>
      <c r="E32" s="65">
        <v>236652</v>
      </c>
      <c r="F32" s="60">
        <f>H32-D32</f>
        <v>0</v>
      </c>
      <c r="G32" s="37">
        <f>I32-E32</f>
        <v>0</v>
      </c>
      <c r="H32" s="65">
        <f t="shared" ref="H32:I35" si="9">D32</f>
        <v>117016</v>
      </c>
      <c r="I32" s="66">
        <f t="shared" si="9"/>
        <v>236652</v>
      </c>
      <c r="J32" s="60"/>
      <c r="K32" s="38"/>
      <c r="L32" s="60">
        <f t="shared" ref="L32:M35" si="10">H32+J32</f>
        <v>117016</v>
      </c>
      <c r="M32" s="38">
        <f t="shared" si="10"/>
        <v>236652</v>
      </c>
    </row>
    <row r="33" spans="1:13" x14ac:dyDescent="0.2">
      <c r="A33" s="9">
        <v>14</v>
      </c>
      <c r="B33" s="7"/>
      <c r="C33" s="18" t="s">
        <v>43</v>
      </c>
      <c r="D33" s="65">
        <v>-187316</v>
      </c>
      <c r="E33" s="65">
        <v>-375003</v>
      </c>
      <c r="F33" s="60">
        <f t="shared" ref="F33:G35" si="11">H33-D33</f>
        <v>0</v>
      </c>
      <c r="G33" s="37">
        <f t="shared" si="11"/>
        <v>0</v>
      </c>
      <c r="H33" s="65">
        <f t="shared" si="9"/>
        <v>-187316</v>
      </c>
      <c r="I33" s="66">
        <f t="shared" si="9"/>
        <v>-375003</v>
      </c>
      <c r="J33" s="60"/>
      <c r="K33" s="38"/>
      <c r="L33" s="60">
        <f t="shared" si="10"/>
        <v>-187316</v>
      </c>
      <c r="M33" s="38">
        <f t="shared" si="10"/>
        <v>-375003</v>
      </c>
    </row>
    <row r="34" spans="1:13" x14ac:dyDescent="0.2">
      <c r="A34" s="9">
        <v>15</v>
      </c>
      <c r="B34" s="7"/>
      <c r="C34" s="18" t="s">
        <v>44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-70300</v>
      </c>
      <c r="E36" s="39">
        <v>-138351</v>
      </c>
      <c r="F36" s="61">
        <f>SUM(F32:F35)</f>
        <v>0</v>
      </c>
      <c r="G36" s="39">
        <f>SUM(G32:G35)</f>
        <v>0</v>
      </c>
      <c r="H36" s="61">
        <f>SUM(H32:H35)</f>
        <v>-70300</v>
      </c>
      <c r="I36" s="39">
        <f>SUM(I32:I35)</f>
        <v>-138351</v>
      </c>
      <c r="J36" s="61">
        <f>SUM(J32:J34)</f>
        <v>0</v>
      </c>
      <c r="K36" s="39">
        <f>SUM(K32:K34)</f>
        <v>0</v>
      </c>
      <c r="L36" s="61">
        <f>SUM(L32:L35)</f>
        <v>-70300</v>
      </c>
      <c r="M36" s="39">
        <f>SUM(M32:M35)</f>
        <v>-138351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v>48029</v>
      </c>
      <c r="E39" s="65">
        <v>92436</v>
      </c>
      <c r="F39" s="60">
        <f t="shared" ref="F39:G41" si="13">H39-D39</f>
        <v>0</v>
      </c>
      <c r="G39" s="37">
        <f t="shared" si="13"/>
        <v>0</v>
      </c>
      <c r="H39" s="65">
        <f t="shared" si="12"/>
        <v>48029</v>
      </c>
      <c r="I39" s="66">
        <f t="shared" si="12"/>
        <v>92436</v>
      </c>
      <c r="J39" s="60"/>
      <c r="K39" s="38"/>
      <c r="L39" s="60">
        <f t="shared" ref="L39:M41" si="14">H39+J39</f>
        <v>48029</v>
      </c>
      <c r="M39" s="38">
        <f t="shared" si="14"/>
        <v>92436</v>
      </c>
    </row>
    <row r="40" spans="1:13" ht="22.5" customHeight="1" x14ac:dyDescent="0.2">
      <c r="A40" s="9">
        <v>18</v>
      </c>
      <c r="B40" s="7"/>
      <c r="C40" s="18" t="s">
        <v>49</v>
      </c>
      <c r="D40" s="65">
        <v>-83901</v>
      </c>
      <c r="E40" s="65">
        <v>-160416</v>
      </c>
      <c r="F40" s="60">
        <f t="shared" si="13"/>
        <v>0</v>
      </c>
      <c r="G40" s="37">
        <f t="shared" si="13"/>
        <v>0</v>
      </c>
      <c r="H40" s="65">
        <f t="shared" si="12"/>
        <v>-83901</v>
      </c>
      <c r="I40" s="66">
        <f t="shared" si="12"/>
        <v>-160416</v>
      </c>
      <c r="J40" s="60"/>
      <c r="K40" s="38"/>
      <c r="L40" s="60">
        <f t="shared" si="14"/>
        <v>-83901</v>
      </c>
      <c r="M40" s="38">
        <f t="shared" si="14"/>
        <v>-160416</v>
      </c>
    </row>
    <row r="41" spans="1:13" x14ac:dyDescent="0.2">
      <c r="A41" s="9">
        <v>19</v>
      </c>
      <c r="B41" s="7"/>
      <c r="C41" s="18" t="s">
        <v>50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-83901</v>
      </c>
      <c r="E42" s="39">
        <v>-160416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-83901</v>
      </c>
      <c r="I42" s="39">
        <f>SUM(I40:I41)</f>
        <v>-160416</v>
      </c>
      <c r="J42" s="61">
        <f t="shared" si="15"/>
        <v>0</v>
      </c>
      <c r="K42" s="39">
        <f t="shared" si="15"/>
        <v>0</v>
      </c>
      <c r="L42" s="61">
        <f t="shared" si="15"/>
        <v>-83901</v>
      </c>
      <c r="M42" s="39">
        <f t="shared" si="15"/>
        <v>-160416</v>
      </c>
    </row>
    <row r="43" spans="1:13" ht="21" customHeight="1" x14ac:dyDescent="0.2">
      <c r="A43" s="9"/>
      <c r="B43" s="7" t="s">
        <v>52</v>
      </c>
      <c r="C43" s="6"/>
      <c r="D43" s="61">
        <v>-35872</v>
      </c>
      <c r="E43" s="39">
        <v>-67980</v>
      </c>
      <c r="F43" s="61">
        <f t="shared" ref="F43:M43" si="16">F42+F39</f>
        <v>0</v>
      </c>
      <c r="G43" s="39">
        <f t="shared" si="16"/>
        <v>0</v>
      </c>
      <c r="H43" s="61">
        <f>H42+H39</f>
        <v>-35872</v>
      </c>
      <c r="I43" s="39">
        <f>I42+I39</f>
        <v>-67980</v>
      </c>
      <c r="J43" s="61">
        <f t="shared" si="16"/>
        <v>0</v>
      </c>
      <c r="K43" s="39">
        <f t="shared" si="16"/>
        <v>0</v>
      </c>
      <c r="L43" s="61">
        <f t="shared" si="16"/>
        <v>-35872</v>
      </c>
      <c r="M43" s="39">
        <f t="shared" si="16"/>
        <v>-67980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v>-38706</v>
      </c>
      <c r="E49" s="65">
        <v>-80494.023766379614</v>
      </c>
      <c r="F49" s="60">
        <f>H49-D49</f>
        <v>0</v>
      </c>
      <c r="G49" s="37">
        <f>I49-E49</f>
        <v>0</v>
      </c>
      <c r="H49" s="65">
        <f>D49</f>
        <v>-38706</v>
      </c>
      <c r="I49" s="66">
        <f>E49</f>
        <v>-80494.023766379614</v>
      </c>
      <c r="J49" s="60"/>
      <c r="K49" s="38"/>
      <c r="L49" s="60">
        <f>H49+J49</f>
        <v>-38706</v>
      </c>
      <c r="M49" s="38">
        <f>I49+K49</f>
        <v>-80494.023766379614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v>-295007</v>
      </c>
      <c r="E51" s="65">
        <v>-597680</v>
      </c>
      <c r="F51" s="60">
        <f>H51-D51</f>
        <v>0</v>
      </c>
      <c r="G51" s="37">
        <f>I51-E51</f>
        <v>0</v>
      </c>
      <c r="H51" s="65">
        <f>D51</f>
        <v>-295007</v>
      </c>
      <c r="I51" s="66">
        <f>E51</f>
        <v>-597680</v>
      </c>
      <c r="J51" s="60"/>
      <c r="K51" s="38"/>
      <c r="L51" s="60">
        <f>H51+J51</f>
        <v>-295007</v>
      </c>
      <c r="M51" s="38">
        <f>I51+K51</f>
        <v>-597680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v>0</v>
      </c>
      <c r="E54" s="65">
        <v>-172911.24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-172911.24</v>
      </c>
      <c r="J54" s="60"/>
      <c r="K54" s="38"/>
      <c r="L54" s="60">
        <f>H54+J54</f>
        <v>0</v>
      </c>
      <c r="M54" s="38">
        <f>I54+K54</f>
        <v>-172911.24</v>
      </c>
    </row>
    <row r="55" spans="1:15" x14ac:dyDescent="0.2">
      <c r="A55" s="9">
        <v>25</v>
      </c>
      <c r="B55" s="7"/>
      <c r="C55" s="18" t="s">
        <v>59</v>
      </c>
      <c r="D55" s="65">
        <v>0</v>
      </c>
      <c r="E55" s="65">
        <v>-1321394.46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-1321394.46</v>
      </c>
      <c r="J55" s="60"/>
      <c r="K55" s="38"/>
      <c r="L55" s="60">
        <f>H55+J55</f>
        <v>0</v>
      </c>
      <c r="M55" s="38">
        <f>I55+K55</f>
        <v>-1321394.46</v>
      </c>
    </row>
    <row r="56" spans="1:15" x14ac:dyDescent="0.2">
      <c r="A56" s="9"/>
      <c r="B56" s="7" t="s">
        <v>60</v>
      </c>
      <c r="C56" s="6"/>
      <c r="D56" s="61">
        <v>0</v>
      </c>
      <c r="E56" s="39">
        <v>-1494305.7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-1494305.7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-1494305.7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5">
        <v>0</v>
      </c>
      <c r="E70" s="65">
        <v>2029682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2029682</v>
      </c>
      <c r="J70" s="60"/>
      <c r="K70" s="38"/>
      <c r="L70" s="60">
        <f>H70+J70</f>
        <v>0</v>
      </c>
      <c r="M70" s="38">
        <f>I70+K70</f>
        <v>2029682</v>
      </c>
    </row>
    <row r="71" spans="1:13" x14ac:dyDescent="0.2">
      <c r="A71" s="9">
        <v>31</v>
      </c>
      <c r="B71" s="3"/>
      <c r="C71" s="10" t="s">
        <v>71</v>
      </c>
      <c r="D71" s="65">
        <v>0</v>
      </c>
      <c r="E71" s="65">
        <v>-1493590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-1493590</v>
      </c>
      <c r="J71" s="60"/>
      <c r="K71" s="38"/>
      <c r="L71" s="60">
        <f>H71+J71</f>
        <v>0</v>
      </c>
      <c r="M71" s="38">
        <f>I71+K71</f>
        <v>-1493590</v>
      </c>
    </row>
    <row r="72" spans="1:13" x14ac:dyDescent="0.2">
      <c r="A72" s="9"/>
      <c r="B72" s="3"/>
      <c r="C72" s="55" t="s">
        <v>72</v>
      </c>
      <c r="D72" s="61">
        <v>0</v>
      </c>
      <c r="E72" s="39">
        <v>536092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536092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536092</v>
      </c>
    </row>
    <row r="73" spans="1:13" x14ac:dyDescent="0.2">
      <c r="A73" s="9">
        <v>32</v>
      </c>
      <c r="B73" s="3"/>
      <c r="C73" s="10" t="s">
        <v>73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5">
        <v>0</v>
      </c>
      <c r="E74" s="65">
        <v>20312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20312</v>
      </c>
      <c r="J74" s="60"/>
      <c r="K74" s="38"/>
      <c r="L74" s="60">
        <f t="shared" si="22"/>
        <v>0</v>
      </c>
      <c r="M74" s="38">
        <f t="shared" si="22"/>
        <v>20312</v>
      </c>
    </row>
    <row r="75" spans="1:13" x14ac:dyDescent="0.2">
      <c r="A75" s="9">
        <v>34</v>
      </c>
      <c r="B75" s="3"/>
      <c r="C75" s="10" t="s">
        <v>75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76</v>
      </c>
      <c r="D76" s="65">
        <v>0</v>
      </c>
      <c r="E76" s="65">
        <v>-23097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-23097</v>
      </c>
      <c r="J76" s="60"/>
      <c r="K76" s="38"/>
      <c r="L76" s="60">
        <f t="shared" si="22"/>
        <v>0</v>
      </c>
      <c r="M76" s="38">
        <f t="shared" si="22"/>
        <v>-23097</v>
      </c>
    </row>
    <row r="77" spans="1:13" x14ac:dyDescent="0.2">
      <c r="A77" s="9">
        <v>36</v>
      </c>
      <c r="B77" s="3"/>
      <c r="C77" s="10" t="s">
        <v>77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78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79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81</v>
      </c>
      <c r="D81" s="65">
        <v>0</v>
      </c>
      <c r="E81" s="65">
        <v>51876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51876</v>
      </c>
      <c r="J81" s="60"/>
      <c r="K81" s="38"/>
      <c r="L81" s="60">
        <f t="shared" si="22"/>
        <v>0</v>
      </c>
      <c r="M81" s="38">
        <f t="shared" si="22"/>
        <v>51876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74">
        <f>SUM(E72:E81)+E16+E24+E29+E36+E43+E45+E47+E49+E51+E56+E61+E66</f>
        <v>-208757.72376637952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-208757.72376637952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-208757.72376637952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182</v>
      </c>
      <c r="B85" s="3"/>
    </row>
    <row r="86" spans="1:67" s="3" customFormat="1" x14ac:dyDescent="0.2">
      <c r="A86" s="174"/>
      <c r="C86" s="10" t="s">
        <v>177</v>
      </c>
      <c r="D86" s="175">
        <v>0</v>
      </c>
      <c r="E86" s="175">
        <v>0</v>
      </c>
      <c r="F86" s="175">
        <v>0</v>
      </c>
      <c r="G86" s="175">
        <v>0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</row>
    <row r="87" spans="1:67" s="3" customFormat="1" x14ac:dyDescent="0.2">
      <c r="A87" s="174"/>
      <c r="C87" s="10" t="s">
        <v>74</v>
      </c>
      <c r="D87" s="176">
        <v>0</v>
      </c>
      <c r="E87" s="176"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</row>
    <row r="88" spans="1:67" s="3" customFormat="1" x14ac:dyDescent="0.2">
      <c r="A88" s="174"/>
      <c r="C88" s="10" t="s">
        <v>75</v>
      </c>
      <c r="D88" s="177">
        <v>0</v>
      </c>
      <c r="E88" s="177">
        <v>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</row>
    <row r="89" spans="1:67" s="44" customFormat="1" ht="20.25" customHeight="1" x14ac:dyDescent="0.2">
      <c r="A89" s="181"/>
      <c r="B89" s="182"/>
      <c r="C89" s="183" t="s">
        <v>180</v>
      </c>
      <c r="D89" s="185">
        <f>SUM(D86:D88)</f>
        <v>0</v>
      </c>
      <c r="E89" s="185">
        <f t="shared" ref="E89:M89" si="24">SUM(E86:E88)</f>
        <v>0</v>
      </c>
      <c r="F89" s="185">
        <f t="shared" si="24"/>
        <v>0</v>
      </c>
      <c r="G89" s="185">
        <f t="shared" si="24"/>
        <v>0</v>
      </c>
      <c r="H89" s="185">
        <f t="shared" si="24"/>
        <v>0</v>
      </c>
      <c r="I89" s="185">
        <f t="shared" si="24"/>
        <v>0</v>
      </c>
      <c r="J89" s="185">
        <f t="shared" si="24"/>
        <v>0</v>
      </c>
      <c r="K89" s="185">
        <f t="shared" si="24"/>
        <v>0</v>
      </c>
      <c r="L89" s="185">
        <f t="shared" si="24"/>
        <v>0</v>
      </c>
      <c r="M89" s="18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178</v>
      </c>
      <c r="D91" s="185">
        <f>+D82+D89</f>
        <v>0</v>
      </c>
      <c r="E91" s="185">
        <f t="shared" ref="E91:M91" si="25">+E82+E89</f>
        <v>-208757.72376637952</v>
      </c>
      <c r="F91" s="185">
        <f t="shared" si="25"/>
        <v>0</v>
      </c>
      <c r="G91" s="185">
        <f t="shared" si="25"/>
        <v>0</v>
      </c>
      <c r="H91" s="185">
        <f t="shared" si="25"/>
        <v>0</v>
      </c>
      <c r="I91" s="185">
        <f t="shared" si="25"/>
        <v>-208757.72376637952</v>
      </c>
      <c r="J91" s="185">
        <f t="shared" si="25"/>
        <v>0</v>
      </c>
      <c r="K91" s="185">
        <f t="shared" si="25"/>
        <v>0</v>
      </c>
      <c r="L91" s="185">
        <f t="shared" si="25"/>
        <v>0</v>
      </c>
      <c r="M91" s="185">
        <f t="shared" si="25"/>
        <v>-208757.72376637952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69" activePane="bottomRight" state="frozen"/>
      <selection activeCell="A91" sqref="A91"/>
      <selection pane="topRight" activeCell="A91" sqref="A91"/>
      <selection pane="bottomLeft" activeCell="A91" sqref="A91"/>
      <selection pane="bottomRight" activeCell="I80" sqref="I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29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29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31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50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/>
      <c r="E70" s="38">
        <v>-3633759</v>
      </c>
      <c r="F70" s="60">
        <f>H70-D70</f>
        <v>0</v>
      </c>
      <c r="G70" s="37">
        <f>I70-E70</f>
        <v>3633759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71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3633759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73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74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75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76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77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78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79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80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81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-946759</v>
      </c>
      <c r="H81" s="65">
        <f t="shared" si="23"/>
        <v>0</v>
      </c>
      <c r="I81" s="156">
        <v>2386000</v>
      </c>
      <c r="J81" s="60"/>
      <c r="K81" s="38"/>
      <c r="L81" s="60">
        <f t="shared" si="24"/>
        <v>0</v>
      </c>
      <c r="M81" s="38">
        <f t="shared" si="24"/>
        <v>2386000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2687000</v>
      </c>
      <c r="H82" s="73">
        <f>H16+H24+H29+H36+H43+H45+H47+H49</f>
        <v>0</v>
      </c>
      <c r="I82" s="155">
        <f>SUM(I72:I81)+I16+I24+I29+I36+I43+I45+I47+I49+I51+I56+I61+I66</f>
        <v>2386000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2386000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5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8282439</v>
      </c>
      <c r="E11" s="38">
        <v>19073437</v>
      </c>
      <c r="F11" s="60">
        <f>H11-D11</f>
        <v>0</v>
      </c>
      <c r="G11" s="37">
        <f>I11-E11</f>
        <v>0</v>
      </c>
      <c r="H11" s="65">
        <f>D11</f>
        <v>8282439</v>
      </c>
      <c r="I11" s="66">
        <f>E11</f>
        <v>19073437</v>
      </c>
      <c r="J11" s="60"/>
      <c r="K11" s="38"/>
      <c r="L11" s="60">
        <f t="shared" ref="L11:M15" si="0">H11+J11</f>
        <v>8282439</v>
      </c>
      <c r="M11" s="38">
        <f t="shared" si="0"/>
        <v>19073437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3928389</v>
      </c>
      <c r="E13" s="38">
        <v>9058926</v>
      </c>
      <c r="F13" s="60">
        <f t="shared" si="1"/>
        <v>0</v>
      </c>
      <c r="G13" s="37">
        <f t="shared" si="1"/>
        <v>0</v>
      </c>
      <c r="H13" s="65">
        <f t="shared" si="2"/>
        <v>3928389</v>
      </c>
      <c r="I13" s="66">
        <f t="shared" si="2"/>
        <v>9058926</v>
      </c>
      <c r="J13" s="60"/>
      <c r="K13" s="38"/>
      <c r="L13" s="60">
        <f t="shared" si="0"/>
        <v>3928389</v>
      </c>
      <c r="M13" s="38">
        <f t="shared" si="0"/>
        <v>9058926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12210828</v>
      </c>
      <c r="E16" s="39">
        <v>28132363</v>
      </c>
      <c r="F16" s="61">
        <f t="shared" ref="F16:M16" si="3">SUM(F11:F15)</f>
        <v>0</v>
      </c>
      <c r="G16" s="39">
        <f t="shared" si="3"/>
        <v>0</v>
      </c>
      <c r="H16" s="61">
        <f>SUM(H11:H15)</f>
        <v>12210828</v>
      </c>
      <c r="I16" s="39">
        <f>SUM(I11:I15)</f>
        <v>28132363</v>
      </c>
      <c r="J16" s="61">
        <f t="shared" si="3"/>
        <v>0</v>
      </c>
      <c r="K16" s="39">
        <f t="shared" si="3"/>
        <v>0</v>
      </c>
      <c r="L16" s="61">
        <f t="shared" si="3"/>
        <v>12210828</v>
      </c>
      <c r="M16" s="39">
        <f t="shared" si="3"/>
        <v>28132363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-7814436</v>
      </c>
      <c r="E19" s="38">
        <v>-17970825</v>
      </c>
      <c r="F19" s="60">
        <f>H19-D19</f>
        <v>0</v>
      </c>
      <c r="G19" s="37">
        <f>I19-E19</f>
        <v>0</v>
      </c>
      <c r="H19" s="65">
        <f t="shared" si="4"/>
        <v>-7814436</v>
      </c>
      <c r="I19" s="66">
        <f t="shared" si="4"/>
        <v>-17970825</v>
      </c>
      <c r="J19" s="60"/>
      <c r="K19" s="38"/>
      <c r="L19" s="60">
        <f t="shared" ref="L19:M23" si="5">H19+J19</f>
        <v>-7814436</v>
      </c>
      <c r="M19" s="38">
        <f t="shared" si="5"/>
        <v>-17970825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-4391586</v>
      </c>
      <c r="E21" s="38">
        <v>-10165395</v>
      </c>
      <c r="F21" s="60">
        <f t="shared" si="6"/>
        <v>0</v>
      </c>
      <c r="G21" s="37">
        <f t="shared" si="6"/>
        <v>0</v>
      </c>
      <c r="H21" s="65">
        <f t="shared" si="4"/>
        <v>-4391586</v>
      </c>
      <c r="I21" s="66">
        <f t="shared" si="4"/>
        <v>-10165395</v>
      </c>
      <c r="J21" s="60"/>
      <c r="K21" s="38"/>
      <c r="L21" s="60">
        <f t="shared" si="5"/>
        <v>-4391586</v>
      </c>
      <c r="M21" s="38">
        <f t="shared" si="5"/>
        <v>-10165395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v>-12206022</v>
      </c>
      <c r="E24" s="39">
        <v>-28136220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-12206022</v>
      </c>
      <c r="I24" s="39">
        <f>SUM(I19:I23)</f>
        <v>-28136220</v>
      </c>
      <c r="J24" s="61">
        <f t="shared" si="7"/>
        <v>0</v>
      </c>
      <c r="K24" s="39">
        <f t="shared" si="7"/>
        <v>0</v>
      </c>
      <c r="L24" s="61">
        <f t="shared" si="7"/>
        <v>-12206022</v>
      </c>
      <c r="M24" s="39">
        <f t="shared" si="7"/>
        <v>-28136220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-4806</v>
      </c>
      <c r="E49" s="38">
        <v>-10957.68</v>
      </c>
      <c r="F49" s="60">
        <f>H49-D49</f>
        <v>0</v>
      </c>
      <c r="G49" s="37">
        <f>I49-E49</f>
        <v>0</v>
      </c>
      <c r="H49" s="65">
        <f>D49</f>
        <v>-4806</v>
      </c>
      <c r="I49" s="66">
        <f>E49</f>
        <v>-10957.68</v>
      </c>
      <c r="J49" s="60"/>
      <c r="K49" s="38"/>
      <c r="L49" s="60">
        <f>H49+J49</f>
        <v>-4806</v>
      </c>
      <c r="M49" s="38">
        <f>I49+K49</f>
        <v>-10957.68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-832910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-832910</v>
      </c>
      <c r="J70" s="65"/>
      <c r="K70" s="38"/>
      <c r="L70" s="60">
        <f t="shared" si="20"/>
        <v>0</v>
      </c>
      <c r="M70" s="38">
        <f t="shared" si="20"/>
        <v>-832910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775951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775951</v>
      </c>
      <c r="J71" s="65"/>
      <c r="K71" s="38"/>
      <c r="L71" s="60">
        <f t="shared" si="20"/>
        <v>0</v>
      </c>
      <c r="M71" s="38">
        <f t="shared" si="20"/>
        <v>775951</v>
      </c>
    </row>
    <row r="72" spans="1:13" x14ac:dyDescent="0.2">
      <c r="A72" s="9"/>
      <c r="B72" s="3"/>
      <c r="C72" s="55" t="s">
        <v>72</v>
      </c>
      <c r="D72" s="61">
        <v>0</v>
      </c>
      <c r="E72" s="39">
        <v>-56959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-56959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-56959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81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179</v>
      </c>
      <c r="D82" s="73">
        <f>D16+D24+D29+D36+D43+D45+D47+D49</f>
        <v>0</v>
      </c>
      <c r="E82" s="74">
        <f>SUM(E72:E81)+E16+E24+E29+E36+E43+E45+E47+E49+E51+E56+E61+E66</f>
        <v>-71773.679999999993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-71773.679999999993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-71773.679999999993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173</v>
      </c>
      <c r="B85" s="3"/>
      <c r="L85" s="45"/>
    </row>
    <row r="86" spans="1:13" s="3" customFormat="1" x14ac:dyDescent="0.2">
      <c r="A86" s="174"/>
      <c r="C86" s="10" t="s">
        <v>177</v>
      </c>
      <c r="D86" s="178">
        <v>0</v>
      </c>
      <c r="E86" s="178">
        <v>26476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26476</v>
      </c>
      <c r="J86" s="178"/>
      <c r="K86" s="178"/>
      <c r="L86" s="178">
        <f t="shared" ref="L86:M88" si="27">H86+J86</f>
        <v>0</v>
      </c>
      <c r="M86" s="178">
        <f t="shared" si="27"/>
        <v>26476</v>
      </c>
    </row>
    <row r="87" spans="1:13" s="3" customFormat="1" x14ac:dyDescent="0.2">
      <c r="A87" s="174"/>
      <c r="C87" s="10" t="s">
        <v>74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13" s="3" customFormat="1" x14ac:dyDescent="0.2">
      <c r="A88" s="174"/>
      <c r="C88" s="10" t="s">
        <v>75</v>
      </c>
      <c r="D88" s="180">
        <v>0</v>
      </c>
      <c r="E88" s="180">
        <v>0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0</v>
      </c>
      <c r="J88" s="180"/>
      <c r="K88" s="180"/>
      <c r="L88" s="180">
        <f t="shared" si="27"/>
        <v>0</v>
      </c>
      <c r="M88" s="180">
        <f t="shared" si="27"/>
        <v>0</v>
      </c>
    </row>
    <row r="89" spans="1:13" s="2" customFormat="1" ht="20.25" customHeight="1" x14ac:dyDescent="0.2">
      <c r="A89" s="174"/>
      <c r="B89" s="4"/>
      <c r="C89" s="184" t="s">
        <v>180</v>
      </c>
      <c r="D89" s="185">
        <f>SUM(D86:D88)</f>
        <v>0</v>
      </c>
      <c r="E89" s="185">
        <f t="shared" ref="E89:M89" si="28">SUM(E86:E88)</f>
        <v>26476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26476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26476</v>
      </c>
    </row>
    <row r="90" spans="1:13" x14ac:dyDescent="0.2">
      <c r="A90" s="4"/>
      <c r="B90" s="3"/>
    </row>
    <row r="91" spans="1:13" s="2" customFormat="1" ht="20.25" customHeight="1" x14ac:dyDescent="0.2">
      <c r="A91" s="174"/>
      <c r="B91" s="4"/>
      <c r="C91" s="184" t="s">
        <v>178</v>
      </c>
      <c r="D91" s="185">
        <f>+D82+D89</f>
        <v>0</v>
      </c>
      <c r="E91" s="185">
        <f t="shared" ref="E91:M91" si="29">+E82+E89</f>
        <v>-45297.679999999993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-45297.679999999993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-45297.679999999993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G88" sqref="G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5743537</v>
      </c>
      <c r="E11" s="65">
        <v>11860606</v>
      </c>
      <c r="F11" s="60">
        <f>H11-D11</f>
        <v>0</v>
      </c>
      <c r="G11" s="37">
        <f>I11-E11</f>
        <v>0</v>
      </c>
      <c r="H11" s="65">
        <f>D11</f>
        <v>5743537</v>
      </c>
      <c r="I11" s="66">
        <f>E11</f>
        <v>11860606</v>
      </c>
      <c r="J11" s="60"/>
      <c r="K11" s="38"/>
      <c r="L11" s="60">
        <f t="shared" ref="L11:M15" si="0">H11+J11</f>
        <v>5743537</v>
      </c>
      <c r="M11" s="38">
        <f t="shared" si="0"/>
        <v>11860606</v>
      </c>
    </row>
    <row r="12" spans="1:26" x14ac:dyDescent="0.2">
      <c r="A12" s="9">
        <v>2</v>
      </c>
      <c r="B12" s="7"/>
      <c r="C12" s="18" t="s">
        <v>29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v>19872754</v>
      </c>
      <c r="E13" s="65">
        <v>48750519</v>
      </c>
      <c r="F13" s="60">
        <f t="shared" si="1"/>
        <v>0</v>
      </c>
      <c r="G13" s="37">
        <f t="shared" si="1"/>
        <v>0</v>
      </c>
      <c r="H13" s="65">
        <f t="shared" si="2"/>
        <v>19872754</v>
      </c>
      <c r="I13" s="66">
        <f t="shared" si="2"/>
        <v>48750519</v>
      </c>
      <c r="J13" s="60"/>
      <c r="K13" s="38"/>
      <c r="L13" s="60">
        <f t="shared" si="0"/>
        <v>19872754</v>
      </c>
      <c r="M13" s="38">
        <f t="shared" si="0"/>
        <v>48750519</v>
      </c>
    </row>
    <row r="14" spans="1:26" x14ac:dyDescent="0.2">
      <c r="A14" s="9">
        <v>4</v>
      </c>
      <c r="B14" s="7"/>
      <c r="C14" s="18" t="s">
        <v>31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25616291</v>
      </c>
      <c r="E16" s="39">
        <v>60611125</v>
      </c>
      <c r="F16" s="61">
        <f t="shared" ref="F16:M16" si="3">SUM(F11:F15)</f>
        <v>0</v>
      </c>
      <c r="G16" s="39">
        <f t="shared" si="3"/>
        <v>0</v>
      </c>
      <c r="H16" s="61">
        <f>SUM(H11:H15)</f>
        <v>25616291</v>
      </c>
      <c r="I16" s="39">
        <f>SUM(I11:I15)</f>
        <v>60611125</v>
      </c>
      <c r="J16" s="61">
        <f t="shared" si="3"/>
        <v>0</v>
      </c>
      <c r="K16" s="39">
        <f t="shared" si="3"/>
        <v>0</v>
      </c>
      <c r="L16" s="61">
        <f t="shared" si="3"/>
        <v>25616291</v>
      </c>
      <c r="M16" s="39">
        <f t="shared" si="3"/>
        <v>60611125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v>-6260114</v>
      </c>
      <c r="E19" s="65">
        <v>-12400647</v>
      </c>
      <c r="F19" s="60">
        <f>H19-D19</f>
        <v>0</v>
      </c>
      <c r="G19" s="37">
        <f>I19-E19</f>
        <v>0</v>
      </c>
      <c r="H19" s="65">
        <f t="shared" si="4"/>
        <v>-6260114</v>
      </c>
      <c r="I19" s="66">
        <f t="shared" si="4"/>
        <v>-12400647</v>
      </c>
      <c r="J19" s="60"/>
      <c r="K19" s="38"/>
      <c r="L19" s="60">
        <f t="shared" ref="L19:M23" si="5">H19+J19</f>
        <v>-6260114</v>
      </c>
      <c r="M19" s="38">
        <f t="shared" si="5"/>
        <v>-12400647</v>
      </c>
    </row>
    <row r="20" spans="1:13" x14ac:dyDescent="0.2">
      <c r="A20" s="9">
        <v>7</v>
      </c>
      <c r="B20" s="7"/>
      <c r="C20" s="18" t="s">
        <v>29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5">
        <v>-25524776</v>
      </c>
      <c r="E21" s="65">
        <v>-60935936</v>
      </c>
      <c r="F21" s="60">
        <f t="shared" si="6"/>
        <v>0</v>
      </c>
      <c r="G21" s="37">
        <f t="shared" si="6"/>
        <v>0</v>
      </c>
      <c r="H21" s="65">
        <f t="shared" si="4"/>
        <v>-25524776</v>
      </c>
      <c r="I21" s="66">
        <f t="shared" si="4"/>
        <v>-60935936</v>
      </c>
      <c r="J21" s="60"/>
      <c r="K21" s="38"/>
      <c r="L21" s="60">
        <f t="shared" si="5"/>
        <v>-25524776</v>
      </c>
      <c r="M21" s="38">
        <f t="shared" si="5"/>
        <v>-60935936</v>
      </c>
    </row>
    <row r="22" spans="1:13" x14ac:dyDescent="0.2">
      <c r="A22" s="9">
        <v>9</v>
      </c>
      <c r="B22" s="7"/>
      <c r="C22" s="18" t="s">
        <v>31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5">
        <v>529347</v>
      </c>
      <c r="E23" s="65">
        <v>1224927</v>
      </c>
      <c r="F23" s="60">
        <f t="shared" si="6"/>
        <v>0</v>
      </c>
      <c r="G23" s="37">
        <f t="shared" si="6"/>
        <v>0</v>
      </c>
      <c r="H23" s="65">
        <f t="shared" si="4"/>
        <v>529347</v>
      </c>
      <c r="I23" s="66">
        <f t="shared" si="4"/>
        <v>1224927</v>
      </c>
      <c r="J23" s="60"/>
      <c r="K23" s="38"/>
      <c r="L23" s="60">
        <f t="shared" si="5"/>
        <v>529347</v>
      </c>
      <c r="M23" s="38">
        <f t="shared" si="5"/>
        <v>1224927</v>
      </c>
    </row>
    <row r="24" spans="1:13" x14ac:dyDescent="0.2">
      <c r="A24" s="9"/>
      <c r="B24" s="7" t="s">
        <v>36</v>
      </c>
      <c r="C24" s="6"/>
      <c r="D24" s="61">
        <v>-31255543</v>
      </c>
      <c r="E24" s="39">
        <v>-72111656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-31255543</v>
      </c>
      <c r="I24" s="39">
        <f>SUM(I19:I23)</f>
        <v>-72111656</v>
      </c>
      <c r="J24" s="61">
        <f t="shared" si="7"/>
        <v>0</v>
      </c>
      <c r="K24" s="39">
        <f t="shared" si="7"/>
        <v>0</v>
      </c>
      <c r="L24" s="61">
        <f t="shared" si="7"/>
        <v>-31255543</v>
      </c>
      <c r="M24" s="39">
        <f t="shared" si="7"/>
        <v>-72111656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v>17100</v>
      </c>
      <c r="E32" s="65">
        <v>40185</v>
      </c>
      <c r="F32" s="60">
        <f>H32-D32</f>
        <v>0</v>
      </c>
      <c r="G32" s="37">
        <f>I32-E32</f>
        <v>0</v>
      </c>
      <c r="H32" s="65">
        <f t="shared" ref="H32:I35" si="9">D32</f>
        <v>17100</v>
      </c>
      <c r="I32" s="66">
        <f t="shared" si="9"/>
        <v>40185</v>
      </c>
      <c r="J32" s="60"/>
      <c r="K32" s="38"/>
      <c r="L32" s="60">
        <f t="shared" ref="L32:M35" si="10">H32+J32</f>
        <v>17100</v>
      </c>
      <c r="M32" s="38">
        <f t="shared" si="10"/>
        <v>40185</v>
      </c>
    </row>
    <row r="33" spans="1:13" x14ac:dyDescent="0.2">
      <c r="A33" s="9">
        <v>14</v>
      </c>
      <c r="B33" s="7"/>
      <c r="C33" s="18" t="s">
        <v>43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17100</v>
      </c>
      <c r="E36" s="39">
        <v>40185</v>
      </c>
      <c r="F36" s="61">
        <f>SUM(F32:F35)</f>
        <v>0</v>
      </c>
      <c r="G36" s="39">
        <f>SUM(G32:G35)</f>
        <v>0</v>
      </c>
      <c r="H36" s="61">
        <f>SUM(H32:H35)</f>
        <v>17100</v>
      </c>
      <c r="I36" s="39">
        <f>SUM(I32:I35)</f>
        <v>40185</v>
      </c>
      <c r="J36" s="61">
        <f>SUM(J32:J34)</f>
        <v>0</v>
      </c>
      <c r="K36" s="39">
        <f>SUM(K32:K34)</f>
        <v>0</v>
      </c>
      <c r="L36" s="61">
        <f>SUM(L32:L35)</f>
        <v>17100</v>
      </c>
      <c r="M36" s="39">
        <f>SUM(M32:M35)</f>
        <v>40185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v>5659897</v>
      </c>
      <c r="E39" s="65">
        <v>13850098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5659897</v>
      </c>
      <c r="I39" s="66">
        <f t="shared" si="12"/>
        <v>13850098</v>
      </c>
      <c r="J39" s="60"/>
      <c r="K39" s="38"/>
      <c r="L39" s="60">
        <f t="shared" ref="L39:M41" si="14">H39+J39</f>
        <v>5659897</v>
      </c>
      <c r="M39" s="38">
        <f t="shared" si="14"/>
        <v>13850098</v>
      </c>
    </row>
    <row r="40" spans="1:13" ht="22.5" customHeight="1" x14ac:dyDescent="0.2">
      <c r="A40" s="9">
        <v>18</v>
      </c>
      <c r="B40" s="7"/>
      <c r="C40" s="18" t="s">
        <v>49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5659897</v>
      </c>
      <c r="E43" s="39">
        <v>13850098</v>
      </c>
      <c r="F43" s="61">
        <f t="shared" ref="F43:M43" si="16">F42+F39</f>
        <v>0</v>
      </c>
      <c r="G43" s="39">
        <f t="shared" si="16"/>
        <v>0</v>
      </c>
      <c r="H43" s="61">
        <f>H42+H39</f>
        <v>5659897</v>
      </c>
      <c r="I43" s="39">
        <f>I42+I39</f>
        <v>13850098</v>
      </c>
      <c r="J43" s="61">
        <f t="shared" si="16"/>
        <v>0</v>
      </c>
      <c r="K43" s="39">
        <f t="shared" si="16"/>
        <v>0</v>
      </c>
      <c r="L43" s="61">
        <f t="shared" si="16"/>
        <v>5659897</v>
      </c>
      <c r="M43" s="39">
        <f t="shared" si="16"/>
        <v>13850098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v>-37745</v>
      </c>
      <c r="E49" s="65">
        <v>-84058.114999999991</v>
      </c>
      <c r="F49" s="60">
        <f>H49-D49</f>
        <v>0</v>
      </c>
      <c r="G49" s="37">
        <f>I49-E49</f>
        <v>0</v>
      </c>
      <c r="H49" s="65">
        <f>D49</f>
        <v>-37745</v>
      </c>
      <c r="I49" s="66">
        <f>E49</f>
        <v>-84058.114999999991</v>
      </c>
      <c r="J49" s="60"/>
      <c r="K49" s="38"/>
      <c r="L49" s="60">
        <f>H49+J49</f>
        <v>-37745</v>
      </c>
      <c r="M49" s="38">
        <f>I49+K49</f>
        <v>-84058.114999999991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v>-529347</v>
      </c>
      <c r="E51" s="65">
        <v>-1224927</v>
      </c>
      <c r="F51" s="60">
        <f>H51-D51</f>
        <v>0</v>
      </c>
      <c r="G51" s="37">
        <f>I51-E51</f>
        <v>0</v>
      </c>
      <c r="H51" s="65">
        <f>D51</f>
        <v>-529347</v>
      </c>
      <c r="I51" s="66">
        <f>E51</f>
        <v>-1224927</v>
      </c>
      <c r="J51" s="60"/>
      <c r="K51" s="38"/>
      <c r="L51" s="60">
        <f>H51+J51</f>
        <v>-529347</v>
      </c>
      <c r="M51" s="38">
        <f>I51+K51</f>
        <v>-1224927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v>0</v>
      </c>
      <c r="E54" s="65">
        <v>-501940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-501940</v>
      </c>
      <c r="J54" s="60"/>
      <c r="K54" s="38"/>
      <c r="L54" s="60">
        <f>H54+J54</f>
        <v>0</v>
      </c>
      <c r="M54" s="38">
        <f>I54+K54</f>
        <v>-501940</v>
      </c>
    </row>
    <row r="55" spans="1:15" x14ac:dyDescent="0.2">
      <c r="A55" s="9">
        <v>25</v>
      </c>
      <c r="B55" s="7"/>
      <c r="C55" s="18" t="s">
        <v>59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-501940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-501940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-501940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63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65">
        <v>0</v>
      </c>
      <c r="E70" s="65">
        <v>6075072.7361008003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6075072.7361008003</v>
      </c>
      <c r="J70" s="65"/>
      <c r="K70" s="38"/>
      <c r="L70" s="60">
        <f t="shared" si="20"/>
        <v>0</v>
      </c>
      <c r="M70" s="38">
        <f t="shared" si="20"/>
        <v>6075072.7361008003</v>
      </c>
    </row>
    <row r="71" spans="1:13" x14ac:dyDescent="0.2">
      <c r="A71" s="9">
        <v>31</v>
      </c>
      <c r="B71" s="3"/>
      <c r="C71" s="10" t="s">
        <v>71</v>
      </c>
      <c r="D71" s="65">
        <v>0</v>
      </c>
      <c r="E71" s="65">
        <v>-5981502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-5981502</v>
      </c>
      <c r="J71" s="65"/>
      <c r="K71" s="38"/>
      <c r="L71" s="60">
        <f t="shared" si="20"/>
        <v>0</v>
      </c>
      <c r="M71" s="38">
        <f t="shared" si="20"/>
        <v>-5981502</v>
      </c>
    </row>
    <row r="72" spans="1:13" x14ac:dyDescent="0.2">
      <c r="A72" s="9"/>
      <c r="B72" s="3"/>
      <c r="C72" s="55" t="s">
        <v>72</v>
      </c>
      <c r="D72" s="61">
        <v>0</v>
      </c>
      <c r="E72" s="39">
        <v>93570.736100800335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93570.736100800335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93570.736100800335</v>
      </c>
    </row>
    <row r="73" spans="1:13" x14ac:dyDescent="0.2">
      <c r="A73" s="9">
        <v>32</v>
      </c>
      <c r="B73" s="3"/>
      <c r="C73" s="10" t="s">
        <v>73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74</v>
      </c>
      <c r="D74" s="65">
        <v>0</v>
      </c>
      <c r="E74" s="65">
        <v>758806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758806</v>
      </c>
      <c r="J74" s="60"/>
      <c r="K74" s="38"/>
      <c r="L74" s="60">
        <f t="shared" si="23"/>
        <v>0</v>
      </c>
      <c r="M74" s="38">
        <f t="shared" si="23"/>
        <v>758806</v>
      </c>
    </row>
    <row r="75" spans="1:13" x14ac:dyDescent="0.2">
      <c r="A75" s="9">
        <v>34</v>
      </c>
      <c r="B75" s="3"/>
      <c r="C75" s="10" t="s">
        <v>75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76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77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78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79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80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81</v>
      </c>
      <c r="D81" s="65">
        <v>0</v>
      </c>
      <c r="E81" s="65">
        <v>6418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6418</v>
      </c>
      <c r="J81" s="60"/>
      <c r="K81" s="38"/>
      <c r="L81" s="60">
        <f t="shared" si="23"/>
        <v>0</v>
      </c>
      <c r="M81" s="38">
        <f t="shared" si="23"/>
        <v>6418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74">
        <f>SUM(E72:E81)+E16+E24+E29+E36+E43+E45+E47+E49+E51+E56+E61+E66</f>
        <v>1437621.6211008001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1437621.6211008001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1437621.6211008001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X10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">
        <v>188</v>
      </c>
      <c r="I8" s="27"/>
      <c r="J8" s="26" t="s">
        <v>191</v>
      </c>
      <c r="K8" s="27"/>
      <c r="L8" s="26" t="s">
        <v>193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">
        <v>104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47412133</v>
      </c>
      <c r="E11" s="38">
        <f>SUM(G11,I11,K11,M11,O11,Q11,S11,U11,W11,Y11,AA11,AC11,AE11)</f>
        <v>109957376.55000001</v>
      </c>
      <c r="F11" s="60">
        <f>'TIE-OUT'!F11+RECLASS!F11</f>
        <v>0</v>
      </c>
      <c r="G11" s="38">
        <f>'TIE-OUT'!G11+RECLASS!G11</f>
        <v>-4106200.99</v>
      </c>
      <c r="H11" s="129">
        <f>+Actuals!E124</f>
        <v>47286363</v>
      </c>
      <c r="I11" s="130">
        <f>+Actuals!F124</f>
        <v>112591766.78999999</v>
      </c>
      <c r="J11" s="129">
        <f>+Actuals!G124</f>
        <v>113276</v>
      </c>
      <c r="K11" s="130">
        <f>+Actuals!H124</f>
        <v>1114369.96</v>
      </c>
      <c r="L11" s="129">
        <f>+Actuals!I124</f>
        <v>26882</v>
      </c>
      <c r="M11" s="130">
        <f>+Actuals!J124</f>
        <v>14873.01</v>
      </c>
      <c r="N11" s="129">
        <f>+Actuals!K124</f>
        <v>-20077</v>
      </c>
      <c r="O11" s="130">
        <f>+Actuals!L124</f>
        <v>-43239.74</v>
      </c>
      <c r="P11" s="129">
        <f>+Actuals!M124</f>
        <v>3723</v>
      </c>
      <c r="Q11" s="130">
        <f>+Actuals!N124</f>
        <v>8479.98</v>
      </c>
      <c r="R11" s="129">
        <f>+Actuals!O124</f>
        <v>4527</v>
      </c>
      <c r="S11" s="130">
        <f>+Actuals!P124</f>
        <v>392106.29</v>
      </c>
      <c r="T11" s="129">
        <f>+Actuals!Q124</f>
        <v>0</v>
      </c>
      <c r="U11" s="130">
        <f>+Actuals!R124</f>
        <v>-370.41</v>
      </c>
      <c r="V11" s="129">
        <f>+Actuals!S164</f>
        <v>-2561</v>
      </c>
      <c r="W11" s="130">
        <f>+Actuals!T164</f>
        <v>-15111.93</v>
      </c>
      <c r="X11" s="129">
        <f>+Actuals!U164</f>
        <v>0</v>
      </c>
      <c r="Y11" s="130">
        <f>+Actuals!V164</f>
        <v>703.59</v>
      </c>
      <c r="Z11" s="129">
        <f>+Actuals!W164</f>
        <v>0</v>
      </c>
      <c r="AA11" s="130">
        <f>+Actuals!X164</f>
        <v>0</v>
      </c>
      <c r="AB11" s="129">
        <f>+Actuals!Y164</f>
        <v>0</v>
      </c>
      <c r="AC11" s="130">
        <f>+Actuals!Z164</f>
        <v>0</v>
      </c>
      <c r="AD11" s="129">
        <f>+Actuals!AA124</f>
        <v>0</v>
      </c>
      <c r="AE11" s="130">
        <f>+Actuals!AB124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-4074325.6799999997</v>
      </c>
      <c r="F12" s="60">
        <f>'TIE-OUT'!F12+RECLASS!F12</f>
        <v>0</v>
      </c>
      <c r="G12" s="38">
        <f>'TIE-OUT'!G12+RECLASS!G12</f>
        <v>-4074325.6799999997</v>
      </c>
      <c r="H12" s="129">
        <f>+Actuals!E125</f>
        <v>0</v>
      </c>
      <c r="I12" s="130">
        <f>+Actuals!F125</f>
        <v>0</v>
      </c>
      <c r="J12" s="129">
        <f>+Actuals!G125</f>
        <v>0</v>
      </c>
      <c r="K12" s="162">
        <f>+Actuals!H125</f>
        <v>0</v>
      </c>
      <c r="L12" s="129">
        <f>+Actuals!I125</f>
        <v>0</v>
      </c>
      <c r="M12" s="130">
        <f>+Actuals!J125</f>
        <v>0</v>
      </c>
      <c r="N12" s="129">
        <f>+Actuals!K125</f>
        <v>0</v>
      </c>
      <c r="O12" s="130">
        <f>+Actuals!L125</f>
        <v>0</v>
      </c>
      <c r="P12" s="129">
        <f>+Actuals!M125</f>
        <v>0</v>
      </c>
      <c r="Q12" s="130">
        <f>+Actuals!N125</f>
        <v>0</v>
      </c>
      <c r="R12" s="129">
        <f>+Actuals!O125</f>
        <v>0</v>
      </c>
      <c r="S12" s="130">
        <f>+Actuals!P125</f>
        <v>0</v>
      </c>
      <c r="T12" s="129">
        <f>+Actuals!Q125</f>
        <v>0</v>
      </c>
      <c r="U12" s="130">
        <f>+Actuals!R125</f>
        <v>0</v>
      </c>
      <c r="V12" s="129">
        <f>+Actuals!S165</f>
        <v>0</v>
      </c>
      <c r="W12" s="130">
        <f>+Actuals!T165</f>
        <v>0</v>
      </c>
      <c r="X12" s="129">
        <f>+Actuals!U165</f>
        <v>0</v>
      </c>
      <c r="Y12" s="130">
        <f>+Actuals!V165</f>
        <v>0</v>
      </c>
      <c r="Z12" s="129">
        <f>+Actuals!W165</f>
        <v>0</v>
      </c>
      <c r="AA12" s="130">
        <f>+Actuals!X165</f>
        <v>0</v>
      </c>
      <c r="AB12" s="129">
        <f>+Actuals!Y165</f>
        <v>0</v>
      </c>
      <c r="AC12" s="130">
        <f>+Actuals!Z165</f>
        <v>0</v>
      </c>
      <c r="AD12" s="129">
        <f>+Actuals!AA125</f>
        <v>0</v>
      </c>
      <c r="AE12" s="130">
        <f>+Actuals!AB125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19316173</v>
      </c>
      <c r="E13" s="38">
        <f t="shared" si="0"/>
        <v>43777409</v>
      </c>
      <c r="F13" s="60">
        <f>'TIE-OUT'!F13+RECLASS!F13</f>
        <v>0</v>
      </c>
      <c r="G13" s="38">
        <f>'TIE-OUT'!G13+RECLASS!G13</f>
        <v>0</v>
      </c>
      <c r="H13" s="129">
        <f>+Actuals!E126</f>
        <v>19316173</v>
      </c>
      <c r="I13" s="130">
        <f>+Actuals!F126</f>
        <v>43777409</v>
      </c>
      <c r="J13" s="129">
        <f>+Actuals!G126</f>
        <v>0</v>
      </c>
      <c r="K13" s="130">
        <f>+Actuals!H126</f>
        <v>0</v>
      </c>
      <c r="L13" s="129">
        <f>+Actuals!I126</f>
        <v>-1290653</v>
      </c>
      <c r="M13" s="130">
        <f>+Actuals!J126</f>
        <v>-2957288</v>
      </c>
      <c r="N13" s="129">
        <f>+Actuals!K126</f>
        <v>0</v>
      </c>
      <c r="O13" s="130">
        <f>+Actuals!L126</f>
        <v>0</v>
      </c>
      <c r="P13" s="129">
        <f>+Actuals!M126</f>
        <v>2104131</v>
      </c>
      <c r="Q13" s="130">
        <f>+Actuals!N126</f>
        <v>4777462</v>
      </c>
      <c r="R13" s="129">
        <f>+Actuals!O126</f>
        <v>2106965</v>
      </c>
      <c r="S13" s="130">
        <f>+Actuals!P126</f>
        <v>4783866</v>
      </c>
      <c r="T13" s="129">
        <f>+Actuals!Q126</f>
        <v>-2920443</v>
      </c>
      <c r="U13" s="130">
        <f>+Actuals!R126</f>
        <v>-6604040</v>
      </c>
      <c r="V13" s="129">
        <f>+Actuals!S166</f>
        <v>2920443</v>
      </c>
      <c r="W13" s="130">
        <f>+Actuals!T166</f>
        <v>6604040</v>
      </c>
      <c r="X13" s="129">
        <f>+Actuals!U166</f>
        <v>0</v>
      </c>
      <c r="Y13" s="130">
        <f>+Actuals!V166</f>
        <v>0</v>
      </c>
      <c r="Z13" s="129">
        <f>+Actuals!W166</f>
        <v>-2920443</v>
      </c>
      <c r="AA13" s="130">
        <f>+Actuals!X166</f>
        <v>-6604040</v>
      </c>
      <c r="AB13" s="129">
        <f>+Actuals!Y166</f>
        <v>0</v>
      </c>
      <c r="AC13" s="130">
        <f>+Actuals!Z166</f>
        <v>0</v>
      </c>
      <c r="AD13" s="129">
        <f>+Actuals!AA126</f>
        <v>0</v>
      </c>
      <c r="AE13" s="130">
        <f>+Actuals!AB126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9">
        <f>+Actuals!E127</f>
        <v>0</v>
      </c>
      <c r="I14" s="130">
        <f>+Actuals!F127</f>
        <v>0</v>
      </c>
      <c r="J14" s="129">
        <f>+Actuals!G127</f>
        <v>0</v>
      </c>
      <c r="K14" s="130">
        <f>+Actuals!H127</f>
        <v>0</v>
      </c>
      <c r="L14" s="129">
        <f>+Actuals!I127</f>
        <v>0</v>
      </c>
      <c r="M14" s="130">
        <f>+Actuals!J127</f>
        <v>0</v>
      </c>
      <c r="N14" s="129">
        <f>+Actuals!K127</f>
        <v>0</v>
      </c>
      <c r="O14" s="130">
        <f>+Actuals!L127</f>
        <v>0</v>
      </c>
      <c r="P14" s="129">
        <f>+Actuals!M127</f>
        <v>0</v>
      </c>
      <c r="Q14" s="130">
        <f>+Actuals!N127</f>
        <v>0</v>
      </c>
      <c r="R14" s="129">
        <f>+Actuals!O127</f>
        <v>0</v>
      </c>
      <c r="S14" s="130">
        <f>+Actuals!P127</f>
        <v>0</v>
      </c>
      <c r="T14" s="129">
        <f>+Actuals!Q127</f>
        <v>0</v>
      </c>
      <c r="U14" s="130">
        <f>+Actuals!R127</f>
        <v>0</v>
      </c>
      <c r="V14" s="129">
        <f>+Actuals!S167</f>
        <v>0</v>
      </c>
      <c r="W14" s="130">
        <f>+Actuals!T167</f>
        <v>0</v>
      </c>
      <c r="X14" s="129">
        <f>+Actuals!U167</f>
        <v>0</v>
      </c>
      <c r="Y14" s="130">
        <f>+Actuals!V167</f>
        <v>0</v>
      </c>
      <c r="Z14" s="129">
        <f>+Actuals!W167</f>
        <v>0</v>
      </c>
      <c r="AA14" s="130">
        <f>+Actuals!X167</f>
        <v>0</v>
      </c>
      <c r="AB14" s="129">
        <f>+Actuals!Y167</f>
        <v>0</v>
      </c>
      <c r="AC14" s="130">
        <f>+Actuals!Z167</f>
        <v>0</v>
      </c>
      <c r="AD14" s="129">
        <f>+Actuals!AA127</f>
        <v>0</v>
      </c>
      <c r="AE14" s="130">
        <f>+Actuals!AB127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-2</v>
      </c>
      <c r="F15" s="81">
        <f>'TIE-OUT'!F15+RECLASS!F15</f>
        <v>0</v>
      </c>
      <c r="G15" s="82">
        <f>'TIE-OUT'!G15+RECLASS!G15</f>
        <v>0</v>
      </c>
      <c r="H15" s="129">
        <f>+Actuals!E128</f>
        <v>0</v>
      </c>
      <c r="I15" s="131">
        <f>+Actuals!F128</f>
        <v>0</v>
      </c>
      <c r="J15" s="129">
        <f>+Actuals!G128</f>
        <v>0</v>
      </c>
      <c r="K15" s="131">
        <f>+Actuals!H128</f>
        <v>0</v>
      </c>
      <c r="L15" s="129">
        <f>+Actuals!I128</f>
        <v>0</v>
      </c>
      <c r="M15" s="131">
        <f>+Actuals!J128</f>
        <v>0</v>
      </c>
      <c r="N15" s="129">
        <f>+Actuals!K128</f>
        <v>0</v>
      </c>
      <c r="O15" s="131">
        <f>+Actuals!L128</f>
        <v>0</v>
      </c>
      <c r="P15" s="129">
        <f>+Actuals!M128</f>
        <v>0</v>
      </c>
      <c r="Q15" s="131">
        <f>+Actuals!N128</f>
        <v>0</v>
      </c>
      <c r="R15" s="129">
        <f>+Actuals!O128</f>
        <v>0</v>
      </c>
      <c r="S15" s="131">
        <f>+Actuals!P128</f>
        <v>0</v>
      </c>
      <c r="T15" s="129">
        <f>+Actuals!Q128</f>
        <v>0</v>
      </c>
      <c r="U15" s="131">
        <f>+Actuals!R128</f>
        <v>0</v>
      </c>
      <c r="V15" s="129">
        <f>+Actuals!S168</f>
        <v>0</v>
      </c>
      <c r="W15" s="130">
        <f>+Actuals!T168</f>
        <v>0</v>
      </c>
      <c r="X15" s="129">
        <f>+Actuals!U168</f>
        <v>0</v>
      </c>
      <c r="Y15" s="131">
        <f>+Actuals!V168</f>
        <v>-2</v>
      </c>
      <c r="Z15" s="129">
        <f>+Actuals!W168</f>
        <v>0</v>
      </c>
      <c r="AA15" s="131">
        <f>+Actuals!X168</f>
        <v>0</v>
      </c>
      <c r="AB15" s="129">
        <f>+Actuals!Y168</f>
        <v>0</v>
      </c>
      <c r="AC15" s="131">
        <f>+Actuals!Z168</f>
        <v>0</v>
      </c>
      <c r="AD15" s="129">
        <f>+Actuals!AA128</f>
        <v>0</v>
      </c>
      <c r="AE15" s="131">
        <f>+Actuals!AB128</f>
        <v>0</v>
      </c>
    </row>
    <row r="16" spans="1:31" x14ac:dyDescent="0.2">
      <c r="A16" s="9"/>
      <c r="B16" s="7" t="s">
        <v>33</v>
      </c>
      <c r="C16" s="6"/>
      <c r="D16" s="61">
        <f t="shared" ref="D16:I16" si="1">SUM(D11:D15)</f>
        <v>66728306</v>
      </c>
      <c r="E16" s="39">
        <f t="shared" si="1"/>
        <v>149660457.87</v>
      </c>
      <c r="F16" s="61">
        <f t="shared" si="1"/>
        <v>0</v>
      </c>
      <c r="G16" s="39">
        <f t="shared" si="1"/>
        <v>-8180526.6699999999</v>
      </c>
      <c r="H16" s="61">
        <f t="shared" si="1"/>
        <v>66602536</v>
      </c>
      <c r="I16" s="82">
        <f t="shared" si="1"/>
        <v>156369175.78999999</v>
      </c>
      <c r="J16" s="61">
        <f t="shared" ref="J16:AE16" si="2">SUM(J11:J15)</f>
        <v>113276</v>
      </c>
      <c r="K16" s="82">
        <f t="shared" si="2"/>
        <v>1114369.96</v>
      </c>
      <c r="L16" s="61">
        <f t="shared" si="2"/>
        <v>-1263771</v>
      </c>
      <c r="M16" s="82">
        <f t="shared" si="2"/>
        <v>-2942414.99</v>
      </c>
      <c r="N16" s="61">
        <f t="shared" si="2"/>
        <v>-20077</v>
      </c>
      <c r="O16" s="82">
        <f t="shared" si="2"/>
        <v>-43239.74</v>
      </c>
      <c r="P16" s="61">
        <f t="shared" si="2"/>
        <v>2107854</v>
      </c>
      <c r="Q16" s="82">
        <f t="shared" si="2"/>
        <v>4785941.9800000004</v>
      </c>
      <c r="R16" s="61">
        <f t="shared" si="2"/>
        <v>2111492</v>
      </c>
      <c r="S16" s="82">
        <f t="shared" si="2"/>
        <v>5175972.29</v>
      </c>
      <c r="T16" s="61">
        <f t="shared" si="2"/>
        <v>-2920443</v>
      </c>
      <c r="U16" s="82">
        <f t="shared" si="2"/>
        <v>-6604410.4100000001</v>
      </c>
      <c r="V16" s="61">
        <f t="shared" si="2"/>
        <v>2917882</v>
      </c>
      <c r="W16" s="39">
        <f t="shared" si="2"/>
        <v>6588928.0700000003</v>
      </c>
      <c r="X16" s="61">
        <f t="shared" ref="X16:AC16" si="3">SUM(X11:X15)</f>
        <v>0</v>
      </c>
      <c r="Y16" s="82">
        <f t="shared" si="3"/>
        <v>701.59</v>
      </c>
      <c r="Z16" s="61">
        <f t="shared" si="3"/>
        <v>-2920443</v>
      </c>
      <c r="AA16" s="82">
        <f t="shared" si="3"/>
        <v>-6604040</v>
      </c>
      <c r="AB16" s="61">
        <f t="shared" si="3"/>
        <v>0</v>
      </c>
      <c r="AC16" s="82">
        <f t="shared" si="3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4">SUM(F19,H19,J19,L19,N19,P19,R19,T19,V19,X19,Z19,AB19,AD19)</f>
        <v>-47007509</v>
      </c>
      <c r="E19" s="38">
        <f t="shared" si="4"/>
        <v>-102075816.00000001</v>
      </c>
      <c r="F19" s="64">
        <f>'TIE-OUT'!F19+RECLASS!F19</f>
        <v>0</v>
      </c>
      <c r="G19" s="68">
        <f>'TIE-OUT'!G19+RECLASS!G19</f>
        <v>56264</v>
      </c>
      <c r="H19" s="129">
        <f>+Actuals!E129</f>
        <v>-47185521</v>
      </c>
      <c r="I19" s="130">
        <f>+Actuals!F129</f>
        <v>-102895536.85000001</v>
      </c>
      <c r="J19" s="129">
        <f>+Actuals!G129</f>
        <v>344637</v>
      </c>
      <c r="K19" s="130">
        <f>+Actuals!H129</f>
        <v>717128.36</v>
      </c>
      <c r="L19" s="129">
        <f>+Actuals!I129</f>
        <v>-12079</v>
      </c>
      <c r="M19" s="130">
        <f>+Actuals!J129</f>
        <v>-39179.64</v>
      </c>
      <c r="N19" s="129">
        <f>+Actuals!K129</f>
        <v>19452</v>
      </c>
      <c r="O19" s="130">
        <f>+Actuals!L129</f>
        <v>189144.93</v>
      </c>
      <c r="P19" s="129">
        <f>+Actuals!M129</f>
        <v>-161037</v>
      </c>
      <c r="Q19" s="130">
        <f>+Actuals!N129</f>
        <v>-354983.46</v>
      </c>
      <c r="R19" s="129">
        <f>+Actuals!O129</f>
        <v>-26689</v>
      </c>
      <c r="S19" s="130">
        <f>+Actuals!P129</f>
        <v>-57333.04</v>
      </c>
      <c r="T19" s="129">
        <f>+Actuals!Q129</f>
        <v>0</v>
      </c>
      <c r="U19" s="130">
        <f>+Actuals!R129</f>
        <v>202496.46</v>
      </c>
      <c r="V19" s="129">
        <f>+Actuals!S169</f>
        <v>13856</v>
      </c>
      <c r="W19" s="130">
        <f>+Actuals!T169</f>
        <v>80184.039999999994</v>
      </c>
      <c r="X19" s="129">
        <f>+Actuals!U169</f>
        <v>0</v>
      </c>
      <c r="Y19" s="130">
        <f>+Actuals!V169</f>
        <v>7040.69</v>
      </c>
      <c r="Z19" s="129">
        <f>+Actuals!W169</f>
        <v>-128</v>
      </c>
      <c r="AA19" s="130">
        <f>+Actuals!X169</f>
        <v>-3525.73</v>
      </c>
      <c r="AB19" s="129">
        <f>+Actuals!Y169</f>
        <v>0</v>
      </c>
      <c r="AC19" s="130">
        <f>+Actuals!Z169</f>
        <v>22484.240000000002</v>
      </c>
      <c r="AD19" s="129">
        <f>+Actuals!AA129</f>
        <v>0</v>
      </c>
      <c r="AE19" s="130">
        <f>+Actuals!AB129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-433851.42000000004</v>
      </c>
      <c r="F20" s="60">
        <f>'TIE-OUT'!F20+RECLASS!F20</f>
        <v>0</v>
      </c>
      <c r="G20" s="38">
        <f>'TIE-OUT'!G20+RECLASS!G20</f>
        <v>-433851.42000000004</v>
      </c>
      <c r="H20" s="129">
        <f>+Actuals!E130</f>
        <v>0</v>
      </c>
      <c r="I20" s="130">
        <f>+Actuals!F130</f>
        <v>0</v>
      </c>
      <c r="J20" s="129">
        <f>+Actuals!G130</f>
        <v>0</v>
      </c>
      <c r="K20" s="159">
        <f>+Actuals!H130</f>
        <v>0</v>
      </c>
      <c r="L20" s="129">
        <f>+Actuals!I130</f>
        <v>0</v>
      </c>
      <c r="M20" s="130">
        <f>+Actuals!J130</f>
        <v>0</v>
      </c>
      <c r="N20" s="129">
        <f>+Actuals!K130</f>
        <v>0</v>
      </c>
      <c r="O20" s="130">
        <f>+Actuals!L130</f>
        <v>0</v>
      </c>
      <c r="P20" s="129">
        <f>+Actuals!M130</f>
        <v>0</v>
      </c>
      <c r="Q20" s="130">
        <f>+Actuals!N130</f>
        <v>0</v>
      </c>
      <c r="R20" s="129">
        <f>+Actuals!O130</f>
        <v>0</v>
      </c>
      <c r="S20" s="130">
        <f>+Actuals!P130</f>
        <v>0</v>
      </c>
      <c r="T20" s="129">
        <f>+Actuals!Q130</f>
        <v>0</v>
      </c>
      <c r="U20" s="130">
        <f>+Actuals!R130</f>
        <v>0</v>
      </c>
      <c r="V20" s="129">
        <f>+Actuals!S170</f>
        <v>0</v>
      </c>
      <c r="W20" s="130">
        <f>+Actuals!T170</f>
        <v>0</v>
      </c>
      <c r="X20" s="129">
        <f>+Actuals!U170</f>
        <v>0</v>
      </c>
      <c r="Y20" s="130">
        <f>+Actuals!V170</f>
        <v>0</v>
      </c>
      <c r="Z20" s="129">
        <f>+Actuals!W170</f>
        <v>0</v>
      </c>
      <c r="AA20" s="130">
        <f>+Actuals!X170</f>
        <v>0</v>
      </c>
      <c r="AB20" s="129">
        <f>+Actuals!Y170</f>
        <v>0</v>
      </c>
      <c r="AC20" s="130">
        <f>+Actuals!Z170</f>
        <v>0</v>
      </c>
      <c r="AD20" s="129">
        <f>+Actuals!AA130</f>
        <v>0</v>
      </c>
      <c r="AE20" s="130">
        <f>+Actuals!AB130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4"/>
        <v>-20543940</v>
      </c>
      <c r="E21" s="38">
        <f t="shared" si="4"/>
        <v>-46460998</v>
      </c>
      <c r="F21" s="60">
        <f>'TIE-OUT'!F21+RECLASS!F21</f>
        <v>0</v>
      </c>
      <c r="G21" s="38">
        <f>'TIE-OUT'!G21+RECLASS!G21</f>
        <v>0</v>
      </c>
      <c r="H21" s="129">
        <f>+Actuals!E131</f>
        <v>-20543940</v>
      </c>
      <c r="I21" s="130">
        <f>+Actuals!F131</f>
        <v>-46460998</v>
      </c>
      <c r="J21" s="129">
        <f>+Actuals!G131</f>
        <v>0</v>
      </c>
      <c r="K21" s="130">
        <f>+Actuals!H131</f>
        <v>0</v>
      </c>
      <c r="L21" s="129">
        <f>+Actuals!I131</f>
        <v>3086211</v>
      </c>
      <c r="M21" s="130">
        <f>+Actuals!J131</f>
        <v>7038927</v>
      </c>
      <c r="N21" s="129">
        <f>+Actuals!K131</f>
        <v>0</v>
      </c>
      <c r="O21" s="130">
        <f>+Actuals!L131</f>
        <v>0</v>
      </c>
      <c r="P21" s="129">
        <f>+Actuals!M131</f>
        <v>-2104131</v>
      </c>
      <c r="Q21" s="130">
        <f>+Actuals!N131</f>
        <v>-4777462</v>
      </c>
      <c r="R21" s="129">
        <f>+Actuals!O131</f>
        <v>-2106965</v>
      </c>
      <c r="S21" s="130">
        <f>+Actuals!P131</f>
        <v>-4783866</v>
      </c>
      <c r="T21" s="129">
        <f>+Actuals!Q131</f>
        <v>1124885</v>
      </c>
      <c r="U21" s="130">
        <f>+Actuals!R131</f>
        <v>2522401</v>
      </c>
      <c r="V21" s="129">
        <f>+Actuals!S171</f>
        <v>-1124885</v>
      </c>
      <c r="W21" s="130">
        <f>+Actuals!T171</f>
        <v>-2522401</v>
      </c>
      <c r="X21" s="129">
        <f>+Actuals!U171</f>
        <v>0</v>
      </c>
      <c r="Y21" s="130">
        <f>+Actuals!V171</f>
        <v>0</v>
      </c>
      <c r="Z21" s="129">
        <f>+Actuals!W171</f>
        <v>1124885</v>
      </c>
      <c r="AA21" s="130">
        <f>+Actuals!X171</f>
        <v>2522401</v>
      </c>
      <c r="AB21" s="129">
        <f>+Actuals!Y171</f>
        <v>0</v>
      </c>
      <c r="AC21" s="130">
        <f>+Actuals!Z171</f>
        <v>0</v>
      </c>
      <c r="AD21" s="129">
        <f>+Actuals!AA131</f>
        <v>0</v>
      </c>
      <c r="AE21" s="130">
        <f>+Actuals!AB131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9">
        <f>+Actuals!E132</f>
        <v>0</v>
      </c>
      <c r="I22" s="130">
        <f>+Actuals!F132</f>
        <v>0</v>
      </c>
      <c r="J22" s="129">
        <f>+Actuals!G132</f>
        <v>0</v>
      </c>
      <c r="K22" s="130">
        <f>+Actuals!H132</f>
        <v>0</v>
      </c>
      <c r="L22" s="129">
        <f>+Actuals!I132</f>
        <v>0</v>
      </c>
      <c r="M22" s="130">
        <f>+Actuals!J132</f>
        <v>0</v>
      </c>
      <c r="N22" s="129">
        <f>+Actuals!K132</f>
        <v>0</v>
      </c>
      <c r="O22" s="130">
        <f>+Actuals!L132</f>
        <v>0</v>
      </c>
      <c r="P22" s="129">
        <f>+Actuals!M132</f>
        <v>0</v>
      </c>
      <c r="Q22" s="130">
        <f>+Actuals!N132</f>
        <v>0</v>
      </c>
      <c r="R22" s="129">
        <f>+Actuals!O132</f>
        <v>0</v>
      </c>
      <c r="S22" s="130">
        <f>+Actuals!P132</f>
        <v>0</v>
      </c>
      <c r="T22" s="129">
        <f>+Actuals!Q132</f>
        <v>0</v>
      </c>
      <c r="U22" s="130">
        <f>+Actuals!R132</f>
        <v>0</v>
      </c>
      <c r="V22" s="129">
        <f>+Actuals!S172</f>
        <v>0</v>
      </c>
      <c r="W22" s="130">
        <f>+Actuals!T172</f>
        <v>0</v>
      </c>
      <c r="X22" s="129">
        <f>+Actuals!U172</f>
        <v>0</v>
      </c>
      <c r="Y22" s="130">
        <f>+Actuals!V172</f>
        <v>0</v>
      </c>
      <c r="Z22" s="129">
        <f>+Actuals!W172</f>
        <v>0</v>
      </c>
      <c r="AA22" s="130">
        <f>+Actuals!X172</f>
        <v>0</v>
      </c>
      <c r="AB22" s="129">
        <f>+Actuals!Y172</f>
        <v>0</v>
      </c>
      <c r="AC22" s="130">
        <f>+Actuals!Z172</f>
        <v>0</v>
      </c>
      <c r="AD22" s="129">
        <f>+Actuals!AA132</f>
        <v>0</v>
      </c>
      <c r="AE22" s="130">
        <f>+Actuals!AB132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4"/>
        <v>513967</v>
      </c>
      <c r="E23" s="38">
        <f t="shared" si="4"/>
        <v>1111087.4076</v>
      </c>
      <c r="F23" s="81">
        <f>'TIE-OUT'!F23+RECLASS!F23</f>
        <v>0</v>
      </c>
      <c r="G23" s="82">
        <f>'TIE-OUT'!G23+RECLASS!G23</f>
        <v>0</v>
      </c>
      <c r="H23" s="129">
        <f>+Actuals!E133</f>
        <v>546190</v>
      </c>
      <c r="I23" s="131">
        <f>+Actuals!F133</f>
        <v>1180753.54</v>
      </c>
      <c r="J23" s="129">
        <f>+Actuals!G133</f>
        <v>-32255</v>
      </c>
      <c r="K23" s="131">
        <f>+Actuals!H133</f>
        <v>-69735.31</v>
      </c>
      <c r="L23" s="129">
        <f>+Actuals!I133</f>
        <v>0</v>
      </c>
      <c r="M23" s="131">
        <f>+Actuals!J133</f>
        <v>0</v>
      </c>
      <c r="N23" s="129">
        <f>+Actuals!K133</f>
        <v>-6</v>
      </c>
      <c r="O23" s="131">
        <f>+Actuals!L133</f>
        <v>-12.970800000000001</v>
      </c>
      <c r="P23" s="129">
        <f>+Actuals!M133</f>
        <v>0</v>
      </c>
      <c r="Q23" s="131">
        <f>+Actuals!N133</f>
        <v>0</v>
      </c>
      <c r="R23" s="129">
        <f>+Actuals!O133</f>
        <v>84</v>
      </c>
      <c r="S23" s="131">
        <f>+Actuals!P133</f>
        <v>181.59119999999999</v>
      </c>
      <c r="T23" s="129">
        <f>+Actuals!Q133</f>
        <v>-1</v>
      </c>
      <c r="U23" s="131">
        <f>+Actuals!R133</f>
        <v>-2.1617999999999999</v>
      </c>
      <c r="V23" s="129">
        <f>+Actuals!S173</f>
        <v>-69</v>
      </c>
      <c r="W23" s="130">
        <f>+Actuals!T173</f>
        <v>-149.16419999999999</v>
      </c>
      <c r="X23" s="129">
        <f>+Actuals!U173</f>
        <v>0</v>
      </c>
      <c r="Y23" s="131">
        <f>+Actuals!V173</f>
        <v>0</v>
      </c>
      <c r="Z23" s="129">
        <f>+Actuals!W173</f>
        <v>24</v>
      </c>
      <c r="AA23" s="131">
        <f>+Actuals!X173</f>
        <v>51.883200000000002</v>
      </c>
      <c r="AB23" s="129">
        <f>+Actuals!Y173</f>
        <v>0</v>
      </c>
      <c r="AC23" s="131">
        <f>+Actuals!Z173</f>
        <v>0</v>
      </c>
      <c r="AD23" s="129">
        <f>+Actuals!AA133</f>
        <v>0</v>
      </c>
      <c r="AE23" s="131">
        <f>+Actuals!AB133</f>
        <v>0</v>
      </c>
    </row>
    <row r="24" spans="1:31" x14ac:dyDescent="0.2">
      <c r="A24" s="9"/>
      <c r="B24" s="7" t="s">
        <v>36</v>
      </c>
      <c r="C24" s="6"/>
      <c r="D24" s="61">
        <f t="shared" ref="D24:I24" si="5">SUM(D19:D23)</f>
        <v>-67037482</v>
      </c>
      <c r="E24" s="39">
        <f t="shared" si="5"/>
        <v>-147859578.01240003</v>
      </c>
      <c r="F24" s="61">
        <f t="shared" si="5"/>
        <v>0</v>
      </c>
      <c r="G24" s="39">
        <f t="shared" si="5"/>
        <v>-377587.42000000004</v>
      </c>
      <c r="H24" s="61">
        <f t="shared" si="5"/>
        <v>-67183271</v>
      </c>
      <c r="I24" s="39">
        <f t="shared" si="5"/>
        <v>-148175781.31000003</v>
      </c>
      <c r="J24" s="61">
        <f t="shared" ref="J24:AE24" si="6">SUM(J19:J23)</f>
        <v>312382</v>
      </c>
      <c r="K24" s="39">
        <f t="shared" si="6"/>
        <v>647393.05000000005</v>
      </c>
      <c r="L24" s="61">
        <f t="shared" si="6"/>
        <v>3074132</v>
      </c>
      <c r="M24" s="39">
        <f t="shared" si="6"/>
        <v>6999747.3600000003</v>
      </c>
      <c r="N24" s="61">
        <f t="shared" si="6"/>
        <v>19446</v>
      </c>
      <c r="O24" s="39">
        <f t="shared" si="6"/>
        <v>189131.95919999998</v>
      </c>
      <c r="P24" s="61">
        <f t="shared" si="6"/>
        <v>-2265168</v>
      </c>
      <c r="Q24" s="39">
        <f t="shared" si="6"/>
        <v>-5132445.46</v>
      </c>
      <c r="R24" s="61">
        <f t="shared" si="6"/>
        <v>-2133570</v>
      </c>
      <c r="S24" s="39">
        <f t="shared" si="6"/>
        <v>-4841017.4488000004</v>
      </c>
      <c r="T24" s="61">
        <f t="shared" si="6"/>
        <v>1124884</v>
      </c>
      <c r="U24" s="39">
        <f t="shared" si="6"/>
        <v>2724895.2982000001</v>
      </c>
      <c r="V24" s="61">
        <f t="shared" si="6"/>
        <v>-1111098</v>
      </c>
      <c r="W24" s="39">
        <f t="shared" si="6"/>
        <v>-2442366.1242</v>
      </c>
      <c r="X24" s="61">
        <f t="shared" ref="X24:AC24" si="7">SUM(X19:X23)</f>
        <v>0</v>
      </c>
      <c r="Y24" s="39">
        <f t="shared" si="7"/>
        <v>7040.69</v>
      </c>
      <c r="Z24" s="61">
        <f t="shared" si="7"/>
        <v>1124781</v>
      </c>
      <c r="AA24" s="39">
        <f t="shared" si="7"/>
        <v>2518927.1532000001</v>
      </c>
      <c r="AB24" s="61">
        <f t="shared" si="7"/>
        <v>0</v>
      </c>
      <c r="AC24" s="39">
        <f t="shared" si="7"/>
        <v>22484.240000000002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425962</v>
      </c>
      <c r="E27" s="38">
        <f>SUM(G27,I27,K27,M27,O27,Q27,S27,U27,W27,Y27,AA27,AC27,AE27)</f>
        <v>982897.53</v>
      </c>
      <c r="F27" s="64">
        <f>'TIE-OUT'!F27+RECLASS!F27</f>
        <v>0</v>
      </c>
      <c r="G27" s="68">
        <f>'TIE-OUT'!G27+RECLASS!G27</f>
        <v>0</v>
      </c>
      <c r="H27" s="129">
        <f>+Actuals!E134</f>
        <v>425962</v>
      </c>
      <c r="I27" s="130">
        <f>+Actuals!F134</f>
        <v>982897.53</v>
      </c>
      <c r="J27" s="129">
        <f>+Actuals!G134</f>
        <v>0</v>
      </c>
      <c r="K27" s="130">
        <f>+Actuals!H134</f>
        <v>0</v>
      </c>
      <c r="L27" s="129">
        <f>+Actuals!I134</f>
        <v>0</v>
      </c>
      <c r="M27" s="130">
        <f>+Actuals!J134</f>
        <v>0</v>
      </c>
      <c r="N27" s="129">
        <f>+Actuals!K134</f>
        <v>0</v>
      </c>
      <c r="O27" s="130">
        <f>+Actuals!L134</f>
        <v>0</v>
      </c>
      <c r="P27" s="129">
        <f>+Actuals!M134</f>
        <v>0</v>
      </c>
      <c r="Q27" s="130">
        <f>+Actuals!N134</f>
        <v>0</v>
      </c>
      <c r="R27" s="129">
        <f>+Actuals!O134</f>
        <v>0</v>
      </c>
      <c r="S27" s="130">
        <f>+Actuals!P134</f>
        <v>0</v>
      </c>
      <c r="T27" s="129">
        <f>+Actuals!Q134</f>
        <v>0</v>
      </c>
      <c r="U27" s="130">
        <f>+Actuals!R134</f>
        <v>0</v>
      </c>
      <c r="V27" s="129">
        <f>+Actuals!S174</f>
        <v>0</v>
      </c>
      <c r="W27" s="130">
        <f>+Actuals!T174</f>
        <v>0</v>
      </c>
      <c r="X27" s="129">
        <f>+Actuals!U174</f>
        <v>0</v>
      </c>
      <c r="Y27" s="130">
        <f>+Actuals!V174</f>
        <v>0</v>
      </c>
      <c r="Z27" s="129">
        <f>+Actuals!W174</f>
        <v>0</v>
      </c>
      <c r="AA27" s="130">
        <f>+Actuals!X174</f>
        <v>0</v>
      </c>
      <c r="AB27" s="129">
        <f>+Actuals!Y174</f>
        <v>0</v>
      </c>
      <c r="AC27" s="130">
        <f>+Actuals!Z174</f>
        <v>0</v>
      </c>
      <c r="AD27" s="129">
        <f>+Actuals!AA134</f>
        <v>0</v>
      </c>
      <c r="AE27" s="130">
        <f>+Actuals!AB134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-2380</v>
      </c>
      <c r="E28" s="38">
        <f>SUM(G28,I28,K28,M28,O28,Q28,S28,U28,W28,Y28,AA28,AC28,AE28)</f>
        <v>-5144.6099999999997</v>
      </c>
      <c r="F28" s="81">
        <f>'TIE-OUT'!F28+RECLASS!F28</f>
        <v>0</v>
      </c>
      <c r="G28" s="82">
        <f>'TIE-OUT'!G28+RECLASS!G28</f>
        <v>0</v>
      </c>
      <c r="H28" s="129">
        <f>+Actuals!E135</f>
        <v>-2380</v>
      </c>
      <c r="I28" s="130">
        <f>+Actuals!F135</f>
        <v>-5144.6099999999997</v>
      </c>
      <c r="J28" s="129">
        <f>+Actuals!G135</f>
        <v>0</v>
      </c>
      <c r="K28" s="130">
        <f>+Actuals!H135</f>
        <v>0</v>
      </c>
      <c r="L28" s="129">
        <f>+Actuals!I135</f>
        <v>0</v>
      </c>
      <c r="M28" s="130">
        <f>+Actuals!J135</f>
        <v>0</v>
      </c>
      <c r="N28" s="129">
        <f>+Actuals!K135</f>
        <v>0</v>
      </c>
      <c r="O28" s="130">
        <f>+Actuals!L135</f>
        <v>0</v>
      </c>
      <c r="P28" s="129">
        <f>+Actuals!M135</f>
        <v>0</v>
      </c>
      <c r="Q28" s="130">
        <f>+Actuals!N135</f>
        <v>0</v>
      </c>
      <c r="R28" s="129">
        <f>+Actuals!O135</f>
        <v>0</v>
      </c>
      <c r="S28" s="130">
        <f>+Actuals!P135</f>
        <v>0</v>
      </c>
      <c r="T28" s="129">
        <f>+Actuals!Q135</f>
        <v>0</v>
      </c>
      <c r="U28" s="130">
        <f>+Actuals!R135</f>
        <v>0</v>
      </c>
      <c r="V28" s="129">
        <f>+Actuals!S175</f>
        <v>0</v>
      </c>
      <c r="W28" s="130">
        <f>+Actuals!T175</f>
        <v>0</v>
      </c>
      <c r="X28" s="129">
        <f>+Actuals!U175</f>
        <v>0</v>
      </c>
      <c r="Y28" s="130">
        <f>+Actuals!V175</f>
        <v>0</v>
      </c>
      <c r="Z28" s="129">
        <f>+Actuals!W175</f>
        <v>0</v>
      </c>
      <c r="AA28" s="130">
        <f>+Actuals!X175</f>
        <v>0</v>
      </c>
      <c r="AB28" s="129">
        <f>+Actuals!Y175</f>
        <v>0</v>
      </c>
      <c r="AC28" s="130">
        <f>+Actuals!Z175</f>
        <v>0</v>
      </c>
      <c r="AD28" s="129">
        <f>+Actuals!AA135</f>
        <v>0</v>
      </c>
      <c r="AE28" s="130">
        <f>+Actuals!AB135</f>
        <v>0</v>
      </c>
    </row>
    <row r="29" spans="1:31" x14ac:dyDescent="0.2">
      <c r="A29" s="9"/>
      <c r="B29" s="7" t="s">
        <v>40</v>
      </c>
      <c r="C29" s="18"/>
      <c r="D29" s="61">
        <f t="shared" ref="D29:I29" si="8">SUM(D27:D28)</f>
        <v>423582</v>
      </c>
      <c r="E29" s="39">
        <f t="shared" si="8"/>
        <v>977752.92</v>
      </c>
      <c r="F29" s="61">
        <f t="shared" si="8"/>
        <v>0</v>
      </c>
      <c r="G29" s="39">
        <f t="shared" si="8"/>
        <v>0</v>
      </c>
      <c r="H29" s="61">
        <f t="shared" si="8"/>
        <v>423582</v>
      </c>
      <c r="I29" s="39">
        <f t="shared" si="8"/>
        <v>977752.92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ref="X29:AC29" si="10">SUM(X27:X28)</f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11">SUM(F32,H32,J32,L32,N32,P32,R32,T32,V32,X32,Z32,AB32,AD32)</f>
        <v>-248329</v>
      </c>
      <c r="E32" s="38">
        <f t="shared" si="11"/>
        <v>-536885.94680000003</v>
      </c>
      <c r="F32" s="64">
        <f>'TIE-OUT'!F32+RECLASS!F32</f>
        <v>0</v>
      </c>
      <c r="G32" s="68">
        <f>'TIE-OUT'!G32+RECLASS!G32</f>
        <v>0</v>
      </c>
      <c r="H32" s="129">
        <f>+Actuals!E136</f>
        <v>31172</v>
      </c>
      <c r="I32" s="130">
        <f>+Actuals!F136</f>
        <v>67387.63</v>
      </c>
      <c r="J32" s="129">
        <f>+Actuals!G136</f>
        <v>-47906</v>
      </c>
      <c r="K32" s="130">
        <f>+Actuals!H136</f>
        <v>-106638.76</v>
      </c>
      <c r="L32" s="129">
        <f>+Actuals!I136</f>
        <v>59775</v>
      </c>
      <c r="M32" s="130">
        <f>+Actuals!J136</f>
        <v>149413.85</v>
      </c>
      <c r="N32" s="129">
        <f>+Actuals!K136</f>
        <v>-11863</v>
      </c>
      <c r="O32" s="130">
        <f>+Actuals!L136</f>
        <v>-42759.59</v>
      </c>
      <c r="P32" s="129">
        <f>+Actuals!M136</f>
        <v>-11173</v>
      </c>
      <c r="Q32" s="130">
        <f>+Actuals!N136</f>
        <v>-24158.12</v>
      </c>
      <c r="R32" s="129">
        <f>+Actuals!O136</f>
        <v>-232566</v>
      </c>
      <c r="S32" s="130">
        <f>+Actuals!P136</f>
        <v>-502807.69400000002</v>
      </c>
      <c r="T32" s="129">
        <f>+Actuals!Q136</f>
        <v>-3209</v>
      </c>
      <c r="U32" s="130">
        <f>+Actuals!R136</f>
        <v>-6937.2161999999998</v>
      </c>
      <c r="V32" s="129">
        <f>+Actuals!S176</f>
        <v>-6001</v>
      </c>
      <c r="W32" s="130">
        <f>+Actuals!T176</f>
        <v>-12972.961799999999</v>
      </c>
      <c r="X32" s="129">
        <f>+Actuals!U176</f>
        <v>-31172</v>
      </c>
      <c r="Y32" s="130">
        <f>+Actuals!V176</f>
        <v>-67387.63</v>
      </c>
      <c r="Z32" s="129">
        <f>+Actuals!W176</f>
        <v>4614</v>
      </c>
      <c r="AA32" s="130">
        <f>+Actuals!X176</f>
        <v>9974.5452000000005</v>
      </c>
      <c r="AB32" s="129">
        <f>+Actuals!Y176</f>
        <v>0</v>
      </c>
      <c r="AC32" s="130">
        <f>+Actuals!Z176</f>
        <v>0</v>
      </c>
      <c r="AD32" s="129">
        <f>+Actuals!AA136</f>
        <v>0</v>
      </c>
      <c r="AE32" s="130">
        <f>+Actuals!AB136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11"/>
        <v>-18636</v>
      </c>
      <c r="E33" s="38">
        <f t="shared" si="11"/>
        <v>-41604</v>
      </c>
      <c r="F33" s="60">
        <f>'TIE-OUT'!F33+RECLASS!F33</f>
        <v>0</v>
      </c>
      <c r="G33" s="38">
        <f>'TIE-OUT'!G33+RECLASS!G33</f>
        <v>0</v>
      </c>
      <c r="H33" s="129">
        <f>+Actuals!E137</f>
        <v>0</v>
      </c>
      <c r="I33" s="130">
        <f>+Actuals!F137</f>
        <v>0</v>
      </c>
      <c r="J33" s="129">
        <f>+Actuals!G137</f>
        <v>0</v>
      </c>
      <c r="K33" s="130">
        <f>+Actuals!H137</f>
        <v>0</v>
      </c>
      <c r="L33" s="129">
        <f>+Actuals!I137</f>
        <v>0</v>
      </c>
      <c r="M33" s="130">
        <f>+Actuals!J137</f>
        <v>0</v>
      </c>
      <c r="N33" s="129">
        <f>+Actuals!K137</f>
        <v>0</v>
      </c>
      <c r="O33" s="130">
        <f>+Actuals!L137</f>
        <v>0</v>
      </c>
      <c r="P33" s="129">
        <f>+Actuals!M137</f>
        <v>-13885</v>
      </c>
      <c r="Q33" s="130">
        <f>+Actuals!N137</f>
        <v>-31337.65</v>
      </c>
      <c r="R33" s="129">
        <f>+Actuals!O137</f>
        <v>0</v>
      </c>
      <c r="S33" s="130">
        <f>+Actuals!P137</f>
        <v>0</v>
      </c>
      <c r="T33" s="129">
        <f>+Actuals!Q137</f>
        <v>-2</v>
      </c>
      <c r="U33" s="130">
        <f>+Actuals!R137</f>
        <v>-4.43</v>
      </c>
      <c r="V33" s="129">
        <f>+Actuals!S177</f>
        <v>0</v>
      </c>
      <c r="W33" s="130">
        <f>+Actuals!T177</f>
        <v>0</v>
      </c>
      <c r="X33" s="129">
        <f>+Actuals!U177</f>
        <v>0</v>
      </c>
      <c r="Y33" s="130">
        <f>+Actuals!V177</f>
        <v>0</v>
      </c>
      <c r="Z33" s="129">
        <f>+Actuals!W177</f>
        <v>-4749</v>
      </c>
      <c r="AA33" s="130">
        <f>+Actuals!X177</f>
        <v>-10261.92</v>
      </c>
      <c r="AB33" s="129">
        <f>+Actuals!Y177</f>
        <v>0</v>
      </c>
      <c r="AC33" s="130">
        <f>+Actuals!Z177</f>
        <v>0</v>
      </c>
      <c r="AD33" s="129">
        <f>+Actuals!AA137</f>
        <v>0</v>
      </c>
      <c r="AE33" s="130">
        <f>+Actuals!AB137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11"/>
        <v>6125</v>
      </c>
      <c r="E34" s="38">
        <f t="shared" si="11"/>
        <v>13434.849999999999</v>
      </c>
      <c r="F34" s="60">
        <f>'TIE-OUT'!F34+RECLASS!F34</f>
        <v>0</v>
      </c>
      <c r="G34" s="38">
        <f>'TIE-OUT'!G34+RECLASS!G34</f>
        <v>0</v>
      </c>
      <c r="H34" s="129">
        <f>+Actuals!E138</f>
        <v>0</v>
      </c>
      <c r="I34" s="130">
        <f>+Actuals!F138</f>
        <v>0</v>
      </c>
      <c r="J34" s="129">
        <f>+Actuals!G138</f>
        <v>0</v>
      </c>
      <c r="K34" s="130">
        <f>+Actuals!H138</f>
        <v>0</v>
      </c>
      <c r="L34" s="129">
        <f>+Actuals!I138</f>
        <v>0</v>
      </c>
      <c r="M34" s="130">
        <f>+Actuals!J138</f>
        <v>0</v>
      </c>
      <c r="N34" s="129">
        <f>+Actuals!K138</f>
        <v>0</v>
      </c>
      <c r="O34" s="130">
        <f>+Actuals!L138</f>
        <v>0</v>
      </c>
      <c r="P34" s="129">
        <f>+Actuals!M138</f>
        <v>0</v>
      </c>
      <c r="Q34" s="130">
        <f>+Actuals!N138</f>
        <v>0</v>
      </c>
      <c r="R34" s="129">
        <f>+Actuals!O138</f>
        <v>0</v>
      </c>
      <c r="S34" s="130">
        <f>+Actuals!P138</f>
        <v>0</v>
      </c>
      <c r="T34" s="129">
        <f>+Actuals!Q138</f>
        <v>3637</v>
      </c>
      <c r="U34" s="130">
        <f>+Actuals!R138</f>
        <v>8131.28</v>
      </c>
      <c r="V34" s="129">
        <f>+Actuals!S178</f>
        <v>0</v>
      </c>
      <c r="W34" s="130">
        <f>+Actuals!T178</f>
        <v>0</v>
      </c>
      <c r="X34" s="129">
        <f>+Actuals!U178</f>
        <v>0</v>
      </c>
      <c r="Y34" s="130">
        <f>+Actuals!V178</f>
        <v>0</v>
      </c>
      <c r="Z34" s="129">
        <f>+Actuals!W178</f>
        <v>2488</v>
      </c>
      <c r="AA34" s="130">
        <f>+Actuals!X178</f>
        <v>5303.57</v>
      </c>
      <c r="AB34" s="129">
        <f>+Actuals!Y178</f>
        <v>0</v>
      </c>
      <c r="AC34" s="130">
        <f>+Actuals!Z178</f>
        <v>0</v>
      </c>
      <c r="AD34" s="129">
        <f>+Actuals!AA138</f>
        <v>0</v>
      </c>
      <c r="AE34" s="130">
        <f>+Actuals!AB138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-0.02</v>
      </c>
      <c r="F35" s="81">
        <f>'TIE-OUT'!F35+RECLASS!F35</f>
        <v>0</v>
      </c>
      <c r="G35" s="82">
        <f>'TIE-OUT'!G35+RECLASS!G35</f>
        <v>0</v>
      </c>
      <c r="H35" s="129">
        <f>+Actuals!E139</f>
        <v>0</v>
      </c>
      <c r="I35" s="130">
        <f>+Actuals!F139</f>
        <v>-0.01</v>
      </c>
      <c r="J35" s="129">
        <f>+Actuals!G139</f>
        <v>26915</v>
      </c>
      <c r="K35" s="130">
        <f>+Actuals!H139</f>
        <v>0</v>
      </c>
      <c r="L35" s="129">
        <f>+Actuals!I139</f>
        <v>-26915</v>
      </c>
      <c r="M35" s="130">
        <f>+Actuals!J139</f>
        <v>-0.01</v>
      </c>
      <c r="N35" s="129">
        <f>+Actuals!K139</f>
        <v>0</v>
      </c>
      <c r="O35" s="130">
        <f>+Actuals!L139</f>
        <v>0</v>
      </c>
      <c r="P35" s="129">
        <f>+Actuals!M139</f>
        <v>0</v>
      </c>
      <c r="Q35" s="130">
        <f>+Actuals!N139</f>
        <v>0</v>
      </c>
      <c r="R35" s="129">
        <f>+Actuals!O139</f>
        <v>0</v>
      </c>
      <c r="S35" s="130">
        <f>+Actuals!P139</f>
        <v>0</v>
      </c>
      <c r="T35" s="129">
        <f>+Actuals!Q139</f>
        <v>0</v>
      </c>
      <c r="U35" s="130">
        <f>+Actuals!R139</f>
        <v>0</v>
      </c>
      <c r="V35" s="129">
        <f>+Actuals!S179</f>
        <v>0</v>
      </c>
      <c r="W35" s="130">
        <f>+Actuals!T179</f>
        <v>0</v>
      </c>
      <c r="X35" s="129">
        <f>+Actuals!U179</f>
        <v>0</v>
      </c>
      <c r="Y35" s="130">
        <f>+Actuals!V179</f>
        <v>0</v>
      </c>
      <c r="Z35" s="129">
        <f>+Actuals!W179</f>
        <v>0</v>
      </c>
      <c r="AA35" s="130">
        <f>+Actuals!X179</f>
        <v>0</v>
      </c>
      <c r="AB35" s="129">
        <f>+Actuals!Y179</f>
        <v>0</v>
      </c>
      <c r="AC35" s="130">
        <f>+Actuals!Z179</f>
        <v>0</v>
      </c>
      <c r="AD35" s="129">
        <f>+Actuals!AA139</f>
        <v>0</v>
      </c>
      <c r="AE35" s="130">
        <f>+Actuals!AB139</f>
        <v>0</v>
      </c>
    </row>
    <row r="36" spans="1:31" x14ac:dyDescent="0.2">
      <c r="A36" s="9"/>
      <c r="B36" s="7" t="s">
        <v>46</v>
      </c>
      <c r="C36" s="6"/>
      <c r="D36" s="61">
        <f t="shared" ref="D36:I36" si="12">SUM(D32:D35)</f>
        <v>-260840</v>
      </c>
      <c r="E36" s="39">
        <f t="shared" si="12"/>
        <v>-565055.11680000008</v>
      </c>
      <c r="F36" s="61">
        <f t="shared" si="12"/>
        <v>0</v>
      </c>
      <c r="G36" s="39">
        <f t="shared" si="12"/>
        <v>0</v>
      </c>
      <c r="H36" s="61">
        <f t="shared" si="12"/>
        <v>31172</v>
      </c>
      <c r="I36" s="39">
        <f t="shared" si="12"/>
        <v>67387.62000000001</v>
      </c>
      <c r="J36" s="61">
        <f t="shared" ref="J36:AE36" si="13">SUM(J32:J35)</f>
        <v>-20991</v>
      </c>
      <c r="K36" s="39">
        <f t="shared" si="13"/>
        <v>-106638.76</v>
      </c>
      <c r="L36" s="61">
        <f t="shared" si="13"/>
        <v>32860</v>
      </c>
      <c r="M36" s="39">
        <f t="shared" si="13"/>
        <v>149413.84</v>
      </c>
      <c r="N36" s="61">
        <f t="shared" si="13"/>
        <v>-11863</v>
      </c>
      <c r="O36" s="39">
        <f t="shared" si="13"/>
        <v>-42759.59</v>
      </c>
      <c r="P36" s="61">
        <f t="shared" si="13"/>
        <v>-25058</v>
      </c>
      <c r="Q36" s="39">
        <f t="shared" si="13"/>
        <v>-55495.770000000004</v>
      </c>
      <c r="R36" s="61">
        <f t="shared" si="13"/>
        <v>-232566</v>
      </c>
      <c r="S36" s="39">
        <f t="shared" si="13"/>
        <v>-502807.69400000002</v>
      </c>
      <c r="T36" s="61">
        <f t="shared" si="13"/>
        <v>426</v>
      </c>
      <c r="U36" s="39">
        <f t="shared" si="13"/>
        <v>1189.6337999999996</v>
      </c>
      <c r="V36" s="61">
        <f t="shared" si="13"/>
        <v>-6001</v>
      </c>
      <c r="W36" s="39">
        <f t="shared" si="13"/>
        <v>-12972.961799999999</v>
      </c>
      <c r="X36" s="61">
        <f t="shared" ref="X36:AC36" si="14">SUM(X32:X35)</f>
        <v>-31172</v>
      </c>
      <c r="Y36" s="39">
        <f t="shared" si="14"/>
        <v>-67387.63</v>
      </c>
      <c r="Z36" s="61">
        <f t="shared" si="14"/>
        <v>2353</v>
      </c>
      <c r="AA36" s="39">
        <f t="shared" si="14"/>
        <v>5016.1952000000001</v>
      </c>
      <c r="AB36" s="61">
        <f t="shared" si="14"/>
        <v>0</v>
      </c>
      <c r="AC36" s="39">
        <f t="shared" si="14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5">SUM(F39,H39,J39,L39,N39,P39,R39,T39,V39,X39,Z39,AB39,AD39)</f>
        <v>426738</v>
      </c>
      <c r="E39" s="38">
        <f t="shared" si="15"/>
        <v>922522.2</v>
      </c>
      <c r="F39" s="64">
        <f>'TIE-OUT'!F39+RECLASS!F39</f>
        <v>0</v>
      </c>
      <c r="G39" s="68">
        <f>'TIE-OUT'!G39+RECLASS!G39</f>
        <v>0</v>
      </c>
      <c r="H39" s="129">
        <f>+Actuals!E140</f>
        <v>418153</v>
      </c>
      <c r="I39" s="130">
        <f>+Actuals!F140</f>
        <v>903963.15</v>
      </c>
      <c r="J39" s="129">
        <f>+Actuals!G140</f>
        <v>8586</v>
      </c>
      <c r="K39" s="130">
        <f>+Actuals!H140</f>
        <v>18561.21</v>
      </c>
      <c r="L39" s="129">
        <f>+Actuals!I140</f>
        <v>-1</v>
      </c>
      <c r="M39" s="130">
        <f>+Actuals!J140</f>
        <v>-2.16</v>
      </c>
      <c r="N39" s="129">
        <f>+Actuals!K140</f>
        <v>0</v>
      </c>
      <c r="O39" s="130">
        <f>+Actuals!L140</f>
        <v>0</v>
      </c>
      <c r="P39" s="129">
        <f>+Actuals!M140</f>
        <v>0</v>
      </c>
      <c r="Q39" s="130">
        <f>+Actuals!N140</f>
        <v>0</v>
      </c>
      <c r="R39" s="129">
        <f>+Actuals!O140</f>
        <v>0</v>
      </c>
      <c r="S39" s="130">
        <f>+Actuals!P140</f>
        <v>0</v>
      </c>
      <c r="T39" s="129">
        <f>+Actuals!Q140</f>
        <v>0</v>
      </c>
      <c r="U39" s="130">
        <f>+Actuals!R140</f>
        <v>0</v>
      </c>
      <c r="V39" s="129">
        <f>+Actuals!S180</f>
        <v>0</v>
      </c>
      <c r="W39" s="130">
        <f>+Actuals!T180</f>
        <v>0</v>
      </c>
      <c r="X39" s="129">
        <f>+Actuals!U180</f>
        <v>0</v>
      </c>
      <c r="Y39" s="130">
        <f>+Actuals!V180</f>
        <v>0</v>
      </c>
      <c r="Z39" s="129">
        <f>+Actuals!W180</f>
        <v>0</v>
      </c>
      <c r="AA39" s="130">
        <f>+Actuals!X180</f>
        <v>0</v>
      </c>
      <c r="AB39" s="129">
        <f>+Actuals!Y180</f>
        <v>0</v>
      </c>
      <c r="AC39" s="130">
        <f>+Actuals!Z180</f>
        <v>0</v>
      </c>
      <c r="AD39" s="129">
        <f>+Actuals!AA140</f>
        <v>0</v>
      </c>
      <c r="AE39" s="130">
        <f>+Actuals!AB140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5"/>
        <v>-15004</v>
      </c>
      <c r="E40" s="38">
        <f t="shared" si="15"/>
        <v>-33999.19</v>
      </c>
      <c r="F40" s="60">
        <f>'TIE-OUT'!F40+RECLASS!F40</f>
        <v>0</v>
      </c>
      <c r="G40" s="38">
        <f>'TIE-OUT'!G40+RECLASS!G40</f>
        <v>0</v>
      </c>
      <c r="H40" s="129">
        <f>+Actuals!E141</f>
        <v>-15283</v>
      </c>
      <c r="I40" s="130">
        <f>+Actuals!F141</f>
        <v>-34678.410000000003</v>
      </c>
      <c r="J40" s="129">
        <f>+Actuals!G141</f>
        <v>1237</v>
      </c>
      <c r="K40" s="130">
        <f>+Actuals!H141</f>
        <v>2850.02</v>
      </c>
      <c r="L40" s="129">
        <f>+Actuals!I141</f>
        <v>0</v>
      </c>
      <c r="M40" s="130">
        <f>+Actuals!J141</f>
        <v>0</v>
      </c>
      <c r="N40" s="129">
        <f>+Actuals!K141</f>
        <v>0</v>
      </c>
      <c r="O40" s="130">
        <f>+Actuals!L141</f>
        <v>0</v>
      </c>
      <c r="P40" s="129">
        <f>+Actuals!M141</f>
        <v>0</v>
      </c>
      <c r="Q40" s="130">
        <f>+Actuals!N141</f>
        <v>0</v>
      </c>
      <c r="R40" s="129">
        <f>+Actuals!O141</f>
        <v>0</v>
      </c>
      <c r="S40" s="130">
        <f>+Actuals!P141</f>
        <v>0</v>
      </c>
      <c r="T40" s="129">
        <f>+Actuals!Q141</f>
        <v>0</v>
      </c>
      <c r="U40" s="130">
        <f>+Actuals!R141</f>
        <v>0</v>
      </c>
      <c r="V40" s="129">
        <f>+Actuals!S181</f>
        <v>-958</v>
      </c>
      <c r="W40" s="130">
        <f>+Actuals!T181</f>
        <v>-2170.8000000000002</v>
      </c>
      <c r="X40" s="129">
        <f>+Actuals!U181</f>
        <v>0</v>
      </c>
      <c r="Y40" s="130">
        <f>+Actuals!V181</f>
        <v>0</v>
      </c>
      <c r="Z40" s="129">
        <f>+Actuals!W181</f>
        <v>0</v>
      </c>
      <c r="AA40" s="130">
        <f>+Actuals!X181</f>
        <v>0</v>
      </c>
      <c r="AB40" s="129">
        <f>+Actuals!Y181</f>
        <v>0</v>
      </c>
      <c r="AC40" s="130">
        <f>+Actuals!Z181</f>
        <v>0</v>
      </c>
      <c r="AD40" s="129">
        <f>+Actuals!AA141</f>
        <v>0</v>
      </c>
      <c r="AE40" s="130">
        <f>+Actuals!AB141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9">
        <f>+Actuals!E142</f>
        <v>0</v>
      </c>
      <c r="I41" s="130">
        <f>+Actuals!F142</f>
        <v>0</v>
      </c>
      <c r="J41" s="129">
        <f>+Actuals!G142</f>
        <v>0</v>
      </c>
      <c r="K41" s="130">
        <f>+Actuals!H142</f>
        <v>0</v>
      </c>
      <c r="L41" s="129">
        <f>+Actuals!I142</f>
        <v>0</v>
      </c>
      <c r="M41" s="130">
        <f>+Actuals!J142</f>
        <v>0</v>
      </c>
      <c r="N41" s="129">
        <f>+Actuals!K142</f>
        <v>0</v>
      </c>
      <c r="O41" s="130">
        <f>+Actuals!L142</f>
        <v>0</v>
      </c>
      <c r="P41" s="129">
        <f>+Actuals!M142</f>
        <v>0</v>
      </c>
      <c r="Q41" s="130">
        <f>+Actuals!N142</f>
        <v>0</v>
      </c>
      <c r="R41" s="129">
        <f>+Actuals!O142</f>
        <v>0</v>
      </c>
      <c r="S41" s="130">
        <f>+Actuals!P142</f>
        <v>0</v>
      </c>
      <c r="T41" s="129">
        <f>+Actuals!Q142</f>
        <v>0</v>
      </c>
      <c r="U41" s="130">
        <f>+Actuals!R142</f>
        <v>0</v>
      </c>
      <c r="V41" s="129">
        <f>+Actuals!S182</f>
        <v>0</v>
      </c>
      <c r="W41" s="130">
        <f>+Actuals!T182</f>
        <v>0</v>
      </c>
      <c r="X41" s="129">
        <f>+Actuals!U182</f>
        <v>0</v>
      </c>
      <c r="Y41" s="130">
        <f>+Actuals!V182</f>
        <v>0</v>
      </c>
      <c r="Z41" s="129">
        <f>+Actuals!W182</f>
        <v>0</v>
      </c>
      <c r="AA41" s="130">
        <f>+Actuals!X182</f>
        <v>0</v>
      </c>
      <c r="AB41" s="129">
        <f>+Actuals!Y182</f>
        <v>0</v>
      </c>
      <c r="AC41" s="130">
        <f>+Actuals!Z182</f>
        <v>0</v>
      </c>
      <c r="AD41" s="129">
        <f>+Actuals!AA142</f>
        <v>0</v>
      </c>
      <c r="AE41" s="130">
        <f>+Actuals!AB142</f>
        <v>0</v>
      </c>
    </row>
    <row r="42" spans="1:31" x14ac:dyDescent="0.2">
      <c r="A42" s="9"/>
      <c r="B42" s="7"/>
      <c r="C42" s="53" t="s">
        <v>51</v>
      </c>
      <c r="D42" s="61">
        <f t="shared" ref="D42:I42" si="16">SUM(D40:D41)</f>
        <v>-15004</v>
      </c>
      <c r="E42" s="39">
        <f t="shared" si="16"/>
        <v>-33999.19</v>
      </c>
      <c r="F42" s="61">
        <f t="shared" si="16"/>
        <v>0</v>
      </c>
      <c r="G42" s="39">
        <f t="shared" si="16"/>
        <v>0</v>
      </c>
      <c r="H42" s="61">
        <f t="shared" si="16"/>
        <v>-15283</v>
      </c>
      <c r="I42" s="39">
        <f t="shared" si="16"/>
        <v>-34678.410000000003</v>
      </c>
      <c r="J42" s="61">
        <f t="shared" ref="J42:AE42" si="17">SUM(J40:J41)</f>
        <v>1237</v>
      </c>
      <c r="K42" s="39">
        <f t="shared" si="17"/>
        <v>2850.02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-958</v>
      </c>
      <c r="W42" s="39">
        <f t="shared" si="17"/>
        <v>-2170.8000000000002</v>
      </c>
      <c r="X42" s="61">
        <f t="shared" ref="X42:AC42" si="18">SUM(X40:X41)</f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52</v>
      </c>
      <c r="C43" s="6"/>
      <c r="D43" s="61">
        <f t="shared" ref="D43:I43" si="19">D42+D39</f>
        <v>411734</v>
      </c>
      <c r="E43" s="39">
        <f t="shared" si="19"/>
        <v>888523.01</v>
      </c>
      <c r="F43" s="61">
        <f t="shared" si="19"/>
        <v>0</v>
      </c>
      <c r="G43" s="39">
        <f t="shared" si="19"/>
        <v>0</v>
      </c>
      <c r="H43" s="61">
        <f t="shared" si="19"/>
        <v>402870</v>
      </c>
      <c r="I43" s="39">
        <f t="shared" si="19"/>
        <v>869284.74</v>
      </c>
      <c r="J43" s="61">
        <f t="shared" ref="J43:AE43" si="20">J42+J39</f>
        <v>9823</v>
      </c>
      <c r="K43" s="39">
        <f t="shared" si="20"/>
        <v>21411.23</v>
      </c>
      <c r="L43" s="61">
        <f t="shared" si="20"/>
        <v>-1</v>
      </c>
      <c r="M43" s="39">
        <f t="shared" si="20"/>
        <v>-2.16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-958</v>
      </c>
      <c r="W43" s="39">
        <f t="shared" si="20"/>
        <v>-2170.8000000000002</v>
      </c>
      <c r="X43" s="61">
        <f t="shared" ref="X43:AC43" si="21">X42+X39</f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9">
        <f>+Actuals!E143</f>
        <v>0</v>
      </c>
      <c r="I45" s="130">
        <f>+Actuals!F143</f>
        <v>0</v>
      </c>
      <c r="J45" s="129">
        <f>+Actuals!G143</f>
        <v>0</v>
      </c>
      <c r="K45" s="130">
        <f>+Actuals!H143</f>
        <v>0</v>
      </c>
      <c r="L45" s="129">
        <f>+Actuals!I143</f>
        <v>0</v>
      </c>
      <c r="M45" s="130">
        <f>+Actuals!J143</f>
        <v>0</v>
      </c>
      <c r="N45" s="129">
        <f>+Actuals!K143</f>
        <v>0</v>
      </c>
      <c r="O45" s="130">
        <f>+Actuals!L143</f>
        <v>0</v>
      </c>
      <c r="P45" s="129">
        <f>+Actuals!M143</f>
        <v>0</v>
      </c>
      <c r="Q45" s="130">
        <f>+Actuals!N143</f>
        <v>0</v>
      </c>
      <c r="R45" s="129">
        <f>+Actuals!O143</f>
        <v>0</v>
      </c>
      <c r="S45" s="130">
        <f>+Actuals!P143</f>
        <v>0</v>
      </c>
      <c r="T45" s="129">
        <f>+Actuals!Q143</f>
        <v>0</v>
      </c>
      <c r="U45" s="130">
        <f>+Actuals!R143</f>
        <v>0</v>
      </c>
      <c r="V45" s="129">
        <f>+Actuals!S183</f>
        <v>0</v>
      </c>
      <c r="W45" s="130">
        <f>+Actuals!T183</f>
        <v>0</v>
      </c>
      <c r="X45" s="129">
        <f>+Actuals!U183</f>
        <v>0</v>
      </c>
      <c r="Y45" s="130">
        <f>+Actuals!V183</f>
        <v>0</v>
      </c>
      <c r="Z45" s="129">
        <f>+Actuals!W183</f>
        <v>0</v>
      </c>
      <c r="AA45" s="130">
        <f>+Actuals!X183</f>
        <v>0</v>
      </c>
      <c r="AB45" s="129">
        <f>+Actuals!Y183</f>
        <v>0</v>
      </c>
      <c r="AC45" s="130">
        <f>+Actuals!Z183</f>
        <v>0</v>
      </c>
      <c r="AD45" s="129">
        <f>+Actuals!AA143</f>
        <v>0</v>
      </c>
      <c r="AE45" s="130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9">
        <f>+Actuals!E144</f>
        <v>0</v>
      </c>
      <c r="I47" s="130">
        <f>+Actuals!F144</f>
        <v>0</v>
      </c>
      <c r="J47" s="129">
        <f>+Actuals!G144</f>
        <v>0</v>
      </c>
      <c r="K47" s="130">
        <f>+Actuals!H144</f>
        <v>0</v>
      </c>
      <c r="L47" s="129">
        <f>+Actuals!I144</f>
        <v>0</v>
      </c>
      <c r="M47" s="130">
        <f>+Actuals!J144</f>
        <v>0</v>
      </c>
      <c r="N47" s="129">
        <f>+Actuals!K144</f>
        <v>0</v>
      </c>
      <c r="O47" s="130">
        <f>+Actuals!L144</f>
        <v>0</v>
      </c>
      <c r="P47" s="129">
        <f>+Actuals!M144</f>
        <v>0</v>
      </c>
      <c r="Q47" s="130">
        <f>+Actuals!N144</f>
        <v>0</v>
      </c>
      <c r="R47" s="129">
        <f>+Actuals!O144</f>
        <v>0</v>
      </c>
      <c r="S47" s="130">
        <f>+Actuals!P144</f>
        <v>0</v>
      </c>
      <c r="T47" s="129">
        <f>+Actuals!Q144</f>
        <v>0</v>
      </c>
      <c r="U47" s="130">
        <f>+Actuals!R144</f>
        <v>0</v>
      </c>
      <c r="V47" s="129">
        <f>+Actuals!S184</f>
        <v>0</v>
      </c>
      <c r="W47" s="130">
        <f>+Actuals!T184</f>
        <v>0</v>
      </c>
      <c r="X47" s="129">
        <f>+Actuals!U184</f>
        <v>0</v>
      </c>
      <c r="Y47" s="130">
        <f>+Actuals!V184</f>
        <v>0</v>
      </c>
      <c r="Z47" s="129">
        <f>+Actuals!W184</f>
        <v>0</v>
      </c>
      <c r="AA47" s="130">
        <f>+Actuals!X184</f>
        <v>0</v>
      </c>
      <c r="AB47" s="129">
        <f>+Actuals!Y184</f>
        <v>0</v>
      </c>
      <c r="AC47" s="130">
        <f>+Actuals!Z184</f>
        <v>0</v>
      </c>
      <c r="AD47" s="129">
        <f>+Actuals!AA144</f>
        <v>0</v>
      </c>
      <c r="AE47" s="130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-265300</v>
      </c>
      <c r="E49" s="38">
        <f>SUM(G49,I49,K49,M49,O49,Q49,S49,U49,W49,Y49,AA49,AC49,AE49)</f>
        <v>-573525.54000000143</v>
      </c>
      <c r="F49" s="60">
        <f>'TIE-OUT'!F49+RECLASS!F49</f>
        <v>0</v>
      </c>
      <c r="G49" s="38">
        <f>'TIE-OUT'!G49+RECLASS!G49</f>
        <v>0</v>
      </c>
      <c r="H49" s="129">
        <f>+Actuals!E145</f>
        <v>-276889</v>
      </c>
      <c r="I49" s="130">
        <f>+Actuals!F145</f>
        <v>-598578.64020000002</v>
      </c>
      <c r="J49" s="129">
        <f>+Actuals!G145</f>
        <v>-414490</v>
      </c>
      <c r="K49" s="130">
        <f>+Actuals!H145</f>
        <v>-896044.48200000008</v>
      </c>
      <c r="L49" s="129">
        <f>+Actuals!I145</f>
        <v>-1843220</v>
      </c>
      <c r="M49" s="130">
        <f>+Actuals!J145</f>
        <v>-3984672.9959999998</v>
      </c>
      <c r="N49" s="129">
        <f>+Actuals!K145</f>
        <v>12494</v>
      </c>
      <c r="O49" s="130">
        <f>+Actuals!L145</f>
        <v>27009.529200000001</v>
      </c>
      <c r="P49" s="129">
        <f>+Actuals!M145</f>
        <v>182372</v>
      </c>
      <c r="Q49" s="130">
        <f>+Actuals!N145</f>
        <v>394251.78960000002</v>
      </c>
      <c r="R49" s="129">
        <f>+Actuals!O145</f>
        <v>254644</v>
      </c>
      <c r="S49" s="130">
        <f>+Actuals!P145</f>
        <v>550489.39919999999</v>
      </c>
      <c r="T49" s="129">
        <f>+Actuals!Q145</f>
        <v>1795133</v>
      </c>
      <c r="U49" s="130">
        <f>+Actuals!R145</f>
        <v>3880718.5194000001</v>
      </c>
      <c r="V49" s="129">
        <f>+Actuals!S185</f>
        <v>-1799825</v>
      </c>
      <c r="W49" s="130">
        <f>+Actuals!T185</f>
        <v>-3890861.6850000001</v>
      </c>
      <c r="X49" s="129">
        <f>+Actuals!U185</f>
        <v>31172</v>
      </c>
      <c r="Y49" s="130">
        <f>+Actuals!V185</f>
        <v>67387.6296</v>
      </c>
      <c r="Z49" s="129">
        <f>+Actuals!W185</f>
        <v>1793309</v>
      </c>
      <c r="AA49" s="130">
        <f>+Actuals!X185</f>
        <v>3876775.3961999998</v>
      </c>
      <c r="AB49" s="129">
        <f>+Actuals!Y185</f>
        <v>0</v>
      </c>
      <c r="AC49" s="130">
        <f>+Actuals!Z185</f>
        <v>0</v>
      </c>
      <c r="AD49" s="129">
        <f>+Actuals!AA145</f>
        <v>0</v>
      </c>
      <c r="AE49" s="130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-513967</v>
      </c>
      <c r="E51" s="38">
        <f>SUM(G51,I51,K51,M51,O51,Q51,S51,U51,W51,Y51,AA51,AC51,AE51)</f>
        <v>-1111087.4076</v>
      </c>
      <c r="F51" s="60">
        <f>'TIE-OUT'!F51+RECLASS!F51</f>
        <v>0</v>
      </c>
      <c r="G51" s="38">
        <f>'TIE-OUT'!G51+RECLASS!G51</f>
        <v>0</v>
      </c>
      <c r="H51" s="129">
        <f>+Actuals!E146</f>
        <v>-546190</v>
      </c>
      <c r="I51" s="130">
        <f>+Actuals!F146</f>
        <v>-1180753.54</v>
      </c>
      <c r="J51" s="129">
        <f>+Actuals!G146</f>
        <v>32255</v>
      </c>
      <c r="K51" s="130">
        <f>+Actuals!H146</f>
        <v>69735.31</v>
      </c>
      <c r="L51" s="129">
        <f>+Actuals!I146</f>
        <v>0</v>
      </c>
      <c r="M51" s="130">
        <f>+Actuals!J146</f>
        <v>0</v>
      </c>
      <c r="N51" s="129">
        <f>+Actuals!K146</f>
        <v>6</v>
      </c>
      <c r="O51" s="130">
        <f>+Actuals!L146</f>
        <v>12.970800000000001</v>
      </c>
      <c r="P51" s="129">
        <f>+Actuals!M146</f>
        <v>0</v>
      </c>
      <c r="Q51" s="130">
        <f>+Actuals!N146</f>
        <v>0</v>
      </c>
      <c r="R51" s="129">
        <f>+Actuals!O146</f>
        <v>-84</v>
      </c>
      <c r="S51" s="130">
        <f>+Actuals!P146</f>
        <v>-181.59119999999999</v>
      </c>
      <c r="T51" s="129">
        <f>+Actuals!Q146</f>
        <v>1</v>
      </c>
      <c r="U51" s="130">
        <f>+Actuals!R146</f>
        <v>2.1617999999999999</v>
      </c>
      <c r="V51" s="129">
        <f>+Actuals!S186</f>
        <v>69</v>
      </c>
      <c r="W51" s="130">
        <f>+Actuals!T186</f>
        <v>149.16419999999999</v>
      </c>
      <c r="X51" s="129">
        <f>+Actuals!U186</f>
        <v>0</v>
      </c>
      <c r="Y51" s="130">
        <f>+Actuals!V186</f>
        <v>0</v>
      </c>
      <c r="Z51" s="129">
        <f>+Actuals!W186</f>
        <v>-24</v>
      </c>
      <c r="AA51" s="130">
        <f>+Actuals!X186</f>
        <v>-51.883200000000002</v>
      </c>
      <c r="AB51" s="129">
        <f>+Actuals!Y186</f>
        <v>0</v>
      </c>
      <c r="AC51" s="130">
        <f>+Actuals!Z186</f>
        <v>0</v>
      </c>
      <c r="AD51" s="129">
        <f>+Actuals!AA146</f>
        <v>0</v>
      </c>
      <c r="AE51" s="130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-26661222</v>
      </c>
      <c r="E54" s="38">
        <f>SUM(G54,I54,K54,M54,O54,Q54,S54,U54,W54,Y54,AA54,AC54,AE54)</f>
        <v>-40533.4900000001</v>
      </c>
      <c r="F54" s="64">
        <f>'TIE-OUT'!F54+RECLASS!F54</f>
        <v>0</v>
      </c>
      <c r="G54" s="68">
        <f>'TIE-OUT'!G54+RECLASS!G54</f>
        <v>2205137</v>
      </c>
      <c r="H54" s="129">
        <f>+Actuals!E147</f>
        <v>-24869057</v>
      </c>
      <c r="I54" s="130">
        <f>+Actuals!F147</f>
        <v>-3311236.31</v>
      </c>
      <c r="J54" s="129">
        <f>+Actuals!G147</f>
        <v>2818026</v>
      </c>
      <c r="K54" s="130">
        <f>+Actuals!H147</f>
        <v>435152.35</v>
      </c>
      <c r="L54" s="129">
        <f>+Actuals!I147</f>
        <v>-6087407</v>
      </c>
      <c r="M54" s="130">
        <f>+Actuals!J147</f>
        <v>511807.35</v>
      </c>
      <c r="N54" s="129">
        <f>+Actuals!K147</f>
        <v>2024274</v>
      </c>
      <c r="O54" s="130">
        <f>+Actuals!L147</f>
        <v>75385.55</v>
      </c>
      <c r="P54" s="129">
        <f>+Actuals!M147</f>
        <v>-53226</v>
      </c>
      <c r="Q54" s="130">
        <f>+Actuals!N147</f>
        <v>8963.2199999999993</v>
      </c>
      <c r="R54" s="129">
        <f>+Actuals!O147</f>
        <v>87928</v>
      </c>
      <c r="S54" s="130">
        <f>+Actuals!P147</f>
        <v>21509.94</v>
      </c>
      <c r="T54" s="129">
        <f>+Actuals!Q147</f>
        <v>-18058</v>
      </c>
      <c r="U54" s="130">
        <f>+Actuals!R147</f>
        <v>33.1</v>
      </c>
      <c r="V54" s="129">
        <f>+Actuals!S187</f>
        <v>-257103</v>
      </c>
      <c r="W54" s="130">
        <f>+Actuals!T187</f>
        <v>-546.78</v>
      </c>
      <c r="X54" s="129">
        <f>+Actuals!U187</f>
        <v>0</v>
      </c>
      <c r="Y54" s="130">
        <f>+Actuals!V187</f>
        <v>-180.69</v>
      </c>
      <c r="Z54" s="129">
        <f>+Actuals!W187</f>
        <v>-2366</v>
      </c>
      <c r="AA54" s="130">
        <f>+Actuals!X187</f>
        <v>15.93</v>
      </c>
      <c r="AB54" s="129">
        <f>+Actuals!Y187</f>
        <v>-304233</v>
      </c>
      <c r="AC54" s="130">
        <f>+Actuals!Z187</f>
        <v>13425.85</v>
      </c>
      <c r="AD54" s="129">
        <f>+Actuals!AA147</f>
        <v>0</v>
      </c>
      <c r="AE54" s="130">
        <f>+Actuals!AB147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-2210691.6</v>
      </c>
      <c r="F55" s="81">
        <f>'TIE-OUT'!F55+RECLASS!F55</f>
        <v>0</v>
      </c>
      <c r="G55" s="82">
        <f>'TIE-OUT'!G55+RECLASS!G55</f>
        <v>-2213443</v>
      </c>
      <c r="H55" s="129">
        <f>+Actuals!E148</f>
        <v>0</v>
      </c>
      <c r="I55" s="130">
        <f>+Actuals!F148</f>
        <v>0</v>
      </c>
      <c r="J55" s="129">
        <f>+Actuals!G148</f>
        <v>0</v>
      </c>
      <c r="K55" s="130">
        <f>+Actuals!H148</f>
        <v>0</v>
      </c>
      <c r="L55" s="129">
        <f>+Actuals!I148</f>
        <v>0</v>
      </c>
      <c r="M55" s="130">
        <f>+Actuals!J148</f>
        <v>0</v>
      </c>
      <c r="N55" s="129">
        <f>+Actuals!K148</f>
        <v>0</v>
      </c>
      <c r="O55" s="130">
        <f>+Actuals!L148</f>
        <v>17475</v>
      </c>
      <c r="P55" s="129">
        <f>+Actuals!M148</f>
        <v>0</v>
      </c>
      <c r="Q55" s="130">
        <f>+Actuals!N148</f>
        <v>-44250</v>
      </c>
      <c r="R55" s="129">
        <f>+Actuals!O148</f>
        <v>0</v>
      </c>
      <c r="S55" s="130">
        <f>+Actuals!P148</f>
        <v>30450</v>
      </c>
      <c r="T55" s="129">
        <f>+Actuals!Q148</f>
        <v>0</v>
      </c>
      <c r="U55" s="130">
        <f>+Actuals!R148</f>
        <v>316.44</v>
      </c>
      <c r="V55" s="129">
        <f>+Actuals!S188</f>
        <v>0</v>
      </c>
      <c r="W55" s="130">
        <f>+Actuals!T188</f>
        <v>11467.96</v>
      </c>
      <c r="X55" s="129">
        <f>+Actuals!U188</f>
        <v>0</v>
      </c>
      <c r="Y55" s="130">
        <f>+Actuals!V188</f>
        <v>-12708</v>
      </c>
      <c r="Z55" s="129">
        <f>+Actuals!W188</f>
        <v>0</v>
      </c>
      <c r="AA55" s="130">
        <f>+Actuals!X188</f>
        <v>0</v>
      </c>
      <c r="AB55" s="129">
        <f>+Actuals!Y188</f>
        <v>0</v>
      </c>
      <c r="AC55" s="130">
        <f>+Actuals!Z188</f>
        <v>0</v>
      </c>
      <c r="AD55" s="129">
        <f>+Actuals!AA148</f>
        <v>0</v>
      </c>
      <c r="AE55" s="130">
        <f>+Actuals!AB148</f>
        <v>0</v>
      </c>
    </row>
    <row r="56" spans="1:31" x14ac:dyDescent="0.2">
      <c r="A56" s="9"/>
      <c r="B56" s="7" t="s">
        <v>60</v>
      </c>
      <c r="C56" s="6"/>
      <c r="D56" s="61">
        <f t="shared" ref="D56:I56" si="22">SUM(D54:D55)</f>
        <v>-26661222</v>
      </c>
      <c r="E56" s="39">
        <f t="shared" si="22"/>
        <v>-2251225.0900000003</v>
      </c>
      <c r="F56" s="61">
        <f t="shared" si="22"/>
        <v>0</v>
      </c>
      <c r="G56" s="39">
        <f t="shared" si="22"/>
        <v>-8306</v>
      </c>
      <c r="H56" s="61">
        <f t="shared" si="22"/>
        <v>-24869057</v>
      </c>
      <c r="I56" s="39">
        <f t="shared" si="22"/>
        <v>-3311236.31</v>
      </c>
      <c r="J56" s="61">
        <f t="shared" ref="J56:AE56" si="23">SUM(J54:J55)</f>
        <v>2818026</v>
      </c>
      <c r="K56" s="39">
        <f t="shared" si="23"/>
        <v>435152.35</v>
      </c>
      <c r="L56" s="61">
        <f t="shared" si="23"/>
        <v>-6087407</v>
      </c>
      <c r="M56" s="39">
        <f t="shared" si="23"/>
        <v>511807.35</v>
      </c>
      <c r="N56" s="61">
        <f t="shared" si="23"/>
        <v>2024274</v>
      </c>
      <c r="O56" s="39">
        <f t="shared" si="23"/>
        <v>92860.55</v>
      </c>
      <c r="P56" s="61">
        <f t="shared" si="23"/>
        <v>-53226</v>
      </c>
      <c r="Q56" s="39">
        <f t="shared" si="23"/>
        <v>-35286.78</v>
      </c>
      <c r="R56" s="61">
        <f t="shared" si="23"/>
        <v>87928</v>
      </c>
      <c r="S56" s="39">
        <f t="shared" si="23"/>
        <v>51959.94</v>
      </c>
      <c r="T56" s="61">
        <f t="shared" si="23"/>
        <v>-18058</v>
      </c>
      <c r="U56" s="39">
        <f t="shared" si="23"/>
        <v>349.54</v>
      </c>
      <c r="V56" s="61">
        <f t="shared" si="23"/>
        <v>-257103</v>
      </c>
      <c r="W56" s="39">
        <f t="shared" si="23"/>
        <v>10921.179999999998</v>
      </c>
      <c r="X56" s="61">
        <f t="shared" ref="X56:AC56" si="24">SUM(X54:X55)</f>
        <v>0</v>
      </c>
      <c r="Y56" s="39">
        <f t="shared" si="24"/>
        <v>-12888.69</v>
      </c>
      <c r="Z56" s="61">
        <f t="shared" si="24"/>
        <v>-2366</v>
      </c>
      <c r="AA56" s="39">
        <f t="shared" si="24"/>
        <v>15.93</v>
      </c>
      <c r="AB56" s="61">
        <f t="shared" si="24"/>
        <v>-304233</v>
      </c>
      <c r="AC56" s="39">
        <f t="shared" si="24"/>
        <v>13425.85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9">
        <f>+Actuals!E149</f>
        <v>0</v>
      </c>
      <c r="I59" s="130">
        <f>+Actuals!F149</f>
        <v>0</v>
      </c>
      <c r="J59" s="129">
        <f>+Actuals!G149</f>
        <v>0</v>
      </c>
      <c r="K59" s="130">
        <f>+Actuals!H149</f>
        <v>0</v>
      </c>
      <c r="L59" s="129">
        <f>+Actuals!I149</f>
        <v>0</v>
      </c>
      <c r="M59" s="130">
        <f>+Actuals!J149</f>
        <v>0</v>
      </c>
      <c r="N59" s="129">
        <f>+Actuals!K149</f>
        <v>0</v>
      </c>
      <c r="O59" s="130">
        <f>+Actuals!L149</f>
        <v>0</v>
      </c>
      <c r="P59" s="129">
        <f>+Actuals!M149</f>
        <v>0</v>
      </c>
      <c r="Q59" s="130">
        <f>+Actuals!N149</f>
        <v>0</v>
      </c>
      <c r="R59" s="129">
        <f>+Actuals!O149</f>
        <v>0</v>
      </c>
      <c r="S59" s="130">
        <f>+Actuals!P149</f>
        <v>0</v>
      </c>
      <c r="T59" s="129">
        <f>+Actuals!Q149</f>
        <v>0</v>
      </c>
      <c r="U59" s="130">
        <f>+Actuals!R149</f>
        <v>0</v>
      </c>
      <c r="V59" s="129">
        <f>+Actuals!S189</f>
        <v>0</v>
      </c>
      <c r="W59" s="130">
        <f>+Actuals!T189</f>
        <v>0</v>
      </c>
      <c r="X59" s="129">
        <f>+Actuals!U189</f>
        <v>0</v>
      </c>
      <c r="Y59" s="130">
        <f>+Actuals!V189</f>
        <v>0</v>
      </c>
      <c r="Z59" s="129">
        <f>+Actuals!W189</f>
        <v>0</v>
      </c>
      <c r="AA59" s="130">
        <f>+Actuals!X189</f>
        <v>0</v>
      </c>
      <c r="AB59" s="129">
        <f>+Actuals!Y189</f>
        <v>0</v>
      </c>
      <c r="AC59" s="130">
        <f>+Actuals!Z189</f>
        <v>0</v>
      </c>
      <c r="AD59" s="129">
        <f>+Actuals!AA149</f>
        <v>0</v>
      </c>
      <c r="AE59" s="130">
        <f>+Actuals!AB149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9">
        <f>+Actuals!E150</f>
        <v>0</v>
      </c>
      <c r="I60" s="130">
        <f>+Actuals!F150</f>
        <v>0</v>
      </c>
      <c r="J60" s="129">
        <f>+Actuals!G150</f>
        <v>0</v>
      </c>
      <c r="K60" s="130">
        <f>+Actuals!H150</f>
        <v>0</v>
      </c>
      <c r="L60" s="129">
        <f>+Actuals!I150</f>
        <v>0</v>
      </c>
      <c r="M60" s="130">
        <f>+Actuals!J150</f>
        <v>0</v>
      </c>
      <c r="N60" s="129">
        <f>+Actuals!K150</f>
        <v>0</v>
      </c>
      <c r="O60" s="130">
        <f>+Actuals!L150</f>
        <v>0</v>
      </c>
      <c r="P60" s="129">
        <f>+Actuals!M150</f>
        <v>0</v>
      </c>
      <c r="Q60" s="130">
        <f>+Actuals!N150</f>
        <v>0</v>
      </c>
      <c r="R60" s="129">
        <f>+Actuals!O150</f>
        <v>0</v>
      </c>
      <c r="S60" s="130">
        <f>+Actuals!P150</f>
        <v>0</v>
      </c>
      <c r="T60" s="129">
        <f>+Actuals!Q150</f>
        <v>0</v>
      </c>
      <c r="U60" s="130">
        <f>+Actuals!R150</f>
        <v>0</v>
      </c>
      <c r="V60" s="129">
        <f>+Actuals!S190</f>
        <v>0</v>
      </c>
      <c r="W60" s="130">
        <f>+Actuals!T190</f>
        <v>0</v>
      </c>
      <c r="X60" s="129">
        <f>+Actuals!U190</f>
        <v>0</v>
      </c>
      <c r="Y60" s="130">
        <f>+Actuals!V190</f>
        <v>0</v>
      </c>
      <c r="Z60" s="129">
        <f>+Actuals!W190</f>
        <v>0</v>
      </c>
      <c r="AA60" s="130">
        <f>+Actuals!X190</f>
        <v>0</v>
      </c>
      <c r="AB60" s="129">
        <f>+Actuals!Y190</f>
        <v>0</v>
      </c>
      <c r="AC60" s="130">
        <f>+Actuals!Z190</f>
        <v>0</v>
      </c>
      <c r="AD60" s="129">
        <f>+Actuals!AA150</f>
        <v>0</v>
      </c>
      <c r="AE60" s="130">
        <f>+Actuals!AB150</f>
        <v>0</v>
      </c>
    </row>
    <row r="61" spans="1:31" x14ac:dyDescent="0.2">
      <c r="A61" s="9"/>
      <c r="B61" s="62" t="s">
        <v>64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ref="X61:AC61" si="27">SUM(X59:X60)</f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9">
        <f>+Actuals!E151</f>
        <v>0</v>
      </c>
      <c r="I64" s="130">
        <f>+Actuals!F151</f>
        <v>0</v>
      </c>
      <c r="J64" s="129">
        <f>+Actuals!G151</f>
        <v>0</v>
      </c>
      <c r="K64" s="130">
        <f>+Actuals!H151</f>
        <v>0</v>
      </c>
      <c r="L64" s="129">
        <f>+Actuals!I151</f>
        <v>0</v>
      </c>
      <c r="M64" s="130">
        <f>+Actuals!J151</f>
        <v>0</v>
      </c>
      <c r="N64" s="129">
        <f>+Actuals!K151</f>
        <v>0</v>
      </c>
      <c r="O64" s="130">
        <f>+Actuals!L151</f>
        <v>0</v>
      </c>
      <c r="P64" s="129">
        <f>+Actuals!M151</f>
        <v>0</v>
      </c>
      <c r="Q64" s="130">
        <f>+Actuals!N151</f>
        <v>0</v>
      </c>
      <c r="R64" s="129">
        <f>+Actuals!O151</f>
        <v>0</v>
      </c>
      <c r="S64" s="130">
        <f>+Actuals!P151</f>
        <v>0</v>
      </c>
      <c r="T64" s="129">
        <f>+Actuals!Q151</f>
        <v>0</v>
      </c>
      <c r="U64" s="130">
        <f>+Actuals!R151</f>
        <v>0</v>
      </c>
      <c r="V64" s="129">
        <f>+Actuals!S191</f>
        <v>0</v>
      </c>
      <c r="W64" s="130">
        <f>+Actuals!T191</f>
        <v>0</v>
      </c>
      <c r="X64" s="129">
        <f>+Actuals!U191</f>
        <v>0</v>
      </c>
      <c r="Y64" s="130">
        <f>+Actuals!V191</f>
        <v>0</v>
      </c>
      <c r="Z64" s="129">
        <f>+Actuals!W191</f>
        <v>0</v>
      </c>
      <c r="AA64" s="130">
        <f>+Actuals!X191</f>
        <v>0</v>
      </c>
      <c r="AB64" s="129">
        <f>+Actuals!Y191</f>
        <v>0</v>
      </c>
      <c r="AC64" s="130">
        <f>+Actuals!Z191</f>
        <v>0</v>
      </c>
      <c r="AD64" s="129">
        <f>+Actuals!AA151</f>
        <v>0</v>
      </c>
      <c r="AE64" s="130">
        <f>+Actuals!AB151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9">
        <f>+Actuals!E152</f>
        <v>0</v>
      </c>
      <c r="I65" s="130">
        <f>+Actuals!F152</f>
        <v>0</v>
      </c>
      <c r="J65" s="129">
        <f>+Actuals!G152</f>
        <v>0</v>
      </c>
      <c r="K65" s="130">
        <f>+Actuals!H152</f>
        <v>0</v>
      </c>
      <c r="L65" s="129">
        <f>+Actuals!I152</f>
        <v>0</v>
      </c>
      <c r="M65" s="130">
        <f>+Actuals!J152</f>
        <v>0</v>
      </c>
      <c r="N65" s="129">
        <f>+Actuals!K152</f>
        <v>0</v>
      </c>
      <c r="O65" s="130">
        <f>+Actuals!L152</f>
        <v>0</v>
      </c>
      <c r="P65" s="129">
        <f>+Actuals!M152</f>
        <v>0</v>
      </c>
      <c r="Q65" s="130">
        <f>+Actuals!N152</f>
        <v>0</v>
      </c>
      <c r="R65" s="129">
        <f>+Actuals!O152</f>
        <v>0</v>
      </c>
      <c r="S65" s="130">
        <f>+Actuals!P152</f>
        <v>0</v>
      </c>
      <c r="T65" s="129">
        <f>+Actuals!Q152</f>
        <v>0</v>
      </c>
      <c r="U65" s="130">
        <f>+Actuals!R152</f>
        <v>0</v>
      </c>
      <c r="V65" s="129">
        <f>+Actuals!S192</f>
        <v>0</v>
      </c>
      <c r="W65" s="130">
        <f>+Actuals!T192</f>
        <v>0</v>
      </c>
      <c r="X65" s="129">
        <f>+Actuals!U192</f>
        <v>0</v>
      </c>
      <c r="Y65" s="130">
        <f>+Actuals!V192</f>
        <v>0</v>
      </c>
      <c r="Z65" s="129">
        <f>+Actuals!W192</f>
        <v>0</v>
      </c>
      <c r="AA65" s="130">
        <f>+Actuals!X192</f>
        <v>0</v>
      </c>
      <c r="AB65" s="129">
        <f>+Actuals!Y192</f>
        <v>0</v>
      </c>
      <c r="AC65" s="130">
        <f>+Actuals!Z192</f>
        <v>0</v>
      </c>
      <c r="AD65" s="129">
        <f>+Actuals!AA152</f>
        <v>0</v>
      </c>
      <c r="AE65" s="130">
        <f>+Actuals!AB152</f>
        <v>0</v>
      </c>
    </row>
    <row r="66" spans="1:31" x14ac:dyDescent="0.2">
      <c r="A66" s="9"/>
      <c r="B66" s="7" t="s">
        <v>67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ref="X66:AC66" si="30">SUM(X64:X65)</f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1955927.12</v>
      </c>
      <c r="F70" s="64">
        <f>'TIE-OUT'!F70+RECLASS!F70</f>
        <v>0</v>
      </c>
      <c r="G70" s="68">
        <f>'TIE-OUT'!G70+RECLASS!G70</f>
        <v>1955927.12</v>
      </c>
      <c r="H70" s="129">
        <f>+Actuals!E153</f>
        <v>0</v>
      </c>
      <c r="I70" s="130">
        <f>+Actuals!F153</f>
        <v>0</v>
      </c>
      <c r="J70" s="129">
        <f>+Actuals!G153</f>
        <v>0</v>
      </c>
      <c r="K70" s="130">
        <f>+Actuals!H153</f>
        <v>0</v>
      </c>
      <c r="L70" s="129">
        <f>+Actuals!I153</f>
        <v>0</v>
      </c>
      <c r="M70" s="130">
        <f>+Actuals!J153</f>
        <v>0</v>
      </c>
      <c r="N70" s="129">
        <f>+Actuals!K153</f>
        <v>0</v>
      </c>
      <c r="O70" s="130">
        <f>+Actuals!L153</f>
        <v>0</v>
      </c>
      <c r="P70" s="129">
        <f>+Actuals!M153</f>
        <v>0</v>
      </c>
      <c r="Q70" s="130">
        <f>+Actuals!N153</f>
        <v>0</v>
      </c>
      <c r="R70" s="129">
        <f>+Actuals!O153</f>
        <v>0</v>
      </c>
      <c r="S70" s="130">
        <f>+Actuals!P153</f>
        <v>0</v>
      </c>
      <c r="T70" s="129">
        <f>+Actuals!Q153</f>
        <v>0</v>
      </c>
      <c r="U70" s="130">
        <f>+Actuals!R153</f>
        <v>0</v>
      </c>
      <c r="V70" s="129">
        <f>+Actuals!S193</f>
        <v>0</v>
      </c>
      <c r="W70" s="130">
        <f>+Actuals!T193</f>
        <v>0</v>
      </c>
      <c r="X70" s="129">
        <f>+Actuals!U193</f>
        <v>0</v>
      </c>
      <c r="Y70" s="130">
        <f>+Actuals!V193</f>
        <v>0</v>
      </c>
      <c r="Z70" s="129">
        <f>+Actuals!W193</f>
        <v>0</v>
      </c>
      <c r="AA70" s="130">
        <f>+Actuals!X193</f>
        <v>0</v>
      </c>
      <c r="AB70" s="129">
        <f>+Actuals!Y193</f>
        <v>0</v>
      </c>
      <c r="AC70" s="130">
        <f>+Actuals!Z193</f>
        <v>0</v>
      </c>
      <c r="AD70" s="129">
        <f>+Actuals!AA153</f>
        <v>0</v>
      </c>
      <c r="AE70" s="130">
        <f>+Actuals!AB153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-1107837</v>
      </c>
      <c r="F71" s="81">
        <f>'TIE-OUT'!F71+RECLASS!F71</f>
        <v>0</v>
      </c>
      <c r="G71" s="82">
        <f>'TIE-OUT'!G71+RECLASS!G71</f>
        <v>-1107837</v>
      </c>
      <c r="H71" s="129">
        <f>+Actuals!E154</f>
        <v>0</v>
      </c>
      <c r="I71" s="130">
        <f>+Actuals!F154</f>
        <v>0</v>
      </c>
      <c r="J71" s="129">
        <f>+Actuals!G154</f>
        <v>0</v>
      </c>
      <c r="K71" s="130">
        <f>+Actuals!H154</f>
        <v>0</v>
      </c>
      <c r="L71" s="129">
        <f>+Actuals!I154</f>
        <v>0</v>
      </c>
      <c r="M71" s="130">
        <f>+Actuals!J154</f>
        <v>0</v>
      </c>
      <c r="N71" s="129">
        <f>+Actuals!K154</f>
        <v>0</v>
      </c>
      <c r="O71" s="130">
        <f>+Actuals!L154</f>
        <v>0</v>
      </c>
      <c r="P71" s="129">
        <f>+Actuals!M154</f>
        <v>0</v>
      </c>
      <c r="Q71" s="130">
        <f>+Actuals!N154</f>
        <v>0</v>
      </c>
      <c r="R71" s="129">
        <f>+Actuals!O154</f>
        <v>0</v>
      </c>
      <c r="S71" s="130">
        <f>+Actuals!P154</f>
        <v>0</v>
      </c>
      <c r="T71" s="129">
        <f>+Actuals!Q154</f>
        <v>0</v>
      </c>
      <c r="U71" s="130">
        <f>+Actuals!R154</f>
        <v>0</v>
      </c>
      <c r="V71" s="129">
        <f>+Actuals!S194</f>
        <v>0</v>
      </c>
      <c r="W71" s="130">
        <f>+Actuals!T194</f>
        <v>0</v>
      </c>
      <c r="X71" s="129">
        <f>+Actuals!U194</f>
        <v>0</v>
      </c>
      <c r="Y71" s="130">
        <f>+Actuals!V194</f>
        <v>0</v>
      </c>
      <c r="Z71" s="129">
        <f>+Actuals!W194</f>
        <v>0</v>
      </c>
      <c r="AA71" s="130">
        <f>+Actuals!X194</f>
        <v>0</v>
      </c>
      <c r="AB71" s="129">
        <f>+Actuals!Y194</f>
        <v>0</v>
      </c>
      <c r="AC71" s="130">
        <f>+Actuals!Z194</f>
        <v>0</v>
      </c>
      <c r="AD71" s="129">
        <f>+Actuals!AA154</f>
        <v>0</v>
      </c>
      <c r="AE71" s="130">
        <f>+Actuals!AB154</f>
        <v>0</v>
      </c>
    </row>
    <row r="72" spans="1:31" x14ac:dyDescent="0.2">
      <c r="A72" s="9"/>
      <c r="B72" s="3"/>
      <c r="C72" s="55" t="s">
        <v>72</v>
      </c>
      <c r="D72" s="61">
        <f t="shared" ref="D72:I72" si="31">SUM(D70:D71)</f>
        <v>0</v>
      </c>
      <c r="E72" s="39">
        <f t="shared" si="31"/>
        <v>848090.12000000011</v>
      </c>
      <c r="F72" s="61">
        <f t="shared" si="31"/>
        <v>0</v>
      </c>
      <c r="G72" s="39">
        <f t="shared" si="31"/>
        <v>848090.12000000011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ref="X72:AC72" si="33">SUM(X70:X71)</f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9">
        <f>+Actuals!E155</f>
        <v>0</v>
      </c>
      <c r="I73" s="130">
        <f>+Actuals!F155</f>
        <v>0</v>
      </c>
      <c r="J73" s="129">
        <f>+Actuals!G155</f>
        <v>0</v>
      </c>
      <c r="K73" s="130">
        <f>+Actuals!H155</f>
        <v>0</v>
      </c>
      <c r="L73" s="129">
        <f>+Actuals!I155</f>
        <v>0</v>
      </c>
      <c r="M73" s="130">
        <f>+Actuals!J155</f>
        <v>0</v>
      </c>
      <c r="N73" s="129">
        <f>+Actuals!K155</f>
        <v>0</v>
      </c>
      <c r="O73" s="130">
        <f>+Actuals!L155</f>
        <v>0</v>
      </c>
      <c r="P73" s="129">
        <f>+Actuals!M155</f>
        <v>0</v>
      </c>
      <c r="Q73" s="130">
        <f>+Actuals!N155</f>
        <v>0</v>
      </c>
      <c r="R73" s="129">
        <f>+Actuals!O155</f>
        <v>0</v>
      </c>
      <c r="S73" s="130">
        <f>+Actuals!P155</f>
        <v>0</v>
      </c>
      <c r="T73" s="129">
        <f>+Actuals!Q155</f>
        <v>0</v>
      </c>
      <c r="U73" s="130">
        <f>+Actuals!R155</f>
        <v>0</v>
      </c>
      <c r="V73" s="129">
        <f>+Actuals!S195</f>
        <v>0</v>
      </c>
      <c r="W73" s="130">
        <f>+Actuals!T195</f>
        <v>0</v>
      </c>
      <c r="X73" s="129">
        <f>+Actuals!U195</f>
        <v>0</v>
      </c>
      <c r="Y73" s="130">
        <f>+Actuals!V195</f>
        <v>0</v>
      </c>
      <c r="Z73" s="129">
        <f>+Actuals!W195</f>
        <v>0</v>
      </c>
      <c r="AA73" s="130">
        <f>+Actuals!X195</f>
        <v>0</v>
      </c>
      <c r="AB73" s="129">
        <f>+Actuals!Y195</f>
        <v>0</v>
      </c>
      <c r="AC73" s="130">
        <f>+Actuals!Z195</f>
        <v>0</v>
      </c>
      <c r="AD73" s="129">
        <f>+Actuals!AA155</f>
        <v>0</v>
      </c>
      <c r="AE73" s="130">
        <f>+Actuals!AB155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34"/>
        <v>0</v>
      </c>
      <c r="E74" s="38">
        <f t="shared" si="34"/>
        <v>590210</v>
      </c>
      <c r="F74" s="60">
        <f>'TIE-OUT'!F74+RECLASS!F74</f>
        <v>0</v>
      </c>
      <c r="G74" s="60">
        <f>'TIE-OUT'!G74+RECLASS!G74</f>
        <v>581960</v>
      </c>
      <c r="H74" s="129">
        <f>+Actuals!E156</f>
        <v>0</v>
      </c>
      <c r="I74" s="130">
        <f>+Actuals!F156</f>
        <v>0</v>
      </c>
      <c r="J74" s="129">
        <f>+Actuals!G156</f>
        <v>0</v>
      </c>
      <c r="K74" s="162">
        <v>8250</v>
      </c>
      <c r="L74" s="129">
        <f>+Actuals!I156</f>
        <v>0</v>
      </c>
      <c r="M74" s="130">
        <f>+Actuals!J156</f>
        <v>0</v>
      </c>
      <c r="N74" s="129">
        <f>+Actuals!K156</f>
        <v>0</v>
      </c>
      <c r="O74" s="130">
        <f>+Actuals!L156</f>
        <v>0</v>
      </c>
      <c r="P74" s="129">
        <f>+Actuals!M156</f>
        <v>0</v>
      </c>
      <c r="Q74" s="130">
        <f>+Actuals!N156</f>
        <v>0</v>
      </c>
      <c r="R74" s="129">
        <f>+Actuals!O156</f>
        <v>0</v>
      </c>
      <c r="S74" s="130">
        <f>+Actuals!P156</f>
        <v>0</v>
      </c>
      <c r="T74" s="129">
        <f>+Actuals!Q156</f>
        <v>0</v>
      </c>
      <c r="U74" s="130">
        <f>+Actuals!R156</f>
        <v>0</v>
      </c>
      <c r="V74" s="129">
        <f>+Actuals!S196</f>
        <v>0</v>
      </c>
      <c r="W74" s="130">
        <f>+Actuals!T196</f>
        <v>0</v>
      </c>
      <c r="X74" s="129">
        <f>+Actuals!U196</f>
        <v>0</v>
      </c>
      <c r="Y74" s="130">
        <f>+Actuals!V196</f>
        <v>0</v>
      </c>
      <c r="Z74" s="129">
        <f>+Actuals!W196</f>
        <v>0</v>
      </c>
      <c r="AA74" s="130">
        <f>+Actuals!X196</f>
        <v>0</v>
      </c>
      <c r="AB74" s="129">
        <f>+Actuals!Y196</f>
        <v>0</v>
      </c>
      <c r="AC74" s="130">
        <f>+Actuals!Z196</f>
        <v>0</v>
      </c>
      <c r="AD74" s="129">
        <f>+Actuals!AA156</f>
        <v>0</v>
      </c>
      <c r="AE74" s="130">
        <f>+Actuals!AB156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34"/>
        <v>0</v>
      </c>
      <c r="E75" s="38">
        <f t="shared" si="34"/>
        <v>46100</v>
      </c>
      <c r="F75" s="60">
        <f>'TIE-OUT'!F75+RECLASS!F75</f>
        <v>0</v>
      </c>
      <c r="G75" s="60">
        <f>'TIE-OUT'!G75+RECLASS!G75</f>
        <v>46100</v>
      </c>
      <c r="H75" s="129">
        <f>+Actuals!E157</f>
        <v>0</v>
      </c>
      <c r="I75" s="130">
        <f>+Actuals!F157</f>
        <v>0</v>
      </c>
      <c r="J75" s="129">
        <f>+Actuals!G157</f>
        <v>0</v>
      </c>
      <c r="K75" s="130">
        <f>+Actuals!H157</f>
        <v>0</v>
      </c>
      <c r="L75" s="129">
        <f>+Actuals!I157</f>
        <v>0</v>
      </c>
      <c r="M75" s="130">
        <f>+Actuals!J157</f>
        <v>0</v>
      </c>
      <c r="N75" s="129">
        <f>+Actuals!K157</f>
        <v>0</v>
      </c>
      <c r="O75" s="130">
        <f>+Actuals!L157</f>
        <v>0</v>
      </c>
      <c r="P75" s="129">
        <f>+Actuals!M157</f>
        <v>0</v>
      </c>
      <c r="Q75" s="130">
        <f>+Actuals!N157</f>
        <v>0</v>
      </c>
      <c r="R75" s="129">
        <f>+Actuals!O157</f>
        <v>0</v>
      </c>
      <c r="S75" s="130">
        <f>+Actuals!P157</f>
        <v>0</v>
      </c>
      <c r="T75" s="129">
        <f>+Actuals!Q157</f>
        <v>0</v>
      </c>
      <c r="U75" s="130">
        <f>+Actuals!R157</f>
        <v>0</v>
      </c>
      <c r="V75" s="129">
        <f>+Actuals!S197</f>
        <v>0</v>
      </c>
      <c r="W75" s="130">
        <f>+Actuals!T197</f>
        <v>0</v>
      </c>
      <c r="X75" s="129">
        <f>+Actuals!U197</f>
        <v>0</v>
      </c>
      <c r="Y75" s="130">
        <f>+Actuals!V197</f>
        <v>0</v>
      </c>
      <c r="Z75" s="129">
        <f>+Actuals!W197</f>
        <v>0</v>
      </c>
      <c r="AA75" s="130">
        <f>+Actuals!X197</f>
        <v>0</v>
      </c>
      <c r="AB75" s="129">
        <f>+Actuals!Y197</f>
        <v>0</v>
      </c>
      <c r="AC75" s="130">
        <f>+Actuals!Z197</f>
        <v>0</v>
      </c>
      <c r="AD75" s="129">
        <f>+Actuals!AA157</f>
        <v>0</v>
      </c>
      <c r="AE75" s="130">
        <f>+Actuals!AB157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34"/>
        <v>0</v>
      </c>
      <c r="E76" s="38">
        <f t="shared" si="34"/>
        <v>-19269.13</v>
      </c>
      <c r="F76" s="60">
        <f>'TIE-OUT'!F76+RECLASS!F76</f>
        <v>0</v>
      </c>
      <c r="G76" s="60">
        <f>'TIE-OUT'!G76+RECLASS!G76</f>
        <v>0</v>
      </c>
      <c r="H76" s="129">
        <f>+Actuals!E158</f>
        <v>0</v>
      </c>
      <c r="I76" s="130">
        <f>+Actuals!F158</f>
        <v>0</v>
      </c>
      <c r="J76" s="129">
        <f>+Actuals!G158</f>
        <v>0</v>
      </c>
      <c r="K76" s="130">
        <f>+Actuals!H158</f>
        <v>-31571.33</v>
      </c>
      <c r="L76" s="129">
        <f>+Actuals!I158</f>
        <v>0</v>
      </c>
      <c r="M76" s="130">
        <f>+Actuals!J158</f>
        <v>0</v>
      </c>
      <c r="N76" s="129">
        <f>+Actuals!K158</f>
        <v>0</v>
      </c>
      <c r="O76" s="130">
        <f>+Actuals!L158</f>
        <v>12302.2</v>
      </c>
      <c r="P76" s="129">
        <f>+Actuals!M158</f>
        <v>0</v>
      </c>
      <c r="Q76" s="130">
        <f>+Actuals!N158</f>
        <v>0</v>
      </c>
      <c r="R76" s="129">
        <f>+Actuals!O158</f>
        <v>0</v>
      </c>
      <c r="S76" s="130">
        <f>+Actuals!P158</f>
        <v>0</v>
      </c>
      <c r="T76" s="129">
        <f>+Actuals!Q158</f>
        <v>0</v>
      </c>
      <c r="U76" s="130">
        <f>+Actuals!R158</f>
        <v>0</v>
      </c>
      <c r="V76" s="129">
        <f>+Actuals!S198</f>
        <v>0</v>
      </c>
      <c r="W76" s="130">
        <f>+Actuals!T198</f>
        <v>0</v>
      </c>
      <c r="X76" s="129">
        <f>+Actuals!U198</f>
        <v>0</v>
      </c>
      <c r="Y76" s="130">
        <f>+Actuals!V198</f>
        <v>0</v>
      </c>
      <c r="Z76" s="129">
        <f>+Actuals!W198</f>
        <v>0</v>
      </c>
      <c r="AA76" s="130">
        <f>+Actuals!X198</f>
        <v>0</v>
      </c>
      <c r="AB76" s="129">
        <f>+Actuals!Y198</f>
        <v>0</v>
      </c>
      <c r="AC76" s="130">
        <f>+Actuals!Z198</f>
        <v>0</v>
      </c>
      <c r="AD76" s="129">
        <f>+Actuals!AA158</f>
        <v>0</v>
      </c>
      <c r="AE76" s="130">
        <f>+Actuals!AB158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9">
        <f>+Actuals!E159</f>
        <v>0</v>
      </c>
      <c r="I77" s="130">
        <f>+Actuals!F159</f>
        <v>0</v>
      </c>
      <c r="J77" s="129">
        <f>+Actuals!G159</f>
        <v>0</v>
      </c>
      <c r="K77" s="130">
        <f>+Actuals!H159</f>
        <v>0</v>
      </c>
      <c r="L77" s="129">
        <f>+Actuals!I159</f>
        <v>0</v>
      </c>
      <c r="M77" s="130">
        <f>+Actuals!J159</f>
        <v>0</v>
      </c>
      <c r="N77" s="129">
        <f>+Actuals!K159</f>
        <v>0</v>
      </c>
      <c r="O77" s="130">
        <f>+Actuals!L159</f>
        <v>0</v>
      </c>
      <c r="P77" s="129">
        <f>+Actuals!M159</f>
        <v>0</v>
      </c>
      <c r="Q77" s="130">
        <f>+Actuals!N159</f>
        <v>0</v>
      </c>
      <c r="R77" s="129">
        <f>+Actuals!O159</f>
        <v>0</v>
      </c>
      <c r="S77" s="130">
        <f>+Actuals!P159</f>
        <v>0</v>
      </c>
      <c r="T77" s="129">
        <f>+Actuals!Q159</f>
        <v>0</v>
      </c>
      <c r="U77" s="130">
        <f>+Actuals!R159</f>
        <v>0</v>
      </c>
      <c r="V77" s="129">
        <f>+Actuals!S199</f>
        <v>0</v>
      </c>
      <c r="W77" s="130">
        <f>+Actuals!T199</f>
        <v>0</v>
      </c>
      <c r="X77" s="129">
        <f>+Actuals!U199</f>
        <v>0</v>
      </c>
      <c r="Y77" s="130">
        <f>+Actuals!V199</f>
        <v>0</v>
      </c>
      <c r="Z77" s="129">
        <f>+Actuals!W199</f>
        <v>0</v>
      </c>
      <c r="AA77" s="130">
        <f>+Actuals!X199</f>
        <v>0</v>
      </c>
      <c r="AB77" s="129">
        <f>+Actuals!Y199</f>
        <v>0</v>
      </c>
      <c r="AC77" s="130">
        <f>+Actuals!Z199</f>
        <v>0</v>
      </c>
      <c r="AD77" s="129">
        <f>+Actuals!AA159</f>
        <v>0</v>
      </c>
      <c r="AE77" s="130">
        <f>+Actuals!AB159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9">
        <f>+Actuals!E160</f>
        <v>0</v>
      </c>
      <c r="I78" s="130">
        <f>+Actuals!F160</f>
        <v>0</v>
      </c>
      <c r="J78" s="129">
        <f>+Actuals!G160</f>
        <v>0</v>
      </c>
      <c r="K78" s="130">
        <f>+Actuals!H160</f>
        <v>0</v>
      </c>
      <c r="L78" s="129">
        <f>+Actuals!I160</f>
        <v>0</v>
      </c>
      <c r="M78" s="130">
        <f>+Actuals!J160</f>
        <v>0</v>
      </c>
      <c r="N78" s="129">
        <f>+Actuals!K160</f>
        <v>0</v>
      </c>
      <c r="O78" s="130">
        <f>+Actuals!L160</f>
        <v>0</v>
      </c>
      <c r="P78" s="129">
        <f>+Actuals!M160</f>
        <v>0</v>
      </c>
      <c r="Q78" s="130">
        <f>+Actuals!N160</f>
        <v>0</v>
      </c>
      <c r="R78" s="129">
        <f>+Actuals!O160</f>
        <v>0</v>
      </c>
      <c r="S78" s="130">
        <f>+Actuals!P160</f>
        <v>0</v>
      </c>
      <c r="T78" s="129">
        <f>+Actuals!Q160</f>
        <v>0</v>
      </c>
      <c r="U78" s="130">
        <f>+Actuals!R160</f>
        <v>0</v>
      </c>
      <c r="V78" s="129">
        <f>+Actuals!S200</f>
        <v>0</v>
      </c>
      <c r="W78" s="130">
        <f>+Actuals!T200</f>
        <v>0</v>
      </c>
      <c r="X78" s="129">
        <f>+Actuals!U200</f>
        <v>0</v>
      </c>
      <c r="Y78" s="130">
        <f>+Actuals!V200</f>
        <v>0</v>
      </c>
      <c r="Z78" s="129">
        <f>+Actuals!W200</f>
        <v>0</v>
      </c>
      <c r="AA78" s="130">
        <f>+Actuals!X200</f>
        <v>0</v>
      </c>
      <c r="AB78" s="129">
        <f>+Actuals!Y200</f>
        <v>0</v>
      </c>
      <c r="AC78" s="130">
        <f>+Actuals!Z200</f>
        <v>0</v>
      </c>
      <c r="AD78" s="129">
        <f>+Actuals!AA160</f>
        <v>0</v>
      </c>
      <c r="AE78" s="130">
        <f>+Actuals!AB160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34"/>
        <v>0</v>
      </c>
      <c r="E79" s="38">
        <f t="shared" si="34"/>
        <v>1307284</v>
      </c>
      <c r="F79" s="60">
        <f>'TIE-OUT'!F79+RECLASS!F79</f>
        <v>0</v>
      </c>
      <c r="G79" s="60">
        <f>'TIE-OUT'!G79+RECLASS!G79</f>
        <v>1307284</v>
      </c>
      <c r="H79" s="129">
        <f>+Actuals!E161</f>
        <v>0</v>
      </c>
      <c r="I79" s="130">
        <f>+Actuals!F161</f>
        <v>0</v>
      </c>
      <c r="J79" s="129">
        <f>+Actuals!G161</f>
        <v>0</v>
      </c>
      <c r="K79" s="130">
        <f>+Actuals!H161</f>
        <v>0</v>
      </c>
      <c r="L79" s="129">
        <f>+Actuals!I161</f>
        <v>0</v>
      </c>
      <c r="M79" s="130">
        <f>+Actuals!J161</f>
        <v>0</v>
      </c>
      <c r="N79" s="129">
        <f>+Actuals!K161</f>
        <v>0</v>
      </c>
      <c r="O79" s="130">
        <f>+Actuals!L161</f>
        <v>0</v>
      </c>
      <c r="P79" s="129">
        <f>+Actuals!M161</f>
        <v>0</v>
      </c>
      <c r="Q79" s="130">
        <f>+Actuals!N161</f>
        <v>0</v>
      </c>
      <c r="R79" s="129">
        <f>+Actuals!O161</f>
        <v>0</v>
      </c>
      <c r="S79" s="130">
        <f>+Actuals!P161</f>
        <v>0</v>
      </c>
      <c r="T79" s="129">
        <f>+Actuals!Q161</f>
        <v>0</v>
      </c>
      <c r="U79" s="130">
        <f>+Actuals!R161</f>
        <v>0</v>
      </c>
      <c r="V79" s="129">
        <f>+Actuals!S201</f>
        <v>0</v>
      </c>
      <c r="W79" s="130">
        <f>+Actuals!T201</f>
        <v>0</v>
      </c>
      <c r="X79" s="129">
        <f>+Actuals!U201</f>
        <v>0</v>
      </c>
      <c r="Y79" s="130">
        <f>+Actuals!V201</f>
        <v>0</v>
      </c>
      <c r="Z79" s="129">
        <f>+Actuals!W201</f>
        <v>0</v>
      </c>
      <c r="AA79" s="130">
        <f>+Actuals!X201</f>
        <v>0</v>
      </c>
      <c r="AB79" s="129">
        <f>+Actuals!Y201</f>
        <v>0</v>
      </c>
      <c r="AC79" s="130">
        <f>+Actuals!Z201</f>
        <v>0</v>
      </c>
      <c r="AD79" s="129">
        <f>+Actuals!AA161</f>
        <v>0</v>
      </c>
      <c r="AE79" s="130">
        <f>+Actuals!AB161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9">
        <f>+Actuals!E162</f>
        <v>0</v>
      </c>
      <c r="I80" s="130">
        <f>+Actuals!F162</f>
        <v>0</v>
      </c>
      <c r="J80" s="129">
        <f>+Actuals!G162</f>
        <v>0</v>
      </c>
      <c r="K80" s="130">
        <f>+Actuals!H162</f>
        <v>0</v>
      </c>
      <c r="L80" s="129">
        <f>+Actuals!I162</f>
        <v>0</v>
      </c>
      <c r="M80" s="130">
        <f>+Actuals!J162</f>
        <v>0</v>
      </c>
      <c r="N80" s="129">
        <f>+Actuals!K162</f>
        <v>0</v>
      </c>
      <c r="O80" s="130">
        <f>+Actuals!L162</f>
        <v>0</v>
      </c>
      <c r="P80" s="129">
        <f>+Actuals!M162</f>
        <v>0</v>
      </c>
      <c r="Q80" s="130">
        <f>+Actuals!N162</f>
        <v>0</v>
      </c>
      <c r="R80" s="129">
        <f>+Actuals!O162</f>
        <v>0</v>
      </c>
      <c r="S80" s="130">
        <f>+Actuals!P162</f>
        <v>0</v>
      </c>
      <c r="T80" s="129">
        <f>+Actuals!Q162</f>
        <v>0</v>
      </c>
      <c r="U80" s="130">
        <f>+Actuals!R162</f>
        <v>0</v>
      </c>
      <c r="V80" s="129">
        <f>+Actuals!S202</f>
        <v>0</v>
      </c>
      <c r="W80" s="130">
        <f>+Actuals!T202</f>
        <v>0</v>
      </c>
      <c r="X80" s="129">
        <f>+Actuals!U202</f>
        <v>0</v>
      </c>
      <c r="Y80" s="130">
        <f>+Actuals!V202</f>
        <v>0</v>
      </c>
      <c r="Z80" s="129">
        <f>+Actuals!W202</f>
        <v>0</v>
      </c>
      <c r="AA80" s="130">
        <f>+Actuals!X202</f>
        <v>0</v>
      </c>
      <c r="AB80" s="129">
        <f>+Actuals!Y202</f>
        <v>0</v>
      </c>
      <c r="AC80" s="130">
        <f>+Actuals!Z202</f>
        <v>0</v>
      </c>
      <c r="AD80" s="129">
        <f>+Actuals!AA162</f>
        <v>0</v>
      </c>
      <c r="AE80" s="130">
        <f>+Actuals!AB162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9">
        <f>+Actuals!E163</f>
        <v>0</v>
      </c>
      <c r="I81" s="159">
        <f>+Actuals!F163</f>
        <v>0</v>
      </c>
      <c r="J81" s="129">
        <f>+Actuals!G163</f>
        <v>0</v>
      </c>
      <c r="K81" s="130">
        <f>+Actuals!H163</f>
        <v>0</v>
      </c>
      <c r="L81" s="129">
        <f>+Actuals!I163</f>
        <v>0</v>
      </c>
      <c r="M81" s="130">
        <f>+Actuals!J163</f>
        <v>0</v>
      </c>
      <c r="N81" s="129">
        <f>+Actuals!K163</f>
        <v>0</v>
      </c>
      <c r="O81" s="130">
        <f>+Actuals!L163</f>
        <v>0</v>
      </c>
      <c r="P81" s="129">
        <f>+Actuals!M163</f>
        <v>0</v>
      </c>
      <c r="Q81" s="130">
        <f>+Actuals!N163</f>
        <v>0</v>
      </c>
      <c r="R81" s="129">
        <f>+Actuals!O163</f>
        <v>0</v>
      </c>
      <c r="S81" s="130">
        <f>+Actuals!P163</f>
        <v>0</v>
      </c>
      <c r="T81" s="129">
        <f>+Actuals!Q163</f>
        <v>0</v>
      </c>
      <c r="U81" s="130">
        <f>+Actuals!R163</f>
        <v>0</v>
      </c>
      <c r="V81" s="129">
        <f>+Actuals!S203</f>
        <v>0</v>
      </c>
      <c r="W81" s="130">
        <f>+Actuals!T203</f>
        <v>0</v>
      </c>
      <c r="X81" s="129">
        <f>+Actuals!U203</f>
        <v>0</v>
      </c>
      <c r="Y81" s="130">
        <f>+Actuals!V203</f>
        <v>0</v>
      </c>
      <c r="Z81" s="129">
        <f>+Actuals!W203</f>
        <v>0</v>
      </c>
      <c r="AA81" s="130">
        <f>+Actuals!X203</f>
        <v>0</v>
      </c>
      <c r="AB81" s="129">
        <f>+Actuals!Y203</f>
        <v>0</v>
      </c>
      <c r="AC81" s="130">
        <f>+Actuals!Z203</f>
        <v>0</v>
      </c>
      <c r="AD81" s="129">
        <f>+Actuals!AA163</f>
        <v>0</v>
      </c>
      <c r="AE81" s="130">
        <f>+Actuals!AB163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1938677.6231999807</v>
      </c>
      <c r="F82" s="92">
        <f>F16+F24+F29+F36+F43+F45+F47+F49</f>
        <v>0</v>
      </c>
      <c r="G82" s="93">
        <f>SUM(G72:G81)+G16+G24+G29+G36+G43+G45+G47+G49+G51+G56+G61+G66</f>
        <v>-5782985.9699999997</v>
      </c>
      <c r="H82" s="92">
        <f>H16+H24+H29+H36+H43+H45+H47+H49</f>
        <v>0</v>
      </c>
      <c r="I82" s="160">
        <f>SUM(I72:I81)+I16+I24+I29+I36+I43+I45+I47+I49+I51+I56+I61+I66</f>
        <v>5017251.2697999589</v>
      </c>
      <c r="J82" s="92">
        <f>J16+J24+J29+J36+J43+J45+J47+J49</f>
        <v>0</v>
      </c>
      <c r="K82" s="160">
        <f>SUM(K72:K81)+K16+K24+K29+K36+K43+K45+K47+K49+K51+K56+K61+K66</f>
        <v>1262057.3279999997</v>
      </c>
      <c r="L82" s="92">
        <f>L16+L24+L29+L36+L43+L45+L47+L49</f>
        <v>0</v>
      </c>
      <c r="M82" s="93">
        <f>SUM(M72:M81)+M16+M24+M29+M36+M43+M45+M47+M49+M51+M56+M61+M66</f>
        <v>733878.40399999998</v>
      </c>
      <c r="N82" s="92">
        <f>N16+N24+N29+N36+N43+N45+N47+N49</f>
        <v>0</v>
      </c>
      <c r="O82" s="93">
        <f>SUM(O72:O81)+O16+O24+O29+O36+O43+O45+O47+O49+O51+O56+O61+O66</f>
        <v>235317.87919999997</v>
      </c>
      <c r="P82" s="92">
        <f>P16+P24+P29+P36+P43+P45+P47+P49</f>
        <v>0</v>
      </c>
      <c r="Q82" s="93">
        <f>SUM(Q72:Q81)+Q16+Q24+Q29+Q36+Q43+Q45+Q47+Q49+Q51+Q56+Q61+Q66</f>
        <v>-43034.240399999515</v>
      </c>
      <c r="R82" s="92">
        <f>R16+R24+R29+R36+R43+R45+R47+R49</f>
        <v>0</v>
      </c>
      <c r="S82" s="93">
        <f>SUM(S72:S81)+S16+S24+S29+S36+S43+S45+S47+S49+S51+S56+S61+S66</f>
        <v>434414.89519999962</v>
      </c>
      <c r="T82" s="92">
        <f>T16+T24+T29+T36+T43+T45+T47+T49</f>
        <v>0</v>
      </c>
      <c r="U82" s="93">
        <f>SUM(U72:U81)+U16+U24+U29+U36+U43+U45+U47+U49+U51+U56+U61+U66</f>
        <v>2744.7431999999872</v>
      </c>
      <c r="V82" s="92">
        <f>V16+V24+V29+V36+V43+V45+V47+V49</f>
        <v>0</v>
      </c>
      <c r="W82" s="93">
        <f>SUM(W72:W81)+W16+W24+W29+W36+W43+W45+W47+W49+W51+W56+W61+W66</f>
        <v>251626.84320000029</v>
      </c>
      <c r="X82" s="92">
        <f>X16+X24+X29+X36+X43+X45+X47+X49</f>
        <v>0</v>
      </c>
      <c r="Y82" s="93">
        <f>SUM(Y72:Y81)+Y16+Y24+Y29+Y36+Y43+Y45+Y47+Y49+Y51+Y56+Y61+Y66</f>
        <v>-5146.4104000000061</v>
      </c>
      <c r="Z82" s="92">
        <f>Z16+Z24+Z29+Z36+Z43+Z45+Z47+Z49</f>
        <v>0</v>
      </c>
      <c r="AA82" s="93">
        <f>SUM(AA72:AA81)+AA16+AA24+AA29+AA36+AA43+AA45+AA47+AA49+AA51+AA56+AA61+AA66</f>
        <v>-203357.20860000016</v>
      </c>
      <c r="AB82" s="92">
        <f>AB16+AB24+AB29+AB36+AB43+AB45+AB47+AB49</f>
        <v>0</v>
      </c>
      <c r="AC82" s="93">
        <f>SUM(AC72:AC81)+AC16+AC24+AC29+AC36+AC43+AC45+AC47+AC49+AC51+AC56+AC61+AC66</f>
        <v>35910.090000000004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S48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78734067</v>
      </c>
      <c r="E11" s="38">
        <f>SUM(G11,I11,K11,M11,O11,Q11,S11,U11,W11,Y11,AA11,AC11,AE11)</f>
        <v>182217046.87</v>
      </c>
      <c r="F11" s="60">
        <f>'TIE-OUT'!H11+RECLASS!H11</f>
        <v>0</v>
      </c>
      <c r="G11" s="38">
        <f>'TIE-OUT'!I11+RECLASS!I11</f>
        <v>-4328448</v>
      </c>
      <c r="H11" s="129">
        <f>+Actuals!E164</f>
        <v>78678516</v>
      </c>
      <c r="I11" s="130">
        <f>+Actuals!F164</f>
        <v>180535535.84999999</v>
      </c>
      <c r="J11" s="129">
        <f>+Actuals!G164</f>
        <v>66948</v>
      </c>
      <c r="K11" s="149">
        <f>+Actuals!H164</f>
        <v>20529677.590000004</v>
      </c>
      <c r="L11" s="129">
        <f>+Actuals!I164</f>
        <v>-722</v>
      </c>
      <c r="M11" s="130">
        <f>+Actuals!J164</f>
        <v>126813.9</v>
      </c>
      <c r="N11" s="129">
        <f>+Actuals!K164</f>
        <v>0</v>
      </c>
      <c r="O11" s="130">
        <f>+Actuals!L164</f>
        <v>0</v>
      </c>
      <c r="P11" s="129">
        <f>+Actuals!M164</f>
        <v>-10675</v>
      </c>
      <c r="Q11" s="130">
        <f>+Actuals!N164</f>
        <v>-14646532.470000001</v>
      </c>
      <c r="R11" s="129">
        <f>+Actuals!O164</f>
        <v>0</v>
      </c>
      <c r="S11" s="130">
        <f>+Actuals!P164</f>
        <v>0</v>
      </c>
      <c r="T11" s="129">
        <f>+Actuals!Q164</f>
        <v>0</v>
      </c>
      <c r="U11" s="130">
        <f>+Actuals!R164</f>
        <v>0</v>
      </c>
      <c r="V11" s="129">
        <f>+Actuals!S244</f>
        <v>0</v>
      </c>
      <c r="W11" s="130">
        <f>+Actuals!T244</f>
        <v>0</v>
      </c>
      <c r="X11" s="129">
        <f>+Actuals!U244</f>
        <v>0</v>
      </c>
      <c r="Y11" s="130">
        <f>+Actuals!V244</f>
        <v>0</v>
      </c>
      <c r="Z11" s="129">
        <f>+Actuals!W244</f>
        <v>0</v>
      </c>
      <c r="AA11" s="130">
        <f>+Actuals!X244</f>
        <v>0</v>
      </c>
      <c r="AB11" s="129">
        <f>+Actuals!Y244</f>
        <v>0</v>
      </c>
      <c r="AC11" s="130">
        <f>+Actuals!Z244</f>
        <v>0</v>
      </c>
      <c r="AD11" s="129">
        <f>+Actuals!AA164</f>
        <v>0</v>
      </c>
      <c r="AE11" s="130">
        <f>+Actuals!AB164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-1505387.0199999998</v>
      </c>
      <c r="F12" s="60">
        <f>'TIE-OUT'!H12+RECLASS!H12</f>
        <v>0</v>
      </c>
      <c r="G12" s="38">
        <f>'TIE-OUT'!I12+RECLASS!I12</f>
        <v>-1505387.0199999998</v>
      </c>
      <c r="H12" s="129">
        <f>+Actuals!E165</f>
        <v>0</v>
      </c>
      <c r="I12" s="130">
        <f>+Actuals!F165</f>
        <v>0</v>
      </c>
      <c r="J12" s="129">
        <f>+Actuals!G165</f>
        <v>0</v>
      </c>
      <c r="K12" s="162">
        <f>+Actuals!H165</f>
        <v>0</v>
      </c>
      <c r="L12" s="129">
        <f>+Actuals!I165</f>
        <v>0</v>
      </c>
      <c r="M12" s="130">
        <f>+Actuals!J165</f>
        <v>0</v>
      </c>
      <c r="N12" s="129">
        <f>+Actuals!K165</f>
        <v>0</v>
      </c>
      <c r="O12" s="130">
        <f>+Actuals!L165</f>
        <v>0</v>
      </c>
      <c r="P12" s="129">
        <f>+Actuals!M165</f>
        <v>0</v>
      </c>
      <c r="Q12" s="130">
        <f>+Actuals!N165</f>
        <v>0</v>
      </c>
      <c r="R12" s="129">
        <f>+Actuals!O165</f>
        <v>0</v>
      </c>
      <c r="S12" s="130">
        <f>+Actuals!P165</f>
        <v>0</v>
      </c>
      <c r="T12" s="129">
        <f>+Actuals!Q165</f>
        <v>0</v>
      </c>
      <c r="U12" s="130">
        <f>+Actuals!R165</f>
        <v>0</v>
      </c>
      <c r="V12" s="129">
        <f>+Actuals!S245</f>
        <v>0</v>
      </c>
      <c r="W12" s="130">
        <f>+Actuals!T245</f>
        <v>0</v>
      </c>
      <c r="X12" s="129">
        <f>+Actuals!U245</f>
        <v>0</v>
      </c>
      <c r="Y12" s="130">
        <f>+Actuals!V245</f>
        <v>0</v>
      </c>
      <c r="Z12" s="129">
        <f>+Actuals!W245</f>
        <v>0</v>
      </c>
      <c r="AA12" s="130">
        <f>+Actuals!X245</f>
        <v>0</v>
      </c>
      <c r="AB12" s="129">
        <f>+Actuals!Y245</f>
        <v>0</v>
      </c>
      <c r="AC12" s="130">
        <f>+Actuals!Z245</f>
        <v>0</v>
      </c>
      <c r="AD12" s="129">
        <f>+Actuals!AA165</f>
        <v>0</v>
      </c>
      <c r="AE12" s="130">
        <f>+Actuals!AB165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37219120</v>
      </c>
      <c r="E13" s="38">
        <f t="shared" si="0"/>
        <v>85375528</v>
      </c>
      <c r="F13" s="60">
        <f>'TIE-OUT'!H13+RECLASS!H13</f>
        <v>0</v>
      </c>
      <c r="G13" s="38">
        <f>'TIE-OUT'!I13+RECLASS!I13</f>
        <v>0</v>
      </c>
      <c r="H13" s="129">
        <f>+Actuals!E166</f>
        <v>37219120</v>
      </c>
      <c r="I13" s="130">
        <f>+Actuals!F166</f>
        <v>85375528</v>
      </c>
      <c r="J13" s="129">
        <f>+Actuals!G166</f>
        <v>0</v>
      </c>
      <c r="K13" s="149">
        <f>+Actuals!H166</f>
        <v>0</v>
      </c>
      <c r="L13" s="129">
        <f>+Actuals!I166</f>
        <v>-146210</v>
      </c>
      <c r="M13" s="130">
        <f>+Actuals!J166</f>
        <v>-326153</v>
      </c>
      <c r="N13" s="129">
        <f>+Actuals!K166</f>
        <v>0</v>
      </c>
      <c r="O13" s="130">
        <f>+Actuals!L166</f>
        <v>0</v>
      </c>
      <c r="P13" s="129">
        <f>+Actuals!M166</f>
        <v>0</v>
      </c>
      <c r="Q13" s="130">
        <f>+Actuals!N166</f>
        <v>0</v>
      </c>
      <c r="R13" s="129">
        <f>+Actuals!O166</f>
        <v>465278</v>
      </c>
      <c r="S13" s="130">
        <f>+Actuals!P166</f>
        <v>1052380</v>
      </c>
      <c r="T13" s="129">
        <f>+Actuals!Q166</f>
        <v>-319068</v>
      </c>
      <c r="U13" s="130">
        <f>+Actuals!R166</f>
        <v>-726227</v>
      </c>
      <c r="V13" s="129">
        <f>+Actuals!S246</f>
        <v>319068</v>
      </c>
      <c r="W13" s="130">
        <f>+Actuals!T246</f>
        <v>726227</v>
      </c>
      <c r="X13" s="129">
        <f>+Actuals!U246</f>
        <v>0</v>
      </c>
      <c r="Y13" s="130">
        <f>+Actuals!V246</f>
        <v>0</v>
      </c>
      <c r="Z13" s="129">
        <f>+Actuals!W246</f>
        <v>-319068</v>
      </c>
      <c r="AA13" s="130">
        <f>+Actuals!X246</f>
        <v>-726227</v>
      </c>
      <c r="AB13" s="129">
        <f>+Actuals!Y246</f>
        <v>0</v>
      </c>
      <c r="AC13" s="130">
        <f>+Actuals!Z246</f>
        <v>0</v>
      </c>
      <c r="AD13" s="129">
        <f>+Actuals!AA166</f>
        <v>0</v>
      </c>
      <c r="AE13" s="130">
        <f>+Actuals!AB166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9">
        <f>+Actuals!E167</f>
        <v>0</v>
      </c>
      <c r="I14" s="130">
        <f>+Actuals!F167</f>
        <v>0</v>
      </c>
      <c r="J14" s="129">
        <f>+Actuals!G167</f>
        <v>0</v>
      </c>
      <c r="K14" s="149">
        <f>+Actuals!H167</f>
        <v>0</v>
      </c>
      <c r="L14" s="129">
        <f>+Actuals!I167</f>
        <v>0</v>
      </c>
      <c r="M14" s="130">
        <f>+Actuals!J167</f>
        <v>0</v>
      </c>
      <c r="N14" s="129">
        <f>+Actuals!K167</f>
        <v>0</v>
      </c>
      <c r="O14" s="130">
        <f>+Actuals!L167</f>
        <v>0</v>
      </c>
      <c r="P14" s="129">
        <f>+Actuals!M167</f>
        <v>0</v>
      </c>
      <c r="Q14" s="130">
        <f>+Actuals!N167</f>
        <v>0</v>
      </c>
      <c r="R14" s="129">
        <f>+Actuals!O167</f>
        <v>0</v>
      </c>
      <c r="S14" s="130">
        <f>+Actuals!P167</f>
        <v>0</v>
      </c>
      <c r="T14" s="129">
        <f>+Actuals!Q167</f>
        <v>0</v>
      </c>
      <c r="U14" s="130">
        <f>+Actuals!R167</f>
        <v>0</v>
      </c>
      <c r="V14" s="129">
        <f>+Actuals!S247</f>
        <v>0</v>
      </c>
      <c r="W14" s="130">
        <f>+Actuals!T247</f>
        <v>0</v>
      </c>
      <c r="X14" s="129">
        <f>+Actuals!U247</f>
        <v>0</v>
      </c>
      <c r="Y14" s="130">
        <f>+Actuals!V247</f>
        <v>0</v>
      </c>
      <c r="Z14" s="129">
        <f>+Actuals!W247</f>
        <v>0</v>
      </c>
      <c r="AA14" s="130">
        <f>+Actuals!X247</f>
        <v>0</v>
      </c>
      <c r="AB14" s="129">
        <f>+Actuals!Y247</f>
        <v>0</v>
      </c>
      <c r="AC14" s="130">
        <f>+Actuals!Z247</f>
        <v>0</v>
      </c>
      <c r="AD14" s="129">
        <f>+Actuals!AA167</f>
        <v>0</v>
      </c>
      <c r="AE14" s="130">
        <f>+Actuals!AB167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15000</v>
      </c>
      <c r="F15" s="81">
        <f>'TIE-OUT'!H15+RECLASS!H15</f>
        <v>0</v>
      </c>
      <c r="G15" s="82">
        <f>'TIE-OUT'!I15+RECLASS!I15</f>
        <v>15000</v>
      </c>
      <c r="H15" s="129">
        <f>+Actuals!E168</f>
        <v>0</v>
      </c>
      <c r="I15" s="130">
        <f>+Actuals!F168</f>
        <v>0</v>
      </c>
      <c r="J15" s="129">
        <f>+Actuals!G168</f>
        <v>0</v>
      </c>
      <c r="K15" s="149">
        <f>+Actuals!H168</f>
        <v>0</v>
      </c>
      <c r="L15" s="129">
        <f>+Actuals!I168</f>
        <v>0</v>
      </c>
      <c r="M15" s="130">
        <f>+Actuals!J168</f>
        <v>0</v>
      </c>
      <c r="N15" s="129">
        <f>+Actuals!K168</f>
        <v>0</v>
      </c>
      <c r="O15" s="130">
        <f>+Actuals!L168</f>
        <v>0</v>
      </c>
      <c r="P15" s="129">
        <f>+Actuals!M168</f>
        <v>0</v>
      </c>
      <c r="Q15" s="130">
        <f>+Actuals!N168</f>
        <v>0</v>
      </c>
      <c r="R15" s="129">
        <f>+Actuals!O168</f>
        <v>0</v>
      </c>
      <c r="S15" s="130">
        <f>+Actuals!P168</f>
        <v>0</v>
      </c>
      <c r="T15" s="129">
        <f>+Actuals!Q168</f>
        <v>0</v>
      </c>
      <c r="U15" s="130">
        <f>+Actuals!R168</f>
        <v>0</v>
      </c>
      <c r="V15" s="129">
        <f>+Actuals!S248</f>
        <v>0</v>
      </c>
      <c r="W15" s="130">
        <f>+Actuals!T248</f>
        <v>0</v>
      </c>
      <c r="X15" s="129">
        <f>+Actuals!U248</f>
        <v>0</v>
      </c>
      <c r="Y15" s="130">
        <f>+Actuals!V248</f>
        <v>0</v>
      </c>
      <c r="Z15" s="129">
        <f>+Actuals!W248</f>
        <v>0</v>
      </c>
      <c r="AA15" s="130">
        <f>+Actuals!X248</f>
        <v>0</v>
      </c>
      <c r="AB15" s="129">
        <f>+Actuals!Y248</f>
        <v>0</v>
      </c>
      <c r="AC15" s="130">
        <f>+Actuals!Z248</f>
        <v>0</v>
      </c>
      <c r="AD15" s="129">
        <f>+Actuals!AA168</f>
        <v>0</v>
      </c>
      <c r="AE15" s="130">
        <f>+Actuals!AB168</f>
        <v>0</v>
      </c>
    </row>
    <row r="16" spans="1:31" x14ac:dyDescent="0.2">
      <c r="A16" s="9"/>
      <c r="B16" s="7" t="s">
        <v>33</v>
      </c>
      <c r="C16" s="6"/>
      <c r="D16" s="61">
        <f t="shared" ref="D16:AE16" si="1">SUM(D11:D15)</f>
        <v>115953187</v>
      </c>
      <c r="E16" s="39">
        <f t="shared" si="1"/>
        <v>266102187.84999999</v>
      </c>
      <c r="F16" s="61">
        <f t="shared" si="1"/>
        <v>0</v>
      </c>
      <c r="G16" s="39">
        <f t="shared" si="1"/>
        <v>-5818835.0199999996</v>
      </c>
      <c r="H16" s="61">
        <f t="shared" si="1"/>
        <v>115897636</v>
      </c>
      <c r="I16" s="39">
        <f t="shared" si="1"/>
        <v>265911063.84999999</v>
      </c>
      <c r="J16" s="61">
        <f t="shared" si="1"/>
        <v>66948</v>
      </c>
      <c r="K16" s="150">
        <f t="shared" si="1"/>
        <v>20529677.590000004</v>
      </c>
      <c r="L16" s="61">
        <f t="shared" si="1"/>
        <v>-146932</v>
      </c>
      <c r="M16" s="39">
        <f t="shared" si="1"/>
        <v>-199339.1</v>
      </c>
      <c r="N16" s="61">
        <f t="shared" si="1"/>
        <v>0</v>
      </c>
      <c r="O16" s="39">
        <f t="shared" si="1"/>
        <v>0</v>
      </c>
      <c r="P16" s="61">
        <f t="shared" si="1"/>
        <v>-10675</v>
      </c>
      <c r="Q16" s="39">
        <f t="shared" si="1"/>
        <v>-14646532.470000001</v>
      </c>
      <c r="R16" s="61">
        <f t="shared" si="1"/>
        <v>465278</v>
      </c>
      <c r="S16" s="39">
        <f t="shared" si="1"/>
        <v>1052380</v>
      </c>
      <c r="T16" s="61">
        <f t="shared" si="1"/>
        <v>-319068</v>
      </c>
      <c r="U16" s="39">
        <f t="shared" si="1"/>
        <v>-726227</v>
      </c>
      <c r="V16" s="61">
        <f t="shared" si="1"/>
        <v>319068</v>
      </c>
      <c r="W16" s="39">
        <f t="shared" si="1"/>
        <v>726227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-319068</v>
      </c>
      <c r="AA16" s="39">
        <f t="shared" si="2"/>
        <v>-726227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-83004710</v>
      </c>
      <c r="E19" s="38">
        <f t="shared" si="3"/>
        <v>-188752378.08999997</v>
      </c>
      <c r="F19" s="64">
        <f>'TIE-OUT'!H19+RECLASS!H19</f>
        <v>0</v>
      </c>
      <c r="G19" s="68">
        <f>'TIE-OUT'!I19+RECLASS!I19</f>
        <v>0</v>
      </c>
      <c r="H19" s="129">
        <f>+Actuals!E169</f>
        <v>-90815512</v>
      </c>
      <c r="I19" s="130">
        <f>+Actuals!F169</f>
        <v>-201449130.89999998</v>
      </c>
      <c r="J19" s="129">
        <f>+Actuals!G169</f>
        <v>162017</v>
      </c>
      <c r="K19" s="149">
        <f>+Actuals!H169</f>
        <v>-2413312.63</v>
      </c>
      <c r="L19" s="129">
        <f>+Actuals!I169</f>
        <v>1385179</v>
      </c>
      <c r="M19" s="130">
        <f>+Actuals!J169</f>
        <v>3050908.38</v>
      </c>
      <c r="N19" s="129">
        <f>+Actuals!K169</f>
        <v>-7794</v>
      </c>
      <c r="O19" s="130">
        <f>+Actuals!L169</f>
        <v>-150009.76999999999</v>
      </c>
      <c r="P19" s="129">
        <f>+Actuals!M169</f>
        <v>6272998</v>
      </c>
      <c r="Q19" s="130">
        <f>+Actuals!N169</f>
        <v>12212774.470000001</v>
      </c>
      <c r="R19" s="129">
        <f>+Actuals!O169</f>
        <v>0</v>
      </c>
      <c r="S19" s="130">
        <f>+Actuals!P169</f>
        <v>0</v>
      </c>
      <c r="T19" s="129">
        <f>+Actuals!Q169</f>
        <v>0</v>
      </c>
      <c r="U19" s="130">
        <f>+Actuals!R169</f>
        <v>0</v>
      </c>
      <c r="V19" s="129">
        <f>+Actuals!S249</f>
        <v>-1598</v>
      </c>
      <c r="W19" s="130">
        <f>+Actuals!T249</f>
        <v>-3607.64</v>
      </c>
      <c r="X19" s="129">
        <f>+Actuals!U249</f>
        <v>0</v>
      </c>
      <c r="Y19" s="130">
        <f>+Actuals!V249</f>
        <v>0</v>
      </c>
      <c r="Z19" s="129">
        <f>+Actuals!W249</f>
        <v>0</v>
      </c>
      <c r="AA19" s="130">
        <f>+Actuals!X249</f>
        <v>0</v>
      </c>
      <c r="AB19" s="129">
        <f>+Actuals!Y249</f>
        <v>0</v>
      </c>
      <c r="AC19" s="130">
        <f>+Actuals!Z249</f>
        <v>0</v>
      </c>
      <c r="AD19" s="129">
        <f>+Actuals!AA169</f>
        <v>0</v>
      </c>
      <c r="AE19" s="130">
        <f>+Actuals!AB169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-385025.32</v>
      </c>
      <c r="F20" s="60">
        <f>'TIE-OUT'!H20+RECLASS!H20</f>
        <v>0</v>
      </c>
      <c r="G20" s="38">
        <f>'TIE-OUT'!I20+RECLASS!I20</f>
        <v>-385025.32</v>
      </c>
      <c r="H20" s="129">
        <f>+Actuals!E170</f>
        <v>0</v>
      </c>
      <c r="I20" s="130">
        <f>+Actuals!F170</f>
        <v>0</v>
      </c>
      <c r="J20" s="129">
        <f>+Actuals!G170</f>
        <v>0</v>
      </c>
      <c r="K20" s="149">
        <f>+Actuals!H170</f>
        <v>0</v>
      </c>
      <c r="L20" s="129">
        <f>+Actuals!I170</f>
        <v>0</v>
      </c>
      <c r="M20" s="130">
        <f>+Actuals!J170</f>
        <v>0</v>
      </c>
      <c r="N20" s="129">
        <f>+Actuals!K170</f>
        <v>0</v>
      </c>
      <c r="O20" s="130">
        <f>+Actuals!L170</f>
        <v>0</v>
      </c>
      <c r="P20" s="129">
        <f>+Actuals!M170</f>
        <v>0</v>
      </c>
      <c r="Q20" s="130">
        <f>+Actuals!N170</f>
        <v>0</v>
      </c>
      <c r="R20" s="129">
        <f>+Actuals!O170</f>
        <v>0</v>
      </c>
      <c r="S20" s="130">
        <f>+Actuals!P170</f>
        <v>0</v>
      </c>
      <c r="T20" s="129">
        <f>+Actuals!Q170</f>
        <v>0</v>
      </c>
      <c r="U20" s="130">
        <f>+Actuals!R170</f>
        <v>0</v>
      </c>
      <c r="V20" s="129">
        <f>+Actuals!S250</f>
        <v>0</v>
      </c>
      <c r="W20" s="159">
        <v>0</v>
      </c>
      <c r="X20" s="129">
        <f>+Actuals!U250</f>
        <v>0</v>
      </c>
      <c r="Y20" s="130">
        <v>0</v>
      </c>
      <c r="Z20" s="129">
        <f>+Actuals!W250</f>
        <v>0</v>
      </c>
      <c r="AA20" s="130">
        <v>0</v>
      </c>
      <c r="AB20" s="129">
        <f>+Actuals!Y250</f>
        <v>0</v>
      </c>
      <c r="AC20" s="130">
        <v>0</v>
      </c>
      <c r="AD20" s="129">
        <f>+Actuals!AA170</f>
        <v>0</v>
      </c>
      <c r="AE20" s="130">
        <f>+Actuals!AB170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-32629494</v>
      </c>
      <c r="E21" s="38">
        <f t="shared" si="3"/>
        <v>-75619749</v>
      </c>
      <c r="F21" s="60">
        <f>'TIE-OUT'!H21+RECLASS!H21</f>
        <v>0</v>
      </c>
      <c r="G21" s="38">
        <f>'TIE-OUT'!I21+RECLASS!I21</f>
        <v>0</v>
      </c>
      <c r="H21" s="129">
        <f>+Actuals!E171</f>
        <v>-32629494</v>
      </c>
      <c r="I21" s="130">
        <f>+Actuals!F171</f>
        <v>-75619749</v>
      </c>
      <c r="J21" s="129">
        <f>+Actuals!G171</f>
        <v>0</v>
      </c>
      <c r="K21" s="149">
        <f>+Actuals!H171</f>
        <v>0</v>
      </c>
      <c r="L21" s="129">
        <f>+Actuals!I171</f>
        <v>181781</v>
      </c>
      <c r="M21" s="130">
        <f>+Actuals!J171</f>
        <v>402259</v>
      </c>
      <c r="N21" s="129">
        <f>+Actuals!K171</f>
        <v>0</v>
      </c>
      <c r="O21" s="130">
        <f>+Actuals!L171</f>
        <v>0</v>
      </c>
      <c r="P21" s="129">
        <f>+Actuals!M171</f>
        <v>0</v>
      </c>
      <c r="Q21" s="130">
        <f>+Actuals!N171</f>
        <v>0</v>
      </c>
      <c r="R21" s="129">
        <f>+Actuals!O171</f>
        <v>-465278</v>
      </c>
      <c r="S21" s="130">
        <f>+Actuals!P171</f>
        <v>-1052380</v>
      </c>
      <c r="T21" s="129">
        <f>+Actuals!Q171</f>
        <v>283497</v>
      </c>
      <c r="U21" s="130">
        <f>+Actuals!R171</f>
        <v>650121</v>
      </c>
      <c r="V21" s="129">
        <f>+Actuals!S251</f>
        <v>-283497</v>
      </c>
      <c r="W21" s="130">
        <f>+Actuals!T251</f>
        <v>-650121</v>
      </c>
      <c r="X21" s="129">
        <f>+Actuals!U251</f>
        <v>0</v>
      </c>
      <c r="Y21" s="130">
        <f>+Actuals!V251</f>
        <v>0</v>
      </c>
      <c r="Z21" s="129">
        <f>+Actuals!W251</f>
        <v>283497</v>
      </c>
      <c r="AA21" s="130">
        <f>+Actuals!X251</f>
        <v>650121</v>
      </c>
      <c r="AB21" s="129">
        <f>+Actuals!Y251</f>
        <v>0</v>
      </c>
      <c r="AC21" s="130">
        <f>+Actuals!Z251</f>
        <v>0</v>
      </c>
      <c r="AD21" s="129">
        <f>+Actuals!AA171</f>
        <v>0</v>
      </c>
      <c r="AE21" s="130">
        <f>+Actuals!AB171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9">
        <f>+Actuals!E172</f>
        <v>0</v>
      </c>
      <c r="I22" s="130">
        <f>+Actuals!F172</f>
        <v>0</v>
      </c>
      <c r="J22" s="129">
        <f>+Actuals!G172</f>
        <v>0</v>
      </c>
      <c r="K22" s="149">
        <f>+Actuals!H172</f>
        <v>0</v>
      </c>
      <c r="L22" s="129">
        <f>+Actuals!I172</f>
        <v>0</v>
      </c>
      <c r="M22" s="130">
        <f>+Actuals!J172</f>
        <v>0</v>
      </c>
      <c r="N22" s="129">
        <f>+Actuals!K172</f>
        <v>0</v>
      </c>
      <c r="O22" s="130">
        <f>+Actuals!L172</f>
        <v>0</v>
      </c>
      <c r="P22" s="129">
        <f>+Actuals!M172</f>
        <v>0</v>
      </c>
      <c r="Q22" s="130">
        <f>+Actuals!N172</f>
        <v>0</v>
      </c>
      <c r="R22" s="129">
        <f>+Actuals!O172</f>
        <v>0</v>
      </c>
      <c r="S22" s="130">
        <f>+Actuals!P172</f>
        <v>0</v>
      </c>
      <c r="T22" s="129">
        <f>+Actuals!Q172</f>
        <v>0</v>
      </c>
      <c r="U22" s="130">
        <f>+Actuals!R172</f>
        <v>0</v>
      </c>
      <c r="V22" s="129">
        <f>+Actuals!S252</f>
        <v>0</v>
      </c>
      <c r="W22" s="130">
        <f>+Actuals!T252</f>
        <v>0</v>
      </c>
      <c r="X22" s="129">
        <f>+Actuals!U252</f>
        <v>0</v>
      </c>
      <c r="Y22" s="130">
        <f>+Actuals!V252</f>
        <v>0</v>
      </c>
      <c r="Z22" s="129">
        <f>+Actuals!W252</f>
        <v>0</v>
      </c>
      <c r="AA22" s="130">
        <f>+Actuals!X252</f>
        <v>0</v>
      </c>
      <c r="AB22" s="129">
        <f>+Actuals!Y252</f>
        <v>0</v>
      </c>
      <c r="AC22" s="130">
        <f>+Actuals!Z252</f>
        <v>0</v>
      </c>
      <c r="AD22" s="129">
        <f>+Actuals!AA172</f>
        <v>0</v>
      </c>
      <c r="AE22" s="130">
        <f>+Actuals!AB172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107508</v>
      </c>
      <c r="E23" s="38">
        <f t="shared" si="3"/>
        <v>239690.27099999998</v>
      </c>
      <c r="F23" s="81">
        <f>'TIE-OUT'!H23+RECLASS!H23</f>
        <v>0</v>
      </c>
      <c r="G23" s="82">
        <f>'TIE-OUT'!I23+RECLASS!I23</f>
        <v>0</v>
      </c>
      <c r="H23" s="129">
        <f>+Actuals!E173</f>
        <v>136325</v>
      </c>
      <c r="I23" s="130">
        <f>+Actuals!F173</f>
        <v>303868.43</v>
      </c>
      <c r="J23" s="129">
        <f>+Actuals!G173</f>
        <v>-23362</v>
      </c>
      <c r="K23" s="149">
        <f>+Actuals!H173</f>
        <v>-52019.326000000001</v>
      </c>
      <c r="L23" s="129">
        <f>+Actuals!I173</f>
        <v>-5455</v>
      </c>
      <c r="M23" s="130">
        <f>+Actuals!J173</f>
        <v>-12158.833000000001</v>
      </c>
      <c r="N23" s="129">
        <f>+Actuals!K173</f>
        <v>0</v>
      </c>
      <c r="O23" s="130">
        <f>+Actuals!L173</f>
        <v>0</v>
      </c>
      <c r="P23" s="129">
        <f>+Actuals!M173</f>
        <v>0</v>
      </c>
      <c r="Q23" s="130">
        <f>+Actuals!N173</f>
        <v>0</v>
      </c>
      <c r="R23" s="129">
        <f>+Actuals!O173</f>
        <v>0</v>
      </c>
      <c r="S23" s="130">
        <f>+Actuals!P173</f>
        <v>0</v>
      </c>
      <c r="T23" s="129">
        <f>+Actuals!Q173</f>
        <v>0</v>
      </c>
      <c r="U23" s="130">
        <f>+Actuals!R173</f>
        <v>0</v>
      </c>
      <c r="V23" s="129">
        <f>+Actuals!S253</f>
        <v>0</v>
      </c>
      <c r="W23" s="130">
        <f>+Actuals!T253</f>
        <v>0</v>
      </c>
      <c r="X23" s="129">
        <f>+Actuals!U253</f>
        <v>0</v>
      </c>
      <c r="Y23" s="130">
        <f>+Actuals!V253</f>
        <v>0</v>
      </c>
      <c r="Z23" s="129">
        <f>+Actuals!W253</f>
        <v>0</v>
      </c>
      <c r="AA23" s="130">
        <f>+Actuals!X253</f>
        <v>0</v>
      </c>
      <c r="AB23" s="129">
        <f>+Actuals!Y253</f>
        <v>0</v>
      </c>
      <c r="AC23" s="130">
        <f>+Actuals!Z253</f>
        <v>0</v>
      </c>
      <c r="AD23" s="129">
        <f>+Actuals!AA173</f>
        <v>0</v>
      </c>
      <c r="AE23" s="130">
        <f>+Actuals!AB173</f>
        <v>0</v>
      </c>
    </row>
    <row r="24" spans="1:31" x14ac:dyDescent="0.2">
      <c r="A24" s="9"/>
      <c r="B24" s="7" t="s">
        <v>36</v>
      </c>
      <c r="C24" s="6"/>
      <c r="D24" s="61">
        <f t="shared" ref="D24:AE24" si="4">SUM(D19:D23)</f>
        <v>-115526696</v>
      </c>
      <c r="E24" s="39">
        <f t="shared" si="4"/>
        <v>-264517462.13899997</v>
      </c>
      <c r="F24" s="61">
        <f t="shared" si="4"/>
        <v>0</v>
      </c>
      <c r="G24" s="39">
        <f t="shared" si="4"/>
        <v>-385025.32</v>
      </c>
      <c r="H24" s="61">
        <f t="shared" si="4"/>
        <v>-123308681</v>
      </c>
      <c r="I24" s="39">
        <f t="shared" si="4"/>
        <v>-276765011.46999997</v>
      </c>
      <c r="J24" s="61">
        <f t="shared" si="4"/>
        <v>138655</v>
      </c>
      <c r="K24" s="150">
        <f t="shared" si="4"/>
        <v>-2465331.9559999998</v>
      </c>
      <c r="L24" s="61">
        <f t="shared" si="4"/>
        <v>1561505</v>
      </c>
      <c r="M24" s="39">
        <f t="shared" si="4"/>
        <v>3441008.5469999998</v>
      </c>
      <c r="N24" s="61">
        <f t="shared" si="4"/>
        <v>-7794</v>
      </c>
      <c r="O24" s="39">
        <f t="shared" si="4"/>
        <v>-150009.76999999999</v>
      </c>
      <c r="P24" s="61">
        <f t="shared" si="4"/>
        <v>6272998</v>
      </c>
      <c r="Q24" s="39">
        <f t="shared" si="4"/>
        <v>12212774.470000001</v>
      </c>
      <c r="R24" s="61">
        <f t="shared" si="4"/>
        <v>-465278</v>
      </c>
      <c r="S24" s="39">
        <f t="shared" si="4"/>
        <v>-1052380</v>
      </c>
      <c r="T24" s="61">
        <f t="shared" si="4"/>
        <v>283497</v>
      </c>
      <c r="U24" s="39">
        <f t="shared" si="4"/>
        <v>650121</v>
      </c>
      <c r="V24" s="61">
        <f t="shared" si="4"/>
        <v>-285095</v>
      </c>
      <c r="W24" s="39">
        <f t="shared" si="4"/>
        <v>-653728.64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283497</v>
      </c>
      <c r="AA24" s="39">
        <f t="shared" si="5"/>
        <v>650121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67000</v>
      </c>
      <c r="E27" s="38">
        <f>SUM(G27,I27,K27,M27,O27,Q27,S27,U27,W27,Y27,AA27,AC27,AE27)</f>
        <v>155075.79</v>
      </c>
      <c r="F27" s="64">
        <f>'TIE-OUT'!H27+RECLASS!H27</f>
        <v>0</v>
      </c>
      <c r="G27" s="68">
        <f>'TIE-OUT'!I27+RECLASS!I27</f>
        <v>0</v>
      </c>
      <c r="H27" s="129">
        <f>+Actuals!E174</f>
        <v>0</v>
      </c>
      <c r="I27" s="130">
        <f>+Actuals!F174</f>
        <v>0</v>
      </c>
      <c r="J27" s="129">
        <f>+Actuals!G174</f>
        <v>67000</v>
      </c>
      <c r="K27" s="149">
        <f>+Actuals!H174</f>
        <v>155075.79</v>
      </c>
      <c r="L27" s="129">
        <f>+Actuals!I174</f>
        <v>0</v>
      </c>
      <c r="M27" s="130">
        <f>+Actuals!J174</f>
        <v>0</v>
      </c>
      <c r="N27" s="129">
        <f>+Actuals!K174</f>
        <v>0</v>
      </c>
      <c r="O27" s="130">
        <f>+Actuals!L174</f>
        <v>0</v>
      </c>
      <c r="P27" s="129">
        <f>+Actuals!M174</f>
        <v>0</v>
      </c>
      <c r="Q27" s="130">
        <f>+Actuals!N174</f>
        <v>0</v>
      </c>
      <c r="R27" s="129">
        <f>+Actuals!O174</f>
        <v>0</v>
      </c>
      <c r="S27" s="130">
        <f>+Actuals!P174</f>
        <v>0</v>
      </c>
      <c r="T27" s="129">
        <f>+Actuals!Q174</f>
        <v>0</v>
      </c>
      <c r="U27" s="130">
        <f>+Actuals!R174</f>
        <v>0</v>
      </c>
      <c r="V27" s="129">
        <f>+Actuals!S254</f>
        <v>0</v>
      </c>
      <c r="W27" s="130">
        <f>+Actuals!T254</f>
        <v>0</v>
      </c>
      <c r="X27" s="129">
        <f>+Actuals!U254</f>
        <v>0</v>
      </c>
      <c r="Y27" s="130">
        <f>+Actuals!V254</f>
        <v>0</v>
      </c>
      <c r="Z27" s="129">
        <f>+Actuals!W254</f>
        <v>0</v>
      </c>
      <c r="AA27" s="130">
        <f>+Actuals!X254</f>
        <v>0</v>
      </c>
      <c r="AB27" s="129">
        <f>+Actuals!Y254</f>
        <v>0</v>
      </c>
      <c r="AC27" s="130">
        <f>+Actuals!Z254</f>
        <v>0</v>
      </c>
      <c r="AD27" s="129">
        <f>+Actuals!AA174</f>
        <v>0</v>
      </c>
      <c r="AE27" s="130">
        <f>+Actuals!AB174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-1181054</v>
      </c>
      <c r="E28" s="38">
        <f>SUM(G28,I28,K28,M28,O28,Q28,S28,U28,W28,Y28,AA28,AC28,AE28)</f>
        <v>-2727008.2800000003</v>
      </c>
      <c r="F28" s="81">
        <f>'TIE-OUT'!H28+RECLASS!H28</f>
        <v>0</v>
      </c>
      <c r="G28" s="82">
        <f>'TIE-OUT'!I28+RECLASS!I28</f>
        <v>0</v>
      </c>
      <c r="H28" s="129">
        <f>+Actuals!E175</f>
        <v>-1181054</v>
      </c>
      <c r="I28" s="130">
        <f>+Actuals!F175</f>
        <v>-2726884.02</v>
      </c>
      <c r="J28" s="129">
        <f>+Actuals!G175</f>
        <v>0</v>
      </c>
      <c r="K28" s="149">
        <f>+Actuals!H175</f>
        <v>0.01</v>
      </c>
      <c r="L28" s="129">
        <f>+Actuals!I175</f>
        <v>0</v>
      </c>
      <c r="M28" s="130">
        <f>+Actuals!J175</f>
        <v>0</v>
      </c>
      <c r="N28" s="129">
        <f>+Actuals!K175</f>
        <v>0</v>
      </c>
      <c r="O28" s="130">
        <f>+Actuals!L175</f>
        <v>-124.27</v>
      </c>
      <c r="P28" s="129">
        <f>+Actuals!M175</f>
        <v>0</v>
      </c>
      <c r="Q28" s="130">
        <f>+Actuals!N175</f>
        <v>0</v>
      </c>
      <c r="R28" s="129">
        <f>+Actuals!O175</f>
        <v>0</v>
      </c>
      <c r="S28" s="130">
        <f>+Actuals!P175</f>
        <v>0</v>
      </c>
      <c r="T28" s="129">
        <f>+Actuals!Q175</f>
        <v>0</v>
      </c>
      <c r="U28" s="130">
        <f>+Actuals!R175</f>
        <v>0</v>
      </c>
      <c r="V28" s="129">
        <f>+Actuals!S255</f>
        <v>0</v>
      </c>
      <c r="W28" s="130">
        <f>+Actuals!T255</f>
        <v>0</v>
      </c>
      <c r="X28" s="129">
        <f>+Actuals!U255</f>
        <v>0</v>
      </c>
      <c r="Y28" s="130">
        <f>+Actuals!V255</f>
        <v>0</v>
      </c>
      <c r="Z28" s="129">
        <f>+Actuals!W255</f>
        <v>0</v>
      </c>
      <c r="AA28" s="130">
        <f>+Actuals!X255</f>
        <v>0</v>
      </c>
      <c r="AB28" s="129">
        <f>+Actuals!Y255</f>
        <v>0</v>
      </c>
      <c r="AC28" s="130">
        <f>+Actuals!Z255</f>
        <v>0</v>
      </c>
      <c r="AD28" s="129">
        <f>+Actuals!AA175</f>
        <v>0</v>
      </c>
      <c r="AE28" s="130">
        <f>+Actuals!AB175</f>
        <v>0</v>
      </c>
    </row>
    <row r="29" spans="1:31" x14ac:dyDescent="0.2">
      <c r="A29" s="9"/>
      <c r="B29" s="7" t="s">
        <v>40</v>
      </c>
      <c r="C29" s="18"/>
      <c r="D29" s="61">
        <f t="shared" ref="D29:AE29" si="6">SUM(D27:D28)</f>
        <v>-1114054</v>
      </c>
      <c r="E29" s="39">
        <f t="shared" si="6"/>
        <v>-2571932.4900000002</v>
      </c>
      <c r="F29" s="61">
        <f t="shared" si="6"/>
        <v>0</v>
      </c>
      <c r="G29" s="39">
        <f t="shared" si="6"/>
        <v>0</v>
      </c>
      <c r="H29" s="61">
        <f t="shared" si="6"/>
        <v>-1181054</v>
      </c>
      <c r="I29" s="39">
        <f t="shared" si="6"/>
        <v>-2726884.02</v>
      </c>
      <c r="J29" s="61">
        <f t="shared" si="6"/>
        <v>67000</v>
      </c>
      <c r="K29" s="150">
        <f t="shared" si="6"/>
        <v>155075.80000000002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-124.27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ref="X29:AC29" si="7">SUM(X27:X28)</f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-188785</v>
      </c>
      <c r="E32" s="38">
        <f t="shared" si="8"/>
        <v>-1127301.83</v>
      </c>
      <c r="F32" s="64">
        <f>'TIE-OUT'!H32+RECLASS!H32</f>
        <v>0</v>
      </c>
      <c r="G32" s="68">
        <f>'TIE-OUT'!I32+RECLASS!I32</f>
        <v>0</v>
      </c>
      <c r="H32" s="129">
        <f>+Actuals!E176</f>
        <v>237412</v>
      </c>
      <c r="I32" s="130">
        <f>+Actuals!F176</f>
        <v>529191.35</v>
      </c>
      <c r="J32" s="129">
        <f>+Actuals!G176</f>
        <v>-645371</v>
      </c>
      <c r="K32" s="149">
        <f>+Actuals!H176</f>
        <v>-1453218.4850000001</v>
      </c>
      <c r="L32" s="129">
        <f>+Actuals!I176</f>
        <v>225182</v>
      </c>
      <c r="M32" s="130">
        <f>+Actuals!J176</f>
        <v>375878.91200000001</v>
      </c>
      <c r="N32" s="129">
        <f>+Actuals!K176</f>
        <v>1840</v>
      </c>
      <c r="O32" s="130">
        <f>+Actuals!L176</f>
        <v>23792.651999999998</v>
      </c>
      <c r="P32" s="129">
        <f>+Actuals!M176</f>
        <v>-7848</v>
      </c>
      <c r="Q32" s="130">
        <f>+Actuals!N176</f>
        <v>-602946.25899999996</v>
      </c>
      <c r="R32" s="129">
        <f>+Actuals!O176</f>
        <v>0</v>
      </c>
      <c r="S32" s="130">
        <f>+Actuals!P176</f>
        <v>0</v>
      </c>
      <c r="T32" s="129">
        <f>+Actuals!Q176</f>
        <v>0</v>
      </c>
      <c r="U32" s="130">
        <f>+Actuals!R176</f>
        <v>0</v>
      </c>
      <c r="V32" s="129">
        <f>+Actuals!S256</f>
        <v>0</v>
      </c>
      <c r="W32" s="130">
        <f>+Actuals!T256</f>
        <v>0</v>
      </c>
      <c r="X32" s="129">
        <f>+Actuals!U256</f>
        <v>0</v>
      </c>
      <c r="Y32" s="130">
        <f>+Actuals!V256</f>
        <v>0</v>
      </c>
      <c r="Z32" s="129">
        <f>+Actuals!W256</f>
        <v>0</v>
      </c>
      <c r="AA32" s="130">
        <f>+Actuals!X256</f>
        <v>0</v>
      </c>
      <c r="AB32" s="129">
        <f>+Actuals!Y256</f>
        <v>0</v>
      </c>
      <c r="AC32" s="130">
        <f>+Actuals!Z256</f>
        <v>0</v>
      </c>
      <c r="AD32" s="129">
        <f>+Actuals!AA176</f>
        <v>0</v>
      </c>
      <c r="AE32" s="130">
        <f>+Actuals!AB176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-30095</v>
      </c>
      <c r="E33" s="38">
        <f t="shared" si="8"/>
        <v>-66744.39</v>
      </c>
      <c r="F33" s="60">
        <f>'TIE-OUT'!H33+RECLASS!H33</f>
        <v>0</v>
      </c>
      <c r="G33" s="38">
        <f>'TIE-OUT'!I33+RECLASS!I33</f>
        <v>0</v>
      </c>
      <c r="H33" s="129">
        <f>+Actuals!E177</f>
        <v>0</v>
      </c>
      <c r="I33" s="130">
        <f>+Actuals!F177</f>
        <v>0</v>
      </c>
      <c r="J33" s="129">
        <f>+Actuals!G177</f>
        <v>-29794</v>
      </c>
      <c r="K33" s="149">
        <f>+Actuals!H177</f>
        <v>-66068.19</v>
      </c>
      <c r="L33" s="129">
        <f>+Actuals!I177</f>
        <v>0</v>
      </c>
      <c r="M33" s="130">
        <f>+Actuals!J177</f>
        <v>0</v>
      </c>
      <c r="N33" s="129">
        <f>+Actuals!K177</f>
        <v>-301</v>
      </c>
      <c r="O33" s="130">
        <f>+Actuals!L177</f>
        <v>-676.2</v>
      </c>
      <c r="P33" s="129">
        <f>+Actuals!M177</f>
        <v>0</v>
      </c>
      <c r="Q33" s="130">
        <f>+Actuals!N177</f>
        <v>0</v>
      </c>
      <c r="R33" s="129">
        <f>+Actuals!O177</f>
        <v>0</v>
      </c>
      <c r="S33" s="130">
        <f>+Actuals!P177</f>
        <v>0</v>
      </c>
      <c r="T33" s="129">
        <f>+Actuals!Q177</f>
        <v>0</v>
      </c>
      <c r="U33" s="130">
        <f>+Actuals!R177</f>
        <v>0</v>
      </c>
      <c r="V33" s="129">
        <f>+Actuals!S257</f>
        <v>0</v>
      </c>
      <c r="W33" s="130">
        <f>+Actuals!T257</f>
        <v>0</v>
      </c>
      <c r="X33" s="129">
        <f>+Actuals!U257</f>
        <v>0</v>
      </c>
      <c r="Y33" s="130">
        <f>+Actuals!V257</f>
        <v>0</v>
      </c>
      <c r="Z33" s="129">
        <f>+Actuals!W257</f>
        <v>0</v>
      </c>
      <c r="AA33" s="130">
        <f>+Actuals!X257</f>
        <v>0</v>
      </c>
      <c r="AB33" s="129">
        <f>+Actuals!Y257</f>
        <v>0</v>
      </c>
      <c r="AC33" s="130">
        <f>+Actuals!Z257</f>
        <v>0</v>
      </c>
      <c r="AD33" s="129">
        <f>+Actuals!AA177</f>
        <v>0</v>
      </c>
      <c r="AE33" s="130">
        <f>+Actuals!AB177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328919</v>
      </c>
      <c r="E34" s="38">
        <f t="shared" si="8"/>
        <v>734440.80999999994</v>
      </c>
      <c r="F34" s="60">
        <f>'TIE-OUT'!H34+RECLASS!H34</f>
        <v>0</v>
      </c>
      <c r="G34" s="38">
        <f>'TIE-OUT'!I34+RECLASS!I34</f>
        <v>0</v>
      </c>
      <c r="H34" s="129">
        <f>+Actuals!E178</f>
        <v>0</v>
      </c>
      <c r="I34" s="130">
        <f>+Actuals!F178</f>
        <v>0</v>
      </c>
      <c r="J34" s="129">
        <f>+Actuals!G178</f>
        <v>318136</v>
      </c>
      <c r="K34" s="149">
        <f>+Actuals!H178</f>
        <v>710538.57</v>
      </c>
      <c r="L34" s="129">
        <f>+Actuals!I178</f>
        <v>5</v>
      </c>
      <c r="M34" s="130">
        <f>+Actuals!J178</f>
        <v>10.79</v>
      </c>
      <c r="N34" s="129">
        <f>+Actuals!K178</f>
        <v>5954</v>
      </c>
      <c r="O34" s="130">
        <f>+Actuals!L178</f>
        <v>13474.99</v>
      </c>
      <c r="P34" s="129">
        <f>+Actuals!M178</f>
        <v>4824</v>
      </c>
      <c r="Q34" s="130">
        <f>+Actuals!N178</f>
        <v>10416.459999999999</v>
      </c>
      <c r="R34" s="129">
        <f>+Actuals!O178</f>
        <v>0</v>
      </c>
      <c r="S34" s="130">
        <f>+Actuals!P178</f>
        <v>0</v>
      </c>
      <c r="T34" s="129">
        <f>+Actuals!Q178</f>
        <v>0</v>
      </c>
      <c r="U34" s="130">
        <f>+Actuals!R178</f>
        <v>0</v>
      </c>
      <c r="V34" s="129">
        <f>+Actuals!S258</f>
        <v>0</v>
      </c>
      <c r="W34" s="130">
        <f>+Actuals!T258</f>
        <v>0</v>
      </c>
      <c r="X34" s="129">
        <f>+Actuals!U258</f>
        <v>0</v>
      </c>
      <c r="Y34" s="130">
        <f>+Actuals!V258</f>
        <v>0</v>
      </c>
      <c r="Z34" s="129">
        <f>+Actuals!W258</f>
        <v>0</v>
      </c>
      <c r="AA34" s="130">
        <f>+Actuals!X258</f>
        <v>0</v>
      </c>
      <c r="AB34" s="129">
        <f>+Actuals!Y258</f>
        <v>0</v>
      </c>
      <c r="AC34" s="130">
        <f>+Actuals!Z258</f>
        <v>0</v>
      </c>
      <c r="AD34" s="129">
        <f>+Actuals!AA178</f>
        <v>0</v>
      </c>
      <c r="AE34" s="130">
        <f>+Actuals!AB178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600000</v>
      </c>
      <c r="E35" s="38">
        <f t="shared" si="8"/>
        <v>706499.99</v>
      </c>
      <c r="F35" s="81">
        <f>'TIE-OUT'!H35+RECLASS!H35</f>
        <v>0</v>
      </c>
      <c r="G35" s="82">
        <f>'TIE-OUT'!I35+RECLASS!I35</f>
        <v>0</v>
      </c>
      <c r="H35" s="129">
        <f>+Actuals!E179</f>
        <v>-600000</v>
      </c>
      <c r="I35" s="130">
        <f>+Actuals!F179</f>
        <v>-0.01</v>
      </c>
      <c r="J35" s="129">
        <f>+Actuals!G179</f>
        <v>1200000</v>
      </c>
      <c r="K35" s="149">
        <f>+Actuals!H179</f>
        <v>0</v>
      </c>
      <c r="L35" s="129">
        <f>+Actuals!I179</f>
        <v>0</v>
      </c>
      <c r="M35" s="130">
        <f>+Actuals!J179</f>
        <v>0</v>
      </c>
      <c r="N35" s="129">
        <f>+Actuals!K179</f>
        <v>0</v>
      </c>
      <c r="O35" s="130">
        <f>+Actuals!L179</f>
        <v>0</v>
      </c>
      <c r="P35" s="129">
        <f>+Actuals!M179</f>
        <v>0</v>
      </c>
      <c r="Q35" s="130">
        <f>+Actuals!N179</f>
        <v>706500</v>
      </c>
      <c r="R35" s="129">
        <f>+Actuals!O179</f>
        <v>0</v>
      </c>
      <c r="S35" s="130">
        <f>+Actuals!P179</f>
        <v>0</v>
      </c>
      <c r="T35" s="129">
        <f>+Actuals!Q179</f>
        <v>0</v>
      </c>
      <c r="U35" s="130">
        <f>+Actuals!R179</f>
        <v>0</v>
      </c>
      <c r="V35" s="129">
        <f>+Actuals!S259</f>
        <v>0</v>
      </c>
      <c r="W35" s="130">
        <f>+Actuals!T259</f>
        <v>0</v>
      </c>
      <c r="X35" s="129">
        <f>+Actuals!U259</f>
        <v>0</v>
      </c>
      <c r="Y35" s="130">
        <f>+Actuals!V259</f>
        <v>0</v>
      </c>
      <c r="Z35" s="129">
        <f>+Actuals!W259</f>
        <v>0</v>
      </c>
      <c r="AA35" s="130">
        <f>+Actuals!X259</f>
        <v>0</v>
      </c>
      <c r="AB35" s="129">
        <f>+Actuals!Y259</f>
        <v>0</v>
      </c>
      <c r="AC35" s="130">
        <f>+Actuals!Z259</f>
        <v>0</v>
      </c>
      <c r="AD35" s="129">
        <f>+Actuals!AA179</f>
        <v>0</v>
      </c>
      <c r="AE35" s="130">
        <f>+Actuals!AB179</f>
        <v>0</v>
      </c>
    </row>
    <row r="36" spans="1:31" x14ac:dyDescent="0.2">
      <c r="A36" s="9"/>
      <c r="B36" s="7" t="s">
        <v>46</v>
      </c>
      <c r="C36" s="6"/>
      <c r="D36" s="61">
        <f t="shared" ref="D36:AE36" si="9">SUM(D32:D35)</f>
        <v>710039</v>
      </c>
      <c r="E36" s="39">
        <f t="shared" si="9"/>
        <v>246894.57999999996</v>
      </c>
      <c r="F36" s="61">
        <f t="shared" si="9"/>
        <v>0</v>
      </c>
      <c r="G36" s="39">
        <f t="shared" si="9"/>
        <v>0</v>
      </c>
      <c r="H36" s="61">
        <f t="shared" si="9"/>
        <v>-362588</v>
      </c>
      <c r="I36" s="39">
        <f t="shared" si="9"/>
        <v>529191.34</v>
      </c>
      <c r="J36" s="61">
        <f t="shared" si="9"/>
        <v>842971</v>
      </c>
      <c r="K36" s="150">
        <f t="shared" si="9"/>
        <v>-808748.1050000001</v>
      </c>
      <c r="L36" s="61">
        <f t="shared" si="9"/>
        <v>225187</v>
      </c>
      <c r="M36" s="39">
        <f t="shared" si="9"/>
        <v>375889.70199999999</v>
      </c>
      <c r="N36" s="61">
        <f t="shared" si="9"/>
        <v>7493</v>
      </c>
      <c r="O36" s="39">
        <f t="shared" si="9"/>
        <v>36591.441999999995</v>
      </c>
      <c r="P36" s="61">
        <f t="shared" si="9"/>
        <v>-3024</v>
      </c>
      <c r="Q36" s="39">
        <f t="shared" si="9"/>
        <v>113970.201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29">
        <f>+Actuals!E180</f>
        <v>0</v>
      </c>
      <c r="I39" s="130">
        <f>+Actuals!F180</f>
        <v>0</v>
      </c>
      <c r="J39" s="129">
        <f>+Actuals!G180</f>
        <v>0</v>
      </c>
      <c r="K39" s="149">
        <f>+Actuals!H180</f>
        <v>0</v>
      </c>
      <c r="L39" s="129">
        <f>+Actuals!I180</f>
        <v>0</v>
      </c>
      <c r="M39" s="130">
        <f>+Actuals!J180</f>
        <v>0</v>
      </c>
      <c r="N39" s="129">
        <f>+Actuals!K180</f>
        <v>0</v>
      </c>
      <c r="O39" s="130">
        <f>+Actuals!L180</f>
        <v>0</v>
      </c>
      <c r="P39" s="129">
        <f>+Actuals!M180</f>
        <v>0</v>
      </c>
      <c r="Q39" s="130">
        <f>+Actuals!N180</f>
        <v>0</v>
      </c>
      <c r="R39" s="129">
        <f>+Actuals!O180</f>
        <v>0</v>
      </c>
      <c r="S39" s="130">
        <f>+Actuals!P180</f>
        <v>0</v>
      </c>
      <c r="T39" s="129">
        <f>+Actuals!Q180</f>
        <v>0</v>
      </c>
      <c r="U39" s="130">
        <f>+Actuals!R180</f>
        <v>0</v>
      </c>
      <c r="V39" s="129">
        <f>+Actuals!S260</f>
        <v>0</v>
      </c>
      <c r="W39" s="130">
        <f>+Actuals!T260</f>
        <v>0</v>
      </c>
      <c r="X39" s="129">
        <f>+Actuals!U260</f>
        <v>0</v>
      </c>
      <c r="Y39" s="130">
        <f>+Actuals!V260</f>
        <v>0</v>
      </c>
      <c r="Z39" s="129">
        <f>+Actuals!W260</f>
        <v>0</v>
      </c>
      <c r="AA39" s="130">
        <f>+Actuals!X260</f>
        <v>0</v>
      </c>
      <c r="AB39" s="129">
        <f>+Actuals!Y260</f>
        <v>0</v>
      </c>
      <c r="AC39" s="130">
        <f>+Actuals!Z260</f>
        <v>0</v>
      </c>
      <c r="AD39" s="129">
        <f>+Actuals!AA180</f>
        <v>0</v>
      </c>
      <c r="AE39" s="130">
        <f>+Actuals!AB180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-300000</v>
      </c>
      <c r="E40" s="38">
        <f t="shared" si="11"/>
        <v>-784200</v>
      </c>
      <c r="F40" s="60">
        <f>'TIE-OUT'!H40+RECLASS!H40</f>
        <v>0</v>
      </c>
      <c r="G40" s="38">
        <f>'TIE-OUT'!I40+RECLASS!I40</f>
        <v>0</v>
      </c>
      <c r="H40" s="129">
        <f>+Actuals!E181</f>
        <v>0</v>
      </c>
      <c r="I40" s="130">
        <f>+Actuals!F181</f>
        <v>0</v>
      </c>
      <c r="J40" s="129">
        <f>+Actuals!G181</f>
        <v>0</v>
      </c>
      <c r="K40" s="149">
        <f>+Actuals!H181</f>
        <v>0</v>
      </c>
      <c r="L40" s="129">
        <f>+Actuals!I181</f>
        <v>0</v>
      </c>
      <c r="M40" s="130">
        <f>+Actuals!J181</f>
        <v>0</v>
      </c>
      <c r="N40" s="129">
        <f>+Actuals!K181</f>
        <v>0</v>
      </c>
      <c r="O40" s="130">
        <f>+Actuals!L181</f>
        <v>0</v>
      </c>
      <c r="P40" s="129">
        <f>+Actuals!M181</f>
        <v>0</v>
      </c>
      <c r="Q40" s="130">
        <f>+Actuals!N181</f>
        <v>0</v>
      </c>
      <c r="R40" s="129">
        <f>+Actuals!O181</f>
        <v>-300000</v>
      </c>
      <c r="S40" s="130">
        <f>+Actuals!P181</f>
        <v>-784200</v>
      </c>
      <c r="T40" s="129">
        <f>+Actuals!Q181</f>
        <v>0</v>
      </c>
      <c r="U40" s="130">
        <f>+Actuals!R181</f>
        <v>0</v>
      </c>
      <c r="V40" s="129">
        <f>+Actuals!S261</f>
        <v>0</v>
      </c>
      <c r="W40" s="130">
        <f>+Actuals!T261</f>
        <v>0</v>
      </c>
      <c r="X40" s="129">
        <f>+Actuals!U261</f>
        <v>0</v>
      </c>
      <c r="Y40" s="130">
        <f>+Actuals!V261</f>
        <v>0</v>
      </c>
      <c r="Z40" s="129">
        <f>+Actuals!W261</f>
        <v>0</v>
      </c>
      <c r="AA40" s="130">
        <f>+Actuals!X261</f>
        <v>0</v>
      </c>
      <c r="AB40" s="129">
        <f>+Actuals!Y261</f>
        <v>0</v>
      </c>
      <c r="AC40" s="130">
        <f>+Actuals!Z261</f>
        <v>0</v>
      </c>
      <c r="AD40" s="129">
        <f>+Actuals!AA181</f>
        <v>0</v>
      </c>
      <c r="AE40" s="130">
        <f>+Actuals!AB181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9">
        <f>+Actuals!E182</f>
        <v>0</v>
      </c>
      <c r="I41" s="130">
        <f>+Actuals!F182</f>
        <v>0</v>
      </c>
      <c r="J41" s="129">
        <f>+Actuals!G182</f>
        <v>0</v>
      </c>
      <c r="K41" s="149">
        <f>+Actuals!H182</f>
        <v>0</v>
      </c>
      <c r="L41" s="129">
        <f>+Actuals!I182</f>
        <v>0</v>
      </c>
      <c r="M41" s="130">
        <f>+Actuals!J182</f>
        <v>0</v>
      </c>
      <c r="N41" s="129">
        <f>+Actuals!K182</f>
        <v>0</v>
      </c>
      <c r="O41" s="130">
        <f>+Actuals!L182</f>
        <v>0</v>
      </c>
      <c r="P41" s="129">
        <f>+Actuals!M182</f>
        <v>0</v>
      </c>
      <c r="Q41" s="130">
        <f>+Actuals!N182</f>
        <v>0</v>
      </c>
      <c r="R41" s="129">
        <f>+Actuals!O182</f>
        <v>0</v>
      </c>
      <c r="S41" s="130">
        <f>+Actuals!P182</f>
        <v>0</v>
      </c>
      <c r="T41" s="129">
        <f>+Actuals!Q182</f>
        <v>0</v>
      </c>
      <c r="U41" s="130">
        <f>+Actuals!R182</f>
        <v>0</v>
      </c>
      <c r="V41" s="129">
        <f>+Actuals!S262</f>
        <v>0</v>
      </c>
      <c r="W41" s="130">
        <f>+Actuals!T262</f>
        <v>0</v>
      </c>
      <c r="X41" s="129">
        <f>+Actuals!U262</f>
        <v>0</v>
      </c>
      <c r="Y41" s="130">
        <f>+Actuals!V262</f>
        <v>0</v>
      </c>
      <c r="Z41" s="129">
        <f>+Actuals!W262</f>
        <v>0</v>
      </c>
      <c r="AA41" s="130">
        <f>+Actuals!X262</f>
        <v>0</v>
      </c>
      <c r="AB41" s="129">
        <f>+Actuals!Y262</f>
        <v>0</v>
      </c>
      <c r="AC41" s="130">
        <f>+Actuals!Z262</f>
        <v>0</v>
      </c>
      <c r="AD41" s="129">
        <f>+Actuals!AA182</f>
        <v>0</v>
      </c>
      <c r="AE41" s="130">
        <f>+Actuals!AB182</f>
        <v>0</v>
      </c>
    </row>
    <row r="42" spans="1:31" x14ac:dyDescent="0.2">
      <c r="A42" s="9"/>
      <c r="B42" s="7"/>
      <c r="C42" s="53" t="s">
        <v>51</v>
      </c>
      <c r="D42" s="61">
        <f t="shared" ref="D42:AE42" si="12">SUM(D40:D41)</f>
        <v>-300000</v>
      </c>
      <c r="E42" s="39">
        <f t="shared" si="12"/>
        <v>-784200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-300000</v>
      </c>
      <c r="S42" s="39">
        <f t="shared" si="12"/>
        <v>-784200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 t="shared" ref="D43:AE43" si="14">D42+D39</f>
        <v>-300000</v>
      </c>
      <c r="E43" s="39">
        <f t="shared" si="14"/>
        <v>-784200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-300000</v>
      </c>
      <c r="S43" s="39">
        <f t="shared" si="14"/>
        <v>-784200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9">
        <f>+Actuals!E183</f>
        <v>0</v>
      </c>
      <c r="I45" s="130">
        <f>+Actuals!F183</f>
        <v>0</v>
      </c>
      <c r="J45" s="129">
        <f>+Actuals!G183</f>
        <v>0</v>
      </c>
      <c r="K45" s="149">
        <f>+Actuals!H183</f>
        <v>0</v>
      </c>
      <c r="L45" s="129">
        <f>+Actuals!I183</f>
        <v>0</v>
      </c>
      <c r="M45" s="130">
        <f>+Actuals!J183</f>
        <v>0</v>
      </c>
      <c r="N45" s="129">
        <f>+Actuals!K183</f>
        <v>0</v>
      </c>
      <c r="O45" s="130">
        <f>+Actuals!L183</f>
        <v>0</v>
      </c>
      <c r="P45" s="129">
        <f>+Actuals!M183</f>
        <v>0</v>
      </c>
      <c r="Q45" s="130">
        <f>+Actuals!N183</f>
        <v>0</v>
      </c>
      <c r="R45" s="129">
        <f>+Actuals!O183</f>
        <v>0</v>
      </c>
      <c r="S45" s="130">
        <f>+Actuals!P183</f>
        <v>0</v>
      </c>
      <c r="T45" s="129">
        <f>+Actuals!Q183</f>
        <v>0</v>
      </c>
      <c r="U45" s="130">
        <f>+Actuals!R183</f>
        <v>0</v>
      </c>
      <c r="V45" s="129">
        <f>+Actuals!S263</f>
        <v>0</v>
      </c>
      <c r="W45" s="130">
        <f>+Actuals!T263</f>
        <v>0</v>
      </c>
      <c r="X45" s="129">
        <f>+Actuals!U263</f>
        <v>0</v>
      </c>
      <c r="Y45" s="130">
        <f>+Actuals!V263</f>
        <v>0</v>
      </c>
      <c r="Z45" s="129">
        <f>+Actuals!W263</f>
        <v>0</v>
      </c>
      <c r="AA45" s="130">
        <f>+Actuals!X263</f>
        <v>0</v>
      </c>
      <c r="AB45" s="129">
        <f>+Actuals!Y263</f>
        <v>0</v>
      </c>
      <c r="AC45" s="130">
        <f>+Actuals!Z263</f>
        <v>0</v>
      </c>
      <c r="AD45" s="129">
        <f>+Actuals!AA183</f>
        <v>0</v>
      </c>
      <c r="AE45" s="130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9">
        <f>+Actuals!E184</f>
        <v>0</v>
      </c>
      <c r="I47" s="130">
        <f>+Actuals!F184</f>
        <v>0</v>
      </c>
      <c r="J47" s="129">
        <f>+Actuals!G184</f>
        <v>0</v>
      </c>
      <c r="K47" s="149">
        <f>+Actuals!H184</f>
        <v>0</v>
      </c>
      <c r="L47" s="129">
        <f>+Actuals!I184</f>
        <v>0</v>
      </c>
      <c r="M47" s="130">
        <f>+Actuals!J184</f>
        <v>0</v>
      </c>
      <c r="N47" s="129">
        <f>+Actuals!K184</f>
        <v>0</v>
      </c>
      <c r="O47" s="130">
        <f>+Actuals!L184</f>
        <v>0</v>
      </c>
      <c r="P47" s="129">
        <f>+Actuals!M184</f>
        <v>0</v>
      </c>
      <c r="Q47" s="130">
        <f>+Actuals!N184</f>
        <v>0</v>
      </c>
      <c r="R47" s="129">
        <f>+Actuals!O184</f>
        <v>0</v>
      </c>
      <c r="S47" s="130">
        <f>+Actuals!P184</f>
        <v>0</v>
      </c>
      <c r="T47" s="129">
        <f>+Actuals!Q184</f>
        <v>0</v>
      </c>
      <c r="U47" s="130">
        <f>+Actuals!R184</f>
        <v>0</v>
      </c>
      <c r="V47" s="129">
        <f>+Actuals!S264</f>
        <v>0</v>
      </c>
      <c r="W47" s="130">
        <f>+Actuals!T264</f>
        <v>0</v>
      </c>
      <c r="X47" s="129">
        <f>+Actuals!U264</f>
        <v>0</v>
      </c>
      <c r="Y47" s="130">
        <f>+Actuals!V264</f>
        <v>0</v>
      </c>
      <c r="Z47" s="129">
        <f>+Actuals!W264</f>
        <v>0</v>
      </c>
      <c r="AA47" s="130">
        <f>+Actuals!X264</f>
        <v>0</v>
      </c>
      <c r="AB47" s="129">
        <f>+Actuals!Y264</f>
        <v>0</v>
      </c>
      <c r="AC47" s="130">
        <f>+Actuals!Z264</f>
        <v>0</v>
      </c>
      <c r="AD47" s="129">
        <f>+Actuals!AA184</f>
        <v>0</v>
      </c>
      <c r="AE47" s="130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277524</v>
      </c>
      <c r="E49" s="38">
        <f>SUM(G49,I49,K49,M49,O49,Q49,S49,U49,W49,Y49,AA49,AC49,AE49)</f>
        <v>618600.99599999981</v>
      </c>
      <c r="F49" s="60">
        <f>'TIE-OUT'!H49+RECLASS!H49</f>
        <v>0</v>
      </c>
      <c r="G49" s="38">
        <f>'TIE-OUT'!I49+RECLASS!I49</f>
        <v>0</v>
      </c>
      <c r="H49" s="129">
        <f>+Actuals!E185</f>
        <v>8954687</v>
      </c>
      <c r="I49" s="130">
        <f>+Actuals!F185</f>
        <v>19959997.322999999</v>
      </c>
      <c r="J49" s="129">
        <f>+Actuals!G185</f>
        <v>-1115574</v>
      </c>
      <c r="K49" s="149">
        <f>+Actuals!H185</f>
        <v>-2486614.4459999986</v>
      </c>
      <c r="L49" s="129">
        <f>+Actuals!I185</f>
        <v>-1639760</v>
      </c>
      <c r="M49" s="130">
        <f>+Actuals!J185</f>
        <v>-3655025.04</v>
      </c>
      <c r="N49" s="129">
        <f>+Actuals!K185</f>
        <v>301</v>
      </c>
      <c r="O49" s="130">
        <f>+Actuals!L185</f>
        <v>670.92899999999997</v>
      </c>
      <c r="P49" s="129">
        <f>+Actuals!M185</f>
        <v>-6259299</v>
      </c>
      <c r="Q49" s="130">
        <f>+Actuals!N185</f>
        <v>-13951977.471000001</v>
      </c>
      <c r="R49" s="129">
        <f>+Actuals!O185</f>
        <v>300000</v>
      </c>
      <c r="S49" s="130">
        <f>+Actuals!P185</f>
        <v>668700</v>
      </c>
      <c r="T49" s="129">
        <f>+Actuals!Q185</f>
        <v>35571</v>
      </c>
      <c r="U49" s="130">
        <f>+Actuals!R185</f>
        <v>79287.759000000005</v>
      </c>
      <c r="V49" s="129">
        <f>+Actuals!S265</f>
        <v>-33973</v>
      </c>
      <c r="W49" s="130">
        <f>+Actuals!T265</f>
        <v>-75725.816999999995</v>
      </c>
      <c r="X49" s="129">
        <f>+Actuals!U265</f>
        <v>0</v>
      </c>
      <c r="Y49" s="130">
        <f>+Actuals!V265</f>
        <v>0</v>
      </c>
      <c r="Z49" s="129">
        <f>+Actuals!W265</f>
        <v>35571</v>
      </c>
      <c r="AA49" s="130">
        <f>+Actuals!X265</f>
        <v>79287.759000000005</v>
      </c>
      <c r="AB49" s="129">
        <f>+Actuals!Y265</f>
        <v>0</v>
      </c>
      <c r="AC49" s="130">
        <f>+Actuals!Z265</f>
        <v>0</v>
      </c>
      <c r="AD49" s="129">
        <f>+Actuals!AA185</f>
        <v>0</v>
      </c>
      <c r="AE49" s="130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-134975</v>
      </c>
      <c r="E51" s="38">
        <f>SUM(G51,I51,K51,M51,O51,Q51,S51,U51,W51,Y51,AA51,AC51,AE51)</f>
        <v>-300859.28000000003</v>
      </c>
      <c r="F51" s="60">
        <f>'TIE-OUT'!H51+RECLASS!H51</f>
        <v>0</v>
      </c>
      <c r="G51" s="38">
        <f>'TIE-OUT'!I51+RECLASS!I51</f>
        <v>0</v>
      </c>
      <c r="H51" s="129">
        <f>+Actuals!E186</f>
        <v>-136325</v>
      </c>
      <c r="I51" s="130">
        <f>+Actuals!F186</f>
        <v>-303868.43</v>
      </c>
      <c r="J51" s="129">
        <f>+Actuals!G186</f>
        <v>-3924</v>
      </c>
      <c r="K51" s="149">
        <f>+Actuals!H186</f>
        <v>-8746.5959999999995</v>
      </c>
      <c r="L51" s="129">
        <f>+Actuals!I186</f>
        <v>5274</v>
      </c>
      <c r="M51" s="130">
        <f>+Actuals!J186</f>
        <v>11755.745999999999</v>
      </c>
      <c r="N51" s="129">
        <f>+Actuals!K186</f>
        <v>0</v>
      </c>
      <c r="O51" s="130">
        <f>+Actuals!L186</f>
        <v>0</v>
      </c>
      <c r="P51" s="129">
        <f>+Actuals!M186</f>
        <v>0</v>
      </c>
      <c r="Q51" s="130">
        <f>+Actuals!N186</f>
        <v>0</v>
      </c>
      <c r="R51" s="129">
        <f>+Actuals!O186</f>
        <v>0</v>
      </c>
      <c r="S51" s="130">
        <f>+Actuals!P186</f>
        <v>0</v>
      </c>
      <c r="T51" s="129">
        <f>+Actuals!Q186</f>
        <v>0</v>
      </c>
      <c r="U51" s="130">
        <f>+Actuals!R186</f>
        <v>0</v>
      </c>
      <c r="V51" s="129">
        <f>+Actuals!S266</f>
        <v>0</v>
      </c>
      <c r="W51" s="130">
        <f>+Actuals!T266</f>
        <v>0</v>
      </c>
      <c r="X51" s="129">
        <f>+Actuals!U266</f>
        <v>0</v>
      </c>
      <c r="Y51" s="130">
        <f>+Actuals!V266</f>
        <v>0</v>
      </c>
      <c r="Z51" s="129">
        <f>+Actuals!W266</f>
        <v>0</v>
      </c>
      <c r="AA51" s="130">
        <f>+Actuals!X266</f>
        <v>0</v>
      </c>
      <c r="AB51" s="129">
        <f>+Actuals!Y266</f>
        <v>0</v>
      </c>
      <c r="AC51" s="130">
        <f>+Actuals!Z266</f>
        <v>0</v>
      </c>
      <c r="AD51" s="129">
        <f>+Actuals!AA186</f>
        <v>0</v>
      </c>
      <c r="AE51" s="130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-17068474</v>
      </c>
      <c r="E54" s="38">
        <f>SUM(G54,I54,K54,M54,O54,Q54,S54,U54,W54,Y54,AA54,AC54,AE54)</f>
        <v>-563315.73</v>
      </c>
      <c r="F54" s="64">
        <f>'TIE-OUT'!H54+RECLASS!H54</f>
        <v>0</v>
      </c>
      <c r="G54" s="68">
        <f>'TIE-OUT'!I54+RECLASS!I54</f>
        <v>-9756</v>
      </c>
      <c r="H54" s="129">
        <f>+Actuals!E187</f>
        <v>-16636979</v>
      </c>
      <c r="I54" s="130">
        <f>+Actuals!F187</f>
        <v>-329224.86</v>
      </c>
      <c r="J54" s="129">
        <f>+Actuals!G187</f>
        <v>-250611</v>
      </c>
      <c r="K54" s="149">
        <f>+Actuals!H187</f>
        <v>11659.77</v>
      </c>
      <c r="L54" s="129">
        <f>+Actuals!I187</f>
        <v>-137914</v>
      </c>
      <c r="M54" s="130">
        <f>+Actuals!J187</f>
        <v>-32927.17</v>
      </c>
      <c r="N54" s="129">
        <f>+Actuals!K187</f>
        <v>-42970</v>
      </c>
      <c r="O54" s="130">
        <f>+Actuals!L187</f>
        <v>2190.5700000000002</v>
      </c>
      <c r="P54" s="129">
        <f>+Actuals!M187</f>
        <v>0</v>
      </c>
      <c r="Q54" s="130">
        <f>+Actuals!N187</f>
        <v>0</v>
      </c>
      <c r="R54" s="129">
        <f>+Actuals!O187</f>
        <v>0</v>
      </c>
      <c r="S54" s="130">
        <f>+Actuals!P187</f>
        <v>0</v>
      </c>
      <c r="T54" s="129">
        <f>+Actuals!Q187</f>
        <v>0</v>
      </c>
      <c r="U54" s="130">
        <f>+Actuals!R187</f>
        <v>-5348.04</v>
      </c>
      <c r="V54" s="129">
        <f>+Actuals!S267</f>
        <v>0</v>
      </c>
      <c r="W54" s="162">
        <f>+Actuals!T267-99955</f>
        <v>-99955</v>
      </c>
      <c r="X54" s="129">
        <f>+Actuals!U267</f>
        <v>0</v>
      </c>
      <c r="Y54" s="162">
        <v>-99955</v>
      </c>
      <c r="Z54" s="129">
        <f>+Actuals!W267</f>
        <v>0</v>
      </c>
      <c r="AA54" s="129">
        <f>+Actuals!X267</f>
        <v>0</v>
      </c>
      <c r="AB54" s="129">
        <f>+Actuals!Y267</f>
        <v>0</v>
      </c>
      <c r="AC54" s="130">
        <f>+Actuals!Z267</f>
        <v>0</v>
      </c>
      <c r="AD54" s="129">
        <f>+Actuals!AA187</f>
        <v>0</v>
      </c>
      <c r="AE54" s="130">
        <f>+Actuals!AB187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-448017.35</v>
      </c>
      <c r="F55" s="81">
        <f>'TIE-OUT'!H55+RECLASS!H55</f>
        <v>0</v>
      </c>
      <c r="G55" s="82">
        <f>'TIE-OUT'!I55+RECLASS!I55</f>
        <v>2441264.9900000002</v>
      </c>
      <c r="H55" s="129">
        <f>+Actuals!E188</f>
        <v>0</v>
      </c>
      <c r="I55" s="130">
        <f>+Actuals!F188</f>
        <v>-3035948.99</v>
      </c>
      <c r="J55" s="129">
        <f>+Actuals!G188</f>
        <v>0</v>
      </c>
      <c r="K55" s="149">
        <f>+Actuals!H188</f>
        <v>132137.89000000001</v>
      </c>
      <c r="L55" s="129">
        <f>+Actuals!I188</f>
        <v>0</v>
      </c>
      <c r="M55" s="130">
        <f>+Actuals!J188</f>
        <v>921.36</v>
      </c>
      <c r="N55" s="129">
        <f>+Actuals!K188</f>
        <v>0</v>
      </c>
      <c r="O55" s="130">
        <f>+Actuals!L188</f>
        <v>13607.4</v>
      </c>
      <c r="P55" s="129">
        <f>+Actuals!M188</f>
        <v>0</v>
      </c>
      <c r="Q55" s="130">
        <f>+Actuals!N188</f>
        <v>0</v>
      </c>
      <c r="R55" s="129">
        <f>+Actuals!O188</f>
        <v>0</v>
      </c>
      <c r="S55" s="130">
        <f>+Actuals!P188</f>
        <v>0</v>
      </c>
      <c r="T55" s="129">
        <f>+Actuals!Q188</f>
        <v>0</v>
      </c>
      <c r="U55" s="130">
        <f>+Actuals!R188</f>
        <v>0</v>
      </c>
      <c r="V55" s="129">
        <f>+Actuals!S268</f>
        <v>0</v>
      </c>
      <c r="W55" s="130">
        <f>+Actuals!T268</f>
        <v>0</v>
      </c>
      <c r="X55" s="129">
        <f>+Actuals!U268</f>
        <v>0</v>
      </c>
      <c r="Y55" s="130">
        <f>+Actuals!V268</f>
        <v>0</v>
      </c>
      <c r="Z55" s="129">
        <f>+Actuals!W268</f>
        <v>0</v>
      </c>
      <c r="AA55" s="130">
        <f>+Actuals!X268</f>
        <v>0</v>
      </c>
      <c r="AB55" s="129">
        <f>+Actuals!Y268</f>
        <v>0</v>
      </c>
      <c r="AC55" s="130">
        <f>+Actuals!Z268</f>
        <v>0</v>
      </c>
      <c r="AD55" s="129">
        <f>+Actuals!AA188</f>
        <v>0</v>
      </c>
      <c r="AE55" s="130">
        <f>+Actuals!AB188</f>
        <v>0</v>
      </c>
    </row>
    <row r="56" spans="1:31" x14ac:dyDescent="0.2">
      <c r="A56" s="9"/>
      <c r="B56" s="7" t="s">
        <v>60</v>
      </c>
      <c r="C56" s="6"/>
      <c r="D56" s="61">
        <f t="shared" ref="D56:AE56" si="16">SUM(D54:D55)</f>
        <v>-17068474</v>
      </c>
      <c r="E56" s="39">
        <f t="shared" si="16"/>
        <v>-1011333.08</v>
      </c>
      <c r="F56" s="61">
        <f t="shared" si="16"/>
        <v>0</v>
      </c>
      <c r="G56" s="39">
        <f t="shared" si="16"/>
        <v>2431508.9900000002</v>
      </c>
      <c r="H56" s="61">
        <f t="shared" si="16"/>
        <v>-16636979</v>
      </c>
      <c r="I56" s="39">
        <f t="shared" si="16"/>
        <v>-3365173.85</v>
      </c>
      <c r="J56" s="61">
        <f t="shared" si="16"/>
        <v>-250611</v>
      </c>
      <c r="K56" s="150">
        <f t="shared" si="16"/>
        <v>143797.66</v>
      </c>
      <c r="L56" s="61">
        <f t="shared" si="16"/>
        <v>-137914</v>
      </c>
      <c r="M56" s="39">
        <f t="shared" si="16"/>
        <v>-32005.809999999998</v>
      </c>
      <c r="N56" s="61">
        <f t="shared" si="16"/>
        <v>-42970</v>
      </c>
      <c r="O56" s="39">
        <f t="shared" si="16"/>
        <v>15797.97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-5348.04</v>
      </c>
      <c r="V56" s="61">
        <f t="shared" si="16"/>
        <v>0</v>
      </c>
      <c r="W56" s="39">
        <f t="shared" si="16"/>
        <v>-99955</v>
      </c>
      <c r="X56" s="61">
        <f t="shared" ref="X56:AC56" si="17">SUM(X54:X55)</f>
        <v>0</v>
      </c>
      <c r="Y56" s="39">
        <f t="shared" si="17"/>
        <v>-99955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7"/>
      <c r="G58" s="6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29">
        <f>+Actuals!E189</f>
        <v>0</v>
      </c>
      <c r="I59" s="130">
        <f>+Actuals!F189</f>
        <v>0</v>
      </c>
      <c r="J59" s="129">
        <f>+Actuals!G189</f>
        <v>0</v>
      </c>
      <c r="K59" s="149">
        <f>+Actuals!H189</f>
        <v>0</v>
      </c>
      <c r="L59" s="129">
        <f>+Actuals!I189</f>
        <v>0</v>
      </c>
      <c r="M59" s="130">
        <f>+Actuals!J189</f>
        <v>0</v>
      </c>
      <c r="N59" s="129">
        <f>+Actuals!K189</f>
        <v>0</v>
      </c>
      <c r="O59" s="130">
        <f>+Actuals!L189</f>
        <v>0</v>
      </c>
      <c r="P59" s="129">
        <f>+Actuals!M189</f>
        <v>0</v>
      </c>
      <c r="Q59" s="130">
        <f>+Actuals!N189</f>
        <v>0</v>
      </c>
      <c r="R59" s="129">
        <f>+Actuals!O189</f>
        <v>0</v>
      </c>
      <c r="S59" s="130">
        <f>+Actuals!P189</f>
        <v>0</v>
      </c>
      <c r="T59" s="129">
        <f>+Actuals!Q189</f>
        <v>0</v>
      </c>
      <c r="U59" s="130">
        <f>+Actuals!R189</f>
        <v>0</v>
      </c>
      <c r="V59" s="129">
        <f>+Actuals!S269</f>
        <v>0</v>
      </c>
      <c r="W59" s="130">
        <f>+Actuals!T269</f>
        <v>0</v>
      </c>
      <c r="X59" s="129">
        <f>+Actuals!U269</f>
        <v>0</v>
      </c>
      <c r="Y59" s="130">
        <f>+Actuals!V269</f>
        <v>0</v>
      </c>
      <c r="Z59" s="129">
        <f>+Actuals!W269</f>
        <v>0</v>
      </c>
      <c r="AA59" s="130">
        <f>+Actuals!X269</f>
        <v>0</v>
      </c>
      <c r="AB59" s="129">
        <f>+Actuals!Y269</f>
        <v>0</v>
      </c>
      <c r="AC59" s="130">
        <f>+Actuals!Z269</f>
        <v>0</v>
      </c>
      <c r="AD59" s="129">
        <f>+Actuals!AA189</f>
        <v>0</v>
      </c>
      <c r="AE59" s="130">
        <f>+Actuals!AB189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9">
        <f>+Actuals!E190</f>
        <v>0</v>
      </c>
      <c r="I60" s="130">
        <f>+Actuals!F190</f>
        <v>0</v>
      </c>
      <c r="J60" s="129">
        <f>+Actuals!G190</f>
        <v>0</v>
      </c>
      <c r="K60" s="149">
        <f>+Actuals!H190</f>
        <v>0</v>
      </c>
      <c r="L60" s="129">
        <f>+Actuals!I190</f>
        <v>0</v>
      </c>
      <c r="M60" s="130">
        <f>+Actuals!J190</f>
        <v>0</v>
      </c>
      <c r="N60" s="129">
        <f>+Actuals!K190</f>
        <v>0</v>
      </c>
      <c r="O60" s="130">
        <f>+Actuals!L190</f>
        <v>0</v>
      </c>
      <c r="P60" s="129">
        <f>+Actuals!M190</f>
        <v>0</v>
      </c>
      <c r="Q60" s="130">
        <f>+Actuals!N190</f>
        <v>0</v>
      </c>
      <c r="R60" s="129">
        <f>+Actuals!O190</f>
        <v>0</v>
      </c>
      <c r="S60" s="130">
        <f>+Actuals!P190</f>
        <v>0</v>
      </c>
      <c r="T60" s="129">
        <f>+Actuals!Q190</f>
        <v>0</v>
      </c>
      <c r="U60" s="130">
        <f>+Actuals!R190</f>
        <v>0</v>
      </c>
      <c r="V60" s="129">
        <f>+Actuals!S270</f>
        <v>0</v>
      </c>
      <c r="W60" s="130">
        <f>+Actuals!T270</f>
        <v>0</v>
      </c>
      <c r="X60" s="129">
        <f>+Actuals!U270</f>
        <v>0</v>
      </c>
      <c r="Y60" s="130">
        <f>+Actuals!V270</f>
        <v>0</v>
      </c>
      <c r="Z60" s="129">
        <f>+Actuals!W270</f>
        <v>0</v>
      </c>
      <c r="AA60" s="130">
        <f>+Actuals!X270</f>
        <v>0</v>
      </c>
      <c r="AB60" s="129">
        <f>+Actuals!Y270</f>
        <v>0</v>
      </c>
      <c r="AC60" s="130">
        <f>+Actuals!Z270</f>
        <v>0</v>
      </c>
      <c r="AD60" s="129">
        <f>+Actuals!AA190</f>
        <v>0</v>
      </c>
      <c r="AE60" s="130">
        <f>+Actuals!AB190</f>
        <v>0</v>
      </c>
    </row>
    <row r="61" spans="1:31" x14ac:dyDescent="0.2">
      <c r="A61" s="9"/>
      <c r="B61" s="62" t="s">
        <v>64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9">
        <f>+Actuals!E191</f>
        <v>0</v>
      </c>
      <c r="I64" s="130">
        <f>+Actuals!F191</f>
        <v>0</v>
      </c>
      <c r="J64" s="129">
        <f>+Actuals!G191</f>
        <v>0</v>
      </c>
      <c r="K64" s="149">
        <f>+Actuals!H191</f>
        <v>0</v>
      </c>
      <c r="L64" s="129">
        <f>+Actuals!I191</f>
        <v>0</v>
      </c>
      <c r="M64" s="130">
        <f>+Actuals!J191</f>
        <v>0</v>
      </c>
      <c r="N64" s="129">
        <f>+Actuals!K191</f>
        <v>0</v>
      </c>
      <c r="O64" s="130">
        <f>+Actuals!L191</f>
        <v>0</v>
      </c>
      <c r="P64" s="129">
        <f>+Actuals!M191</f>
        <v>0</v>
      </c>
      <c r="Q64" s="130">
        <f>+Actuals!N191</f>
        <v>0</v>
      </c>
      <c r="R64" s="129">
        <f>+Actuals!O191</f>
        <v>0</v>
      </c>
      <c r="S64" s="130">
        <f>+Actuals!P191</f>
        <v>0</v>
      </c>
      <c r="T64" s="129">
        <f>+Actuals!Q191</f>
        <v>0</v>
      </c>
      <c r="U64" s="130">
        <f>+Actuals!R191</f>
        <v>0</v>
      </c>
      <c r="V64" s="129">
        <f>+Actuals!S271</f>
        <v>0</v>
      </c>
      <c r="W64" s="130">
        <f>+Actuals!T271</f>
        <v>0</v>
      </c>
      <c r="X64" s="129">
        <f>+Actuals!U271</f>
        <v>0</v>
      </c>
      <c r="Y64" s="130">
        <f>+Actuals!V271</f>
        <v>0</v>
      </c>
      <c r="Z64" s="129">
        <f>+Actuals!W271</f>
        <v>0</v>
      </c>
      <c r="AA64" s="130">
        <f>+Actuals!X271</f>
        <v>0</v>
      </c>
      <c r="AB64" s="129">
        <f>+Actuals!Y271</f>
        <v>0</v>
      </c>
      <c r="AC64" s="130">
        <f>+Actuals!Z271</f>
        <v>0</v>
      </c>
      <c r="AD64" s="129">
        <f>+Actuals!AA191</f>
        <v>0</v>
      </c>
      <c r="AE64" s="130">
        <f>+Actuals!AB191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9">
        <f>+Actuals!E192</f>
        <v>0</v>
      </c>
      <c r="I65" s="130">
        <f>+Actuals!F192</f>
        <v>0</v>
      </c>
      <c r="J65" s="129">
        <f>+Actuals!G192</f>
        <v>0</v>
      </c>
      <c r="K65" s="149">
        <f>+Actuals!H192</f>
        <v>0</v>
      </c>
      <c r="L65" s="129">
        <f>+Actuals!I192</f>
        <v>0</v>
      </c>
      <c r="M65" s="130">
        <f>+Actuals!J192</f>
        <v>0</v>
      </c>
      <c r="N65" s="129">
        <f>+Actuals!K192</f>
        <v>0</v>
      </c>
      <c r="O65" s="130">
        <f>+Actuals!L192</f>
        <v>0</v>
      </c>
      <c r="P65" s="129">
        <f>+Actuals!M192</f>
        <v>0</v>
      </c>
      <c r="Q65" s="130">
        <f>+Actuals!N192</f>
        <v>0</v>
      </c>
      <c r="R65" s="129">
        <f>+Actuals!O192</f>
        <v>0</v>
      </c>
      <c r="S65" s="130">
        <f>+Actuals!P192</f>
        <v>0</v>
      </c>
      <c r="T65" s="129">
        <f>+Actuals!Q192</f>
        <v>0</v>
      </c>
      <c r="U65" s="130">
        <f>+Actuals!R192</f>
        <v>0</v>
      </c>
      <c r="V65" s="129">
        <f>+Actuals!S272</f>
        <v>0</v>
      </c>
      <c r="W65" s="130">
        <f>+Actuals!T272</f>
        <v>0</v>
      </c>
      <c r="X65" s="129">
        <f>+Actuals!U272</f>
        <v>0</v>
      </c>
      <c r="Y65" s="130">
        <f>+Actuals!V272</f>
        <v>0</v>
      </c>
      <c r="Z65" s="129">
        <f>+Actuals!W272</f>
        <v>0</v>
      </c>
      <c r="AA65" s="130">
        <f>+Actuals!X272</f>
        <v>0</v>
      </c>
      <c r="AB65" s="129">
        <f>+Actuals!Y272</f>
        <v>0</v>
      </c>
      <c r="AC65" s="130">
        <f>+Actuals!Z272</f>
        <v>0</v>
      </c>
      <c r="AD65" s="129">
        <f>+Actuals!AA192</f>
        <v>0</v>
      </c>
      <c r="AE65" s="130">
        <f>+Actuals!AB192</f>
        <v>0</v>
      </c>
    </row>
    <row r="66" spans="1:31" x14ac:dyDescent="0.2">
      <c r="A66" s="9"/>
      <c r="B66" s="7" t="s">
        <v>67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5679557.9500000002</v>
      </c>
      <c r="F70" s="64">
        <f>'TIE-OUT'!H70+RECLASS!H70</f>
        <v>0</v>
      </c>
      <c r="G70" s="68">
        <f>'TIE-OUT'!I70+RECLASS!I70</f>
        <v>5679557.9500000002</v>
      </c>
      <c r="H70" s="129">
        <f>+Actuals!E193</f>
        <v>0</v>
      </c>
      <c r="I70" s="130">
        <f>+Actuals!F193</f>
        <v>0</v>
      </c>
      <c r="J70" s="129">
        <f>+Actuals!G193</f>
        <v>0</v>
      </c>
      <c r="K70" s="159">
        <v>0</v>
      </c>
      <c r="L70" s="129">
        <f>+Actuals!I193</f>
        <v>0</v>
      </c>
      <c r="M70" s="130">
        <f>+Actuals!J193</f>
        <v>0</v>
      </c>
      <c r="N70" s="129">
        <f>+Actuals!K193</f>
        <v>0</v>
      </c>
      <c r="O70" s="130">
        <f>+Actuals!L193</f>
        <v>0</v>
      </c>
      <c r="P70" s="129">
        <f>+Actuals!M193</f>
        <v>0</v>
      </c>
      <c r="Q70" s="130">
        <f>+Actuals!N193</f>
        <v>0</v>
      </c>
      <c r="R70" s="129">
        <f>+Actuals!O193</f>
        <v>0</v>
      </c>
      <c r="S70" s="130">
        <f>+Actuals!P193</f>
        <v>0</v>
      </c>
      <c r="T70" s="129">
        <f>+Actuals!Q193</f>
        <v>0</v>
      </c>
      <c r="U70" s="130">
        <f>+Actuals!R193</f>
        <v>0</v>
      </c>
      <c r="V70" s="129">
        <f>+Actuals!S273</f>
        <v>0</v>
      </c>
      <c r="W70" s="130">
        <f>+Actuals!T273</f>
        <v>0</v>
      </c>
      <c r="X70" s="129">
        <f>+Actuals!U273</f>
        <v>0</v>
      </c>
      <c r="Y70" s="130">
        <f>+Actuals!V273</f>
        <v>0</v>
      </c>
      <c r="Z70" s="129">
        <f>+Actuals!W273</f>
        <v>0</v>
      </c>
      <c r="AA70" s="130">
        <f>+Actuals!X273</f>
        <v>0</v>
      </c>
      <c r="AB70" s="129">
        <f>+Actuals!Y273</f>
        <v>0</v>
      </c>
      <c r="AC70" s="130">
        <f>+Actuals!Z273</f>
        <v>0</v>
      </c>
      <c r="AD70" s="129">
        <f>+Actuals!AA193</f>
        <v>0</v>
      </c>
      <c r="AE70" s="130">
        <f>+Actuals!AB193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-2849706</v>
      </c>
      <c r="F71" s="81">
        <f>'TIE-OUT'!H71+RECLASS!H71</f>
        <v>0</v>
      </c>
      <c r="G71" s="82">
        <f>'TIE-OUT'!I71+RECLASS!I71</f>
        <v>-2849706</v>
      </c>
      <c r="H71" s="129">
        <f>+Actuals!E194</f>
        <v>0</v>
      </c>
      <c r="I71" s="130">
        <f>+Actuals!F194</f>
        <v>0</v>
      </c>
      <c r="J71" s="129">
        <f>+Actuals!G194</f>
        <v>0</v>
      </c>
      <c r="K71" s="149">
        <f>+Actuals!H194</f>
        <v>0</v>
      </c>
      <c r="L71" s="129">
        <f>+Actuals!I194</f>
        <v>0</v>
      </c>
      <c r="M71" s="130">
        <f>+Actuals!J194</f>
        <v>0</v>
      </c>
      <c r="N71" s="129">
        <f>+Actuals!K194</f>
        <v>0</v>
      </c>
      <c r="O71" s="130">
        <f>+Actuals!L194</f>
        <v>0</v>
      </c>
      <c r="P71" s="129">
        <f>+Actuals!M194</f>
        <v>0</v>
      </c>
      <c r="Q71" s="130">
        <f>+Actuals!N194</f>
        <v>0</v>
      </c>
      <c r="R71" s="129">
        <f>+Actuals!O194</f>
        <v>0</v>
      </c>
      <c r="S71" s="130">
        <f>+Actuals!P194</f>
        <v>0</v>
      </c>
      <c r="T71" s="129">
        <f>+Actuals!Q194</f>
        <v>0</v>
      </c>
      <c r="U71" s="130">
        <f>+Actuals!R194</f>
        <v>0</v>
      </c>
      <c r="V71" s="129">
        <f>+Actuals!S274</f>
        <v>0</v>
      </c>
      <c r="W71" s="130">
        <f>+Actuals!T274</f>
        <v>0</v>
      </c>
      <c r="X71" s="129">
        <f>+Actuals!U274</f>
        <v>0</v>
      </c>
      <c r="Y71" s="130">
        <f>+Actuals!V274</f>
        <v>0</v>
      </c>
      <c r="Z71" s="129">
        <f>+Actuals!W274</f>
        <v>0</v>
      </c>
      <c r="AA71" s="130">
        <f>+Actuals!X274</f>
        <v>0</v>
      </c>
      <c r="AB71" s="129">
        <f>+Actuals!Y274</f>
        <v>0</v>
      </c>
      <c r="AC71" s="130">
        <f>+Actuals!Z274</f>
        <v>0</v>
      </c>
      <c r="AD71" s="129">
        <f>+Actuals!AA194</f>
        <v>0</v>
      </c>
      <c r="AE71" s="130">
        <f>+Actuals!AB194</f>
        <v>0</v>
      </c>
    </row>
    <row r="72" spans="1:31" x14ac:dyDescent="0.2">
      <c r="A72" s="9"/>
      <c r="B72" s="3"/>
      <c r="C72" s="55" t="s">
        <v>72</v>
      </c>
      <c r="D72" s="61">
        <f t="shared" ref="D72:AE72" si="22">SUM(D70:D71)</f>
        <v>0</v>
      </c>
      <c r="E72" s="39">
        <f t="shared" si="22"/>
        <v>2829851.95</v>
      </c>
      <c r="F72" s="61">
        <f t="shared" si="22"/>
        <v>0</v>
      </c>
      <c r="G72" s="39">
        <f t="shared" si="22"/>
        <v>2829851.95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9">
        <f>+Actuals!E195</f>
        <v>0</v>
      </c>
      <c r="I73" s="130">
        <f>+Actuals!F195</f>
        <v>0</v>
      </c>
      <c r="J73" s="129">
        <f>+Actuals!G195</f>
        <v>0</v>
      </c>
      <c r="K73" s="149">
        <f>+Actuals!H195</f>
        <v>0</v>
      </c>
      <c r="L73" s="129">
        <f>+Actuals!I195</f>
        <v>0</v>
      </c>
      <c r="M73" s="130">
        <f>+Actuals!J195</f>
        <v>0</v>
      </c>
      <c r="N73" s="129">
        <f>+Actuals!K195</f>
        <v>0</v>
      </c>
      <c r="O73" s="130">
        <f>+Actuals!L195</f>
        <v>0</v>
      </c>
      <c r="P73" s="129">
        <f>+Actuals!M195</f>
        <v>0</v>
      </c>
      <c r="Q73" s="130">
        <f>+Actuals!N195</f>
        <v>0</v>
      </c>
      <c r="R73" s="129">
        <f>+Actuals!O195</f>
        <v>0</v>
      </c>
      <c r="S73" s="130">
        <f>+Actuals!P195</f>
        <v>0</v>
      </c>
      <c r="T73" s="129">
        <f>+Actuals!Q195</f>
        <v>0</v>
      </c>
      <c r="U73" s="130">
        <f>+Actuals!R195</f>
        <v>0</v>
      </c>
      <c r="V73" s="129">
        <f>+Actuals!S275</f>
        <v>0</v>
      </c>
      <c r="W73" s="130">
        <f>+Actuals!T275</f>
        <v>0</v>
      </c>
      <c r="X73" s="129">
        <f>+Actuals!U275</f>
        <v>0</v>
      </c>
      <c r="Y73" s="130">
        <f>+Actuals!V275</f>
        <v>0</v>
      </c>
      <c r="Z73" s="129">
        <f>+Actuals!W275</f>
        <v>0</v>
      </c>
      <c r="AA73" s="130">
        <f>+Actuals!X275</f>
        <v>0</v>
      </c>
      <c r="AB73" s="129">
        <f>+Actuals!Y275</f>
        <v>0</v>
      </c>
      <c r="AC73" s="130">
        <f>+Actuals!Z275</f>
        <v>0</v>
      </c>
      <c r="AD73" s="129">
        <f>+Actuals!AA195</f>
        <v>0</v>
      </c>
      <c r="AE73" s="130">
        <f>+Actuals!AB195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-1847776</v>
      </c>
      <c r="F74" s="60">
        <f>'TIE-OUT'!H74+RECLASS!H74</f>
        <v>0</v>
      </c>
      <c r="G74" s="60">
        <f>'TIE-OUT'!I74+RECLASS!I74</f>
        <v>-1830766</v>
      </c>
      <c r="H74" s="129">
        <f>+Actuals!E196</f>
        <v>0</v>
      </c>
      <c r="I74" s="130">
        <f>+Actuals!F196</f>
        <v>0</v>
      </c>
      <c r="J74" s="129">
        <f>+Actuals!G196</f>
        <v>0</v>
      </c>
      <c r="K74" s="159">
        <f>-21060+4050</f>
        <v>-17010</v>
      </c>
      <c r="L74" s="129">
        <f>+Actuals!I196</f>
        <v>0</v>
      </c>
      <c r="M74" s="130">
        <f>+Actuals!J196</f>
        <v>0</v>
      </c>
      <c r="N74" s="129">
        <f>+Actuals!K196</f>
        <v>0</v>
      </c>
      <c r="O74" s="130">
        <f>+Actuals!L196</f>
        <v>0</v>
      </c>
      <c r="P74" s="129">
        <f>+Actuals!M196</f>
        <v>0</v>
      </c>
      <c r="Q74" s="130">
        <f>+Actuals!N196</f>
        <v>0</v>
      </c>
      <c r="R74" s="129">
        <f>+Actuals!O196</f>
        <v>0</v>
      </c>
      <c r="S74" s="130">
        <f>+Actuals!P196</f>
        <v>0</v>
      </c>
      <c r="T74" s="129">
        <f>+Actuals!Q196</f>
        <v>0</v>
      </c>
      <c r="U74" s="130">
        <f>+Actuals!R196</f>
        <v>0</v>
      </c>
      <c r="V74" s="129">
        <f>+Actuals!S276</f>
        <v>0</v>
      </c>
      <c r="W74" s="130">
        <f>+Actuals!T276</f>
        <v>0</v>
      </c>
      <c r="X74" s="129">
        <f>+Actuals!U276</f>
        <v>0</v>
      </c>
      <c r="Y74" s="130">
        <f>+Actuals!V276</f>
        <v>0</v>
      </c>
      <c r="Z74" s="129">
        <f>+Actuals!W276</f>
        <v>0</v>
      </c>
      <c r="AA74" s="130">
        <f>+Actuals!X276</f>
        <v>0</v>
      </c>
      <c r="AB74" s="129">
        <f>+Actuals!Y276</f>
        <v>0</v>
      </c>
      <c r="AC74" s="130">
        <f>+Actuals!Z276</f>
        <v>0</v>
      </c>
      <c r="AD74" s="129">
        <f>+Actuals!AA196</f>
        <v>0</v>
      </c>
      <c r="AE74" s="130">
        <f>+Actuals!AB196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59000</v>
      </c>
      <c r="F75" s="60">
        <f>'TIE-OUT'!H75+RECLASS!H75</f>
        <v>0</v>
      </c>
      <c r="G75" s="60">
        <f>'TIE-OUT'!I75+RECLASS!I75</f>
        <v>59000</v>
      </c>
      <c r="H75" s="129">
        <f>+Actuals!E197</f>
        <v>0</v>
      </c>
      <c r="I75" s="130">
        <f>+Actuals!F197</f>
        <v>0</v>
      </c>
      <c r="J75" s="129">
        <f>+Actuals!G197</f>
        <v>0</v>
      </c>
      <c r="K75" s="149">
        <f>+Actuals!H197</f>
        <v>0</v>
      </c>
      <c r="L75" s="129">
        <f>+Actuals!I197</f>
        <v>0</v>
      </c>
      <c r="M75" s="130">
        <f>+Actuals!J197</f>
        <v>0</v>
      </c>
      <c r="N75" s="129">
        <f>+Actuals!K197</f>
        <v>0</v>
      </c>
      <c r="O75" s="130">
        <f>+Actuals!L197</f>
        <v>0</v>
      </c>
      <c r="P75" s="129">
        <f>+Actuals!M197</f>
        <v>0</v>
      </c>
      <c r="Q75" s="130">
        <f>+Actuals!N197</f>
        <v>0</v>
      </c>
      <c r="R75" s="129">
        <f>+Actuals!O197</f>
        <v>0</v>
      </c>
      <c r="S75" s="130">
        <f>+Actuals!P197</f>
        <v>0</v>
      </c>
      <c r="T75" s="129">
        <f>+Actuals!Q197</f>
        <v>0</v>
      </c>
      <c r="U75" s="130">
        <f>+Actuals!R197</f>
        <v>0</v>
      </c>
      <c r="V75" s="129">
        <f>+Actuals!S277</f>
        <v>0</v>
      </c>
      <c r="W75" s="130">
        <f>+Actuals!T277</f>
        <v>0</v>
      </c>
      <c r="X75" s="129">
        <f>+Actuals!U277</f>
        <v>0</v>
      </c>
      <c r="Y75" s="130">
        <f>+Actuals!V277</f>
        <v>0</v>
      </c>
      <c r="Z75" s="129">
        <f>+Actuals!W277</f>
        <v>0</v>
      </c>
      <c r="AA75" s="130">
        <f>+Actuals!X277</f>
        <v>0</v>
      </c>
      <c r="AB75" s="129">
        <f>+Actuals!Y277</f>
        <v>0</v>
      </c>
      <c r="AC75" s="130">
        <f>+Actuals!Z277</f>
        <v>0</v>
      </c>
      <c r="AD75" s="129">
        <f>+Actuals!AA197</f>
        <v>0</v>
      </c>
      <c r="AE75" s="130">
        <f>+Actuals!AB197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-259215.52</v>
      </c>
      <c r="F76" s="60">
        <f>'TIE-OUT'!H76+RECLASS!H76</f>
        <v>0</v>
      </c>
      <c r="G76" s="60">
        <f>'TIE-OUT'!I76+RECLASS!I76</f>
        <v>0</v>
      </c>
      <c r="H76" s="129">
        <f>+Actuals!E198</f>
        <v>0</v>
      </c>
      <c r="I76" s="130">
        <f>+Actuals!F198</f>
        <v>0</v>
      </c>
      <c r="J76" s="129">
        <f>+Actuals!G198</f>
        <v>0</v>
      </c>
      <c r="K76" s="149">
        <f>+Actuals!H198</f>
        <v>-259215.52</v>
      </c>
      <c r="L76" s="129">
        <f>+Actuals!I198</f>
        <v>0</v>
      </c>
      <c r="M76" s="130">
        <f>+Actuals!J198</f>
        <v>0</v>
      </c>
      <c r="N76" s="129">
        <f>+Actuals!K198</f>
        <v>0</v>
      </c>
      <c r="O76" s="130">
        <f>+Actuals!L198</f>
        <v>0</v>
      </c>
      <c r="P76" s="129">
        <f>+Actuals!M198</f>
        <v>0</v>
      </c>
      <c r="Q76" s="130">
        <f>+Actuals!N198</f>
        <v>0</v>
      </c>
      <c r="R76" s="129">
        <f>+Actuals!O198</f>
        <v>0</v>
      </c>
      <c r="S76" s="130">
        <f>+Actuals!P198</f>
        <v>0</v>
      </c>
      <c r="T76" s="129">
        <f>+Actuals!Q198</f>
        <v>0</v>
      </c>
      <c r="U76" s="130">
        <f>+Actuals!R198</f>
        <v>0</v>
      </c>
      <c r="V76" s="129">
        <f>+Actuals!S278</f>
        <v>0</v>
      </c>
      <c r="W76" s="130">
        <f>+Actuals!T278</f>
        <v>0</v>
      </c>
      <c r="X76" s="129">
        <f>+Actuals!U278</f>
        <v>0</v>
      </c>
      <c r="Y76" s="130">
        <f>+Actuals!V278</f>
        <v>0</v>
      </c>
      <c r="Z76" s="129">
        <f>+Actuals!W278</f>
        <v>0</v>
      </c>
      <c r="AA76" s="130">
        <f>+Actuals!X278</f>
        <v>0</v>
      </c>
      <c r="AB76" s="129">
        <f>+Actuals!Y278</f>
        <v>0</v>
      </c>
      <c r="AC76" s="130">
        <f>+Actuals!Z278</f>
        <v>0</v>
      </c>
      <c r="AD76" s="129">
        <f>+Actuals!AA198</f>
        <v>0</v>
      </c>
      <c r="AE76" s="130">
        <f>+Actuals!AB198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-3933809</v>
      </c>
      <c r="F77" s="60">
        <f>'TIE-OUT'!H77+RECLASS!H77</f>
        <v>0</v>
      </c>
      <c r="G77" s="60">
        <f>'TIE-OUT'!I77+RECLASS!I77</f>
        <v>-3933809</v>
      </c>
      <c r="H77" s="129">
        <f>+Actuals!E199</f>
        <v>0</v>
      </c>
      <c r="I77" s="130">
        <f>+Actuals!F199</f>
        <v>0</v>
      </c>
      <c r="J77" s="129">
        <f>+Actuals!G199</f>
        <v>0</v>
      </c>
      <c r="K77" s="149">
        <f>+Actuals!H199</f>
        <v>0</v>
      </c>
      <c r="L77" s="129">
        <f>+Actuals!I199</f>
        <v>0</v>
      </c>
      <c r="M77" s="130">
        <f>+Actuals!J199</f>
        <v>0</v>
      </c>
      <c r="N77" s="129">
        <f>+Actuals!K199</f>
        <v>0</v>
      </c>
      <c r="O77" s="130">
        <f>+Actuals!L199</f>
        <v>0</v>
      </c>
      <c r="P77" s="129">
        <f>+Actuals!M199</f>
        <v>0</v>
      </c>
      <c r="Q77" s="130">
        <f>+Actuals!N199</f>
        <v>0</v>
      </c>
      <c r="R77" s="129">
        <f>+Actuals!O199</f>
        <v>0</v>
      </c>
      <c r="S77" s="130">
        <f>+Actuals!P199</f>
        <v>0</v>
      </c>
      <c r="T77" s="129">
        <f>+Actuals!Q199</f>
        <v>0</v>
      </c>
      <c r="U77" s="130">
        <f>+Actuals!R199</f>
        <v>0</v>
      </c>
      <c r="V77" s="129">
        <f>+Actuals!S279</f>
        <v>0</v>
      </c>
      <c r="W77" s="130">
        <f>+Actuals!T279</f>
        <v>0</v>
      </c>
      <c r="X77" s="129">
        <f>+Actuals!U279</f>
        <v>0</v>
      </c>
      <c r="Y77" s="130">
        <f>+Actuals!V279</f>
        <v>0</v>
      </c>
      <c r="Z77" s="129">
        <f>+Actuals!W279</f>
        <v>0</v>
      </c>
      <c r="AA77" s="130">
        <f>+Actuals!X279</f>
        <v>0</v>
      </c>
      <c r="AB77" s="129">
        <f>+Actuals!Y279</f>
        <v>0</v>
      </c>
      <c r="AC77" s="130">
        <f>+Actuals!Z279</f>
        <v>0</v>
      </c>
      <c r="AD77" s="129">
        <f>+Actuals!AA199</f>
        <v>0</v>
      </c>
      <c r="AE77" s="130">
        <f>+Actuals!AB199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9">
        <f>+Actuals!E200</f>
        <v>0</v>
      </c>
      <c r="I78" s="130">
        <f>+Actuals!F200</f>
        <v>0</v>
      </c>
      <c r="J78" s="129">
        <f>+Actuals!G200</f>
        <v>0</v>
      </c>
      <c r="K78" s="149">
        <f>+Actuals!H200</f>
        <v>0</v>
      </c>
      <c r="L78" s="129">
        <f>+Actuals!I200</f>
        <v>0</v>
      </c>
      <c r="M78" s="130">
        <f>+Actuals!J200</f>
        <v>0</v>
      </c>
      <c r="N78" s="129">
        <f>+Actuals!K200</f>
        <v>0</v>
      </c>
      <c r="O78" s="130">
        <f>+Actuals!L200</f>
        <v>0</v>
      </c>
      <c r="P78" s="129">
        <f>+Actuals!M200</f>
        <v>0</v>
      </c>
      <c r="Q78" s="130">
        <f>+Actuals!N200</f>
        <v>0</v>
      </c>
      <c r="R78" s="129">
        <f>+Actuals!O200</f>
        <v>0</v>
      </c>
      <c r="S78" s="130">
        <f>+Actuals!P200</f>
        <v>0</v>
      </c>
      <c r="T78" s="129">
        <f>+Actuals!Q200</f>
        <v>0</v>
      </c>
      <c r="U78" s="130">
        <f>+Actuals!R200</f>
        <v>0</v>
      </c>
      <c r="V78" s="129">
        <f>+Actuals!S280</f>
        <v>0</v>
      </c>
      <c r="W78" s="130">
        <f>+Actuals!T280</f>
        <v>0</v>
      </c>
      <c r="X78" s="129">
        <f>+Actuals!U280</f>
        <v>0</v>
      </c>
      <c r="Y78" s="130">
        <f>+Actuals!V280</f>
        <v>0</v>
      </c>
      <c r="Z78" s="129">
        <f>+Actuals!W280</f>
        <v>0</v>
      </c>
      <c r="AA78" s="130">
        <f>+Actuals!X280</f>
        <v>0</v>
      </c>
      <c r="AB78" s="129">
        <f>+Actuals!Y280</f>
        <v>0</v>
      </c>
      <c r="AC78" s="130">
        <f>+Actuals!Z280</f>
        <v>0</v>
      </c>
      <c r="AD78" s="129">
        <f>+Actuals!AA200</f>
        <v>0</v>
      </c>
      <c r="AE78" s="130">
        <f>+Actuals!AB200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224706</v>
      </c>
      <c r="F79" s="60">
        <f>'TIE-OUT'!H79+RECLASS!H79</f>
        <v>0</v>
      </c>
      <c r="G79" s="60">
        <f>'TIE-OUT'!I79+RECLASS!I79</f>
        <v>224706</v>
      </c>
      <c r="H79" s="129">
        <f>+Actuals!E201</f>
        <v>0</v>
      </c>
      <c r="I79" s="130">
        <f>+Actuals!F201</f>
        <v>0</v>
      </c>
      <c r="J79" s="129">
        <f>+Actuals!G201</f>
        <v>0</v>
      </c>
      <c r="K79" s="149">
        <f>+Actuals!H201</f>
        <v>0</v>
      </c>
      <c r="L79" s="129">
        <f>+Actuals!I201</f>
        <v>0</v>
      </c>
      <c r="M79" s="130">
        <f>+Actuals!J201</f>
        <v>0</v>
      </c>
      <c r="N79" s="129">
        <f>+Actuals!K201</f>
        <v>0</v>
      </c>
      <c r="O79" s="130">
        <f>+Actuals!L201</f>
        <v>0</v>
      </c>
      <c r="P79" s="129">
        <f>+Actuals!M201</f>
        <v>0</v>
      </c>
      <c r="Q79" s="130">
        <f>+Actuals!N201</f>
        <v>0</v>
      </c>
      <c r="R79" s="129">
        <f>+Actuals!O201</f>
        <v>0</v>
      </c>
      <c r="S79" s="130">
        <f>+Actuals!P201</f>
        <v>0</v>
      </c>
      <c r="T79" s="129">
        <f>+Actuals!Q201</f>
        <v>0</v>
      </c>
      <c r="U79" s="130">
        <f>+Actuals!R201</f>
        <v>0</v>
      </c>
      <c r="V79" s="129">
        <f>+Actuals!S281</f>
        <v>0</v>
      </c>
      <c r="W79" s="130">
        <f>+Actuals!T281</f>
        <v>0</v>
      </c>
      <c r="X79" s="129">
        <f>+Actuals!U281</f>
        <v>0</v>
      </c>
      <c r="Y79" s="130">
        <f>+Actuals!V281</f>
        <v>0</v>
      </c>
      <c r="Z79" s="129">
        <f>+Actuals!W281</f>
        <v>0</v>
      </c>
      <c r="AA79" s="130">
        <f>+Actuals!X281</f>
        <v>0</v>
      </c>
      <c r="AB79" s="129">
        <f>+Actuals!Y281</f>
        <v>0</v>
      </c>
      <c r="AC79" s="130">
        <f>+Actuals!Z281</f>
        <v>0</v>
      </c>
      <c r="AD79" s="129">
        <f>+Actuals!AA201</f>
        <v>0</v>
      </c>
      <c r="AE79" s="130">
        <f>+Actuals!AB201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9">
        <f>+Actuals!E202</f>
        <v>0</v>
      </c>
      <c r="I80" s="130">
        <f>+Actuals!F202</f>
        <v>0</v>
      </c>
      <c r="J80" s="129">
        <f>+Actuals!G202</f>
        <v>0</v>
      </c>
      <c r="K80" s="149">
        <f>+Actuals!H202</f>
        <v>0</v>
      </c>
      <c r="L80" s="129">
        <f>+Actuals!I202</f>
        <v>0</v>
      </c>
      <c r="M80" s="130">
        <f>+Actuals!J202</f>
        <v>0</v>
      </c>
      <c r="N80" s="129">
        <f>+Actuals!K202</f>
        <v>0</v>
      </c>
      <c r="O80" s="130">
        <f>+Actuals!L202</f>
        <v>0</v>
      </c>
      <c r="P80" s="129">
        <f>+Actuals!M202</f>
        <v>0</v>
      </c>
      <c r="Q80" s="130">
        <f>+Actuals!N202</f>
        <v>0</v>
      </c>
      <c r="R80" s="129">
        <f>+Actuals!O202</f>
        <v>0</v>
      </c>
      <c r="S80" s="130">
        <f>+Actuals!P202</f>
        <v>0</v>
      </c>
      <c r="T80" s="129">
        <f>+Actuals!Q202</f>
        <v>0</v>
      </c>
      <c r="U80" s="130">
        <f>+Actuals!R202</f>
        <v>0</v>
      </c>
      <c r="V80" s="129">
        <f>+Actuals!S282</f>
        <v>0</v>
      </c>
      <c r="W80" s="130">
        <f>+Actuals!T282</f>
        <v>0</v>
      </c>
      <c r="X80" s="129">
        <f>+Actuals!U282</f>
        <v>0</v>
      </c>
      <c r="Y80" s="130">
        <f>+Actuals!V282</f>
        <v>0</v>
      </c>
      <c r="Z80" s="129">
        <f>+Actuals!W282</f>
        <v>0</v>
      </c>
      <c r="AA80" s="130">
        <f>+Actuals!X282</f>
        <v>0</v>
      </c>
      <c r="AB80" s="129">
        <f>+Actuals!Y282</f>
        <v>0</v>
      </c>
      <c r="AC80" s="130">
        <f>+Actuals!Z282</f>
        <v>0</v>
      </c>
      <c r="AD80" s="129">
        <f>+Actuals!AA202</f>
        <v>0</v>
      </c>
      <c r="AE80" s="130">
        <f>+Actuals!AB202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789835.96</v>
      </c>
      <c r="F81" s="60">
        <f>'TIE-OUT'!H81+RECLASS!H81</f>
        <v>0</v>
      </c>
      <c r="G81" s="60">
        <f>'TIE-OUT'!I81+RECLASS!I81</f>
        <v>0</v>
      </c>
      <c r="H81" s="129">
        <f>+Actuals!E203</f>
        <v>0</v>
      </c>
      <c r="I81" s="130">
        <f>+Actuals!F203</f>
        <v>750268.76</v>
      </c>
      <c r="J81" s="129">
        <f>+Actuals!G203</f>
        <v>0</v>
      </c>
      <c r="K81" s="149">
        <f>+Actuals!H203</f>
        <v>39567.199999999997</v>
      </c>
      <c r="L81" s="129">
        <f>+Actuals!I203</f>
        <v>0</v>
      </c>
      <c r="M81" s="130">
        <f>+Actuals!J203</f>
        <v>0</v>
      </c>
      <c r="N81" s="129">
        <f>+Actuals!K203</f>
        <v>0</v>
      </c>
      <c r="O81" s="130">
        <f>+Actuals!L203</f>
        <v>0</v>
      </c>
      <c r="P81" s="129">
        <f>+Actuals!M203</f>
        <v>0</v>
      </c>
      <c r="Q81" s="130">
        <f>+Actuals!N203</f>
        <v>0</v>
      </c>
      <c r="R81" s="129">
        <f>+Actuals!O203</f>
        <v>0</v>
      </c>
      <c r="S81" s="130">
        <f>+Actuals!P203</f>
        <v>0</v>
      </c>
      <c r="T81" s="129">
        <f>+Actuals!Q203</f>
        <v>0</v>
      </c>
      <c r="U81" s="130">
        <f>+Actuals!R203</f>
        <v>0</v>
      </c>
      <c r="V81" s="129">
        <f>+Actuals!S283</f>
        <v>0</v>
      </c>
      <c r="W81" s="130">
        <f>+Actuals!T283</f>
        <v>0</v>
      </c>
      <c r="X81" s="129">
        <f>+Actuals!U283</f>
        <v>0</v>
      </c>
      <c r="Y81" s="130">
        <f>+Actuals!V283</f>
        <v>0</v>
      </c>
      <c r="Z81" s="129">
        <f>+Actuals!W283</f>
        <v>0</v>
      </c>
      <c r="AA81" s="130">
        <f>+Actuals!X283</f>
        <v>0</v>
      </c>
      <c r="AB81" s="129">
        <f>+Actuals!Y283</f>
        <v>0</v>
      </c>
      <c r="AC81" s="130">
        <f>+Actuals!Z283</f>
        <v>0</v>
      </c>
      <c r="AD81" s="129">
        <f>+Actuals!AA203</f>
        <v>0</v>
      </c>
      <c r="AE81" s="130">
        <f>+Actuals!AB203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-4355510.1729999892</v>
      </c>
      <c r="F82" s="92">
        <f>F16+F24+F29+F36+F43+F45+F47+F49</f>
        <v>0</v>
      </c>
      <c r="G82" s="93">
        <f>SUM(G72:G81)+G16+G24+G29+G36+G43+G45+G47+G49+G51+G56+G61+G66</f>
        <v>-6423368.4000000004</v>
      </c>
      <c r="H82" s="92">
        <f>H16+H24+H29+H36+H43+H45+H47+H49</f>
        <v>0</v>
      </c>
      <c r="I82" s="93">
        <f>SUM(I72:I81)+I16+I24+I29+I36+I43+I45+I47+I49+I51+I56+I61+I66</f>
        <v>3989583.5030000149</v>
      </c>
      <c r="J82" s="92">
        <f>J16+J24+J29+J36+J43+J45+J47+J49</f>
        <v>0</v>
      </c>
      <c r="K82" s="160">
        <f>SUM(K72:K81)+K16+K24+K29+K36+K43+K45+K47+K49+K51+K56+K61+K66</f>
        <v>14822451.627000004</v>
      </c>
      <c r="L82" s="92">
        <f>L16+L24+L29+L36+L43+L45+L47+L49</f>
        <v>0</v>
      </c>
      <c r="M82" s="93">
        <f>SUM(M72:M81)+M16+M24+M29+M36+M43+M45+M47+M49+M51+M56+M61+M66</f>
        <v>-57715.955000000293</v>
      </c>
      <c r="N82" s="92">
        <f>N16+N24+N29+N36+N43+N45+N47+N49</f>
        <v>0</v>
      </c>
      <c r="O82" s="93">
        <f>SUM(O72:O81)+O16+O24+O29+O36+O43+O45+O47+O49+O51+O56+O61+O66</f>
        <v>-97073.698999999979</v>
      </c>
      <c r="P82" s="92">
        <f>P16+P24+P29+P36+P43+P45+P47+P49</f>
        <v>0</v>
      </c>
      <c r="Q82" s="93">
        <f>SUM(Q72:Q81)+Q16+Q24+Q29+Q36+Q43+Q45+Q47+Q49+Q51+Q56+Q61+Q66</f>
        <v>-16271765.270000001</v>
      </c>
      <c r="R82" s="92">
        <f>R16+R24+R29+R36+R43+R45+R47+R49</f>
        <v>0</v>
      </c>
      <c r="S82" s="93">
        <f>SUM(S72:S81)+S16+S24+S29+S36+S43+S45+S47+S49+S51+S56+S61+S66</f>
        <v>-115500</v>
      </c>
      <c r="T82" s="92">
        <f>T16+T24+T29+T36+T43+T45+T47+T49</f>
        <v>0</v>
      </c>
      <c r="U82" s="93">
        <f>SUM(U72:U81)+U16+U24+U29+U36+U43+U45+U47+U49+U51+U56+U61+U66</f>
        <v>-2166.2809999999945</v>
      </c>
      <c r="V82" s="92">
        <f>V16+V24+V29+V36+V43+V45+V47+V49</f>
        <v>0</v>
      </c>
      <c r="W82" s="93">
        <f>SUM(W72:W81)+W16+W24+W29+W36+W43+W45+W47+W49+W51+W56+W61+W66</f>
        <v>-103182.45700000001</v>
      </c>
      <c r="X82" s="92">
        <f>X16+X24+X29+X36+X43+X45+X47+X49</f>
        <v>0</v>
      </c>
      <c r="Y82" s="93">
        <f>SUM(Y72:Y81)+Y16+Y24+Y29+Y36+Y43+Y45+Y47+Y49+Y51+Y56+Y61+Y66</f>
        <v>-99955</v>
      </c>
      <c r="Z82" s="92">
        <f>Z16+Z24+Z29+Z36+Z43+Z45+Z47+Z49</f>
        <v>0</v>
      </c>
      <c r="AA82" s="93">
        <f>SUM(AA72:AA81)+AA16+AA24+AA29+AA36+AA43+AA45+AA47+AA49+AA51+AA56+AA61+AA66</f>
        <v>3181.7590000000055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174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74"/>
      <c r="C86" s="10" t="s">
        <v>177</v>
      </c>
      <c r="D86" s="175">
        <f t="shared" ref="D86:E88" si="25">SUM(F86,H86,J86,L86,N86,P86,R86,T86,V86,X86,Z86,AB86,AD86)</f>
        <v>0</v>
      </c>
      <c r="E86" s="175">
        <f t="shared" si="25"/>
        <v>229124</v>
      </c>
      <c r="F86" s="175">
        <f>'TIE-OUT'!H86+RECLASS!H86</f>
        <v>0</v>
      </c>
      <c r="G86" s="175">
        <f>'TIE-OUT'!I86+RECLASS!I86</f>
        <v>229124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31" s="3" customFormat="1" x14ac:dyDescent="0.2">
      <c r="A87" s="174"/>
      <c r="C87" s="10" t="s">
        <v>74</v>
      </c>
      <c r="D87" s="176">
        <f t="shared" si="25"/>
        <v>0</v>
      </c>
      <c r="E87" s="176">
        <f t="shared" si="25"/>
        <v>0</v>
      </c>
      <c r="F87" s="176">
        <f>'TIE-OUT'!H87+RECLASS!H87</f>
        <v>0</v>
      </c>
      <c r="G87" s="176">
        <f>'TIE-OUT'!I87+RECLASS!I87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31" s="3" customFormat="1" x14ac:dyDescent="0.2">
      <c r="A88" s="174"/>
      <c r="C88" s="10" t="s">
        <v>75</v>
      </c>
      <c r="D88" s="177">
        <f t="shared" si="25"/>
        <v>0</v>
      </c>
      <c r="E88" s="177">
        <f t="shared" si="25"/>
        <v>-9800</v>
      </c>
      <c r="F88" s="177">
        <f>'TIE-OUT'!H88+RECLASS!H88</f>
        <v>0</v>
      </c>
      <c r="G88" s="177">
        <f>'TIE-OUT'!I88+RECLASS!I88</f>
        <v>-9800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31" s="145" customFormat="1" ht="20.25" customHeight="1" x14ac:dyDescent="0.2">
      <c r="A89" s="188"/>
      <c r="B89" s="189"/>
      <c r="C89" s="187" t="s">
        <v>180</v>
      </c>
      <c r="D89" s="190">
        <f>SUM(D86:D88)</f>
        <v>0</v>
      </c>
      <c r="E89" s="190">
        <f t="shared" ref="E89:M89" si="26">SUM(E86:E88)</f>
        <v>219324</v>
      </c>
      <c r="F89" s="190">
        <f t="shared" si="26"/>
        <v>0</v>
      </c>
      <c r="G89" s="190">
        <f t="shared" si="26"/>
        <v>219324</v>
      </c>
      <c r="H89" s="190">
        <f t="shared" si="26"/>
        <v>0</v>
      </c>
      <c r="I89" s="190">
        <f t="shared" si="26"/>
        <v>0</v>
      </c>
      <c r="J89" s="190">
        <f t="shared" si="26"/>
        <v>0</v>
      </c>
      <c r="K89" s="190">
        <f t="shared" si="26"/>
        <v>0</v>
      </c>
      <c r="L89" s="190">
        <f t="shared" si="26"/>
        <v>0</v>
      </c>
      <c r="M89" s="190">
        <f t="shared" si="26"/>
        <v>0</v>
      </c>
      <c r="N89" s="190">
        <f t="shared" ref="N89:AE89" si="27">SUM(N86:N88)</f>
        <v>0</v>
      </c>
      <c r="O89" s="190">
        <f t="shared" si="27"/>
        <v>0</v>
      </c>
      <c r="P89" s="190">
        <f t="shared" si="27"/>
        <v>0</v>
      </c>
      <c r="Q89" s="190">
        <f t="shared" si="27"/>
        <v>0</v>
      </c>
      <c r="R89" s="190">
        <f t="shared" si="27"/>
        <v>0</v>
      </c>
      <c r="S89" s="190">
        <f t="shared" si="27"/>
        <v>0</v>
      </c>
      <c r="T89" s="190">
        <f t="shared" si="27"/>
        <v>0</v>
      </c>
      <c r="U89" s="190">
        <f t="shared" si="27"/>
        <v>0</v>
      </c>
      <c r="V89" s="190">
        <f t="shared" si="27"/>
        <v>0</v>
      </c>
      <c r="W89" s="190">
        <f t="shared" si="27"/>
        <v>0</v>
      </c>
      <c r="X89" s="190">
        <f t="shared" si="27"/>
        <v>0</v>
      </c>
      <c r="Y89" s="190">
        <f t="shared" si="27"/>
        <v>0</v>
      </c>
      <c r="Z89" s="190">
        <f t="shared" si="27"/>
        <v>0</v>
      </c>
      <c r="AA89" s="190">
        <f t="shared" si="27"/>
        <v>0</v>
      </c>
      <c r="AB89" s="190">
        <f t="shared" si="27"/>
        <v>0</v>
      </c>
      <c r="AC89" s="190">
        <f t="shared" si="27"/>
        <v>0</v>
      </c>
      <c r="AD89" s="190">
        <f t="shared" si="27"/>
        <v>0</v>
      </c>
      <c r="AE89" s="190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5" customFormat="1" ht="20.25" customHeight="1" x14ac:dyDescent="0.2">
      <c r="A91" s="188"/>
      <c r="B91" s="189"/>
      <c r="C91" s="187" t="s">
        <v>183</v>
      </c>
      <c r="D91" s="190">
        <f>+D82+D89</f>
        <v>0</v>
      </c>
      <c r="E91" s="190">
        <f t="shared" ref="E91:M91" si="28">+E82+E89</f>
        <v>-4136186.1729999892</v>
      </c>
      <c r="F91" s="190">
        <f t="shared" si="28"/>
        <v>0</v>
      </c>
      <c r="G91" s="190">
        <f t="shared" si="28"/>
        <v>-6204044.4000000004</v>
      </c>
      <c r="H91" s="190">
        <f t="shared" si="28"/>
        <v>0</v>
      </c>
      <c r="I91" s="190">
        <f t="shared" si="28"/>
        <v>3989583.5030000149</v>
      </c>
      <c r="J91" s="190">
        <f t="shared" si="28"/>
        <v>0</v>
      </c>
      <c r="K91" s="190">
        <f t="shared" si="28"/>
        <v>14822451.627000004</v>
      </c>
      <c r="L91" s="190">
        <f t="shared" si="28"/>
        <v>0</v>
      </c>
      <c r="M91" s="190">
        <f t="shared" si="28"/>
        <v>-57715.955000000293</v>
      </c>
      <c r="N91" s="190">
        <f t="shared" ref="N91:AE91" si="29">+N82+N89</f>
        <v>0</v>
      </c>
      <c r="O91" s="190">
        <f t="shared" si="29"/>
        <v>-97073.698999999979</v>
      </c>
      <c r="P91" s="190">
        <f t="shared" si="29"/>
        <v>0</v>
      </c>
      <c r="Q91" s="190">
        <f t="shared" si="29"/>
        <v>-16271765.270000001</v>
      </c>
      <c r="R91" s="190">
        <f t="shared" si="29"/>
        <v>0</v>
      </c>
      <c r="S91" s="190">
        <f t="shared" si="29"/>
        <v>-115500</v>
      </c>
      <c r="T91" s="190">
        <f t="shared" si="29"/>
        <v>0</v>
      </c>
      <c r="U91" s="190">
        <f t="shared" si="29"/>
        <v>-2166.2809999999945</v>
      </c>
      <c r="V91" s="190">
        <f t="shared" si="29"/>
        <v>0</v>
      </c>
      <c r="W91" s="190">
        <f t="shared" si="29"/>
        <v>-103182.45700000001</v>
      </c>
      <c r="X91" s="190">
        <f t="shared" si="29"/>
        <v>0</v>
      </c>
      <c r="Y91" s="190">
        <f t="shared" si="29"/>
        <v>-99955</v>
      </c>
      <c r="Z91" s="190">
        <f t="shared" si="29"/>
        <v>0</v>
      </c>
      <c r="AA91" s="190">
        <f t="shared" si="29"/>
        <v>3181.7590000000055</v>
      </c>
      <c r="AB91" s="190">
        <f t="shared" si="29"/>
        <v>0</v>
      </c>
      <c r="AC91" s="190">
        <f t="shared" si="29"/>
        <v>0</v>
      </c>
      <c r="AD91" s="190">
        <f t="shared" si="29"/>
        <v>0</v>
      </c>
      <c r="AE91" s="190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4"/>
  <sheetViews>
    <sheetView tabSelected="1" topLeftCell="A16" zoomScale="75" workbookViewId="0">
      <selection activeCell="B41" sqref="B41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192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90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2">
        <f>'CE-FLSH'!$M$82</f>
        <v>508309.8803350518</v>
      </c>
      <c r="C11" s="205">
        <f>CE_GL!$E$82</f>
        <v>1938677.6231999807</v>
      </c>
      <c r="D11" s="108">
        <f t="shared" ref="D11:D19" si="0">C11-B11</f>
        <v>1430367.7428649289</v>
      </c>
      <c r="E11" s="31"/>
      <c r="F11" s="31">
        <f>CE_GL!G82</f>
        <v>-5782985.9699999997</v>
      </c>
      <c r="G11" s="31"/>
      <c r="H11" s="31"/>
    </row>
    <row r="12" spans="1:8" x14ac:dyDescent="0.2">
      <c r="A12" s="102" t="s">
        <v>15</v>
      </c>
      <c r="B12" s="142">
        <v>0</v>
      </c>
      <c r="C12" s="60">
        <v>0</v>
      </c>
      <c r="D12" s="108">
        <f>C12-B12</f>
        <v>0</v>
      </c>
      <c r="E12" s="31"/>
      <c r="F12" s="31">
        <f>'EAST-EGM-GL'!G82</f>
        <v>-6423368.4000000004</v>
      </c>
      <c r="G12" s="31"/>
      <c r="H12" s="31"/>
    </row>
    <row r="13" spans="1:8" x14ac:dyDescent="0.2">
      <c r="A13" s="102" t="s">
        <v>164</v>
      </c>
      <c r="B13" s="141">
        <f>'BGC-EGM-FLSH'!$M$82+'EAST-EGM-FLSH'!M82</f>
        <v>2025291.3170115249</v>
      </c>
      <c r="C13" s="205">
        <f>'BGC-EGM-GL'!$E$82+'EAST-EGM-GL'!E82</f>
        <v>-4355510.1729999892</v>
      </c>
      <c r="D13" s="108">
        <f t="shared" si="0"/>
        <v>-6380801.4900115142</v>
      </c>
      <c r="E13" s="31"/>
      <c r="F13" s="31">
        <f>'BGC-EGM-GL'!G82</f>
        <v>0</v>
      </c>
      <c r="G13" s="31"/>
      <c r="H13" s="31"/>
    </row>
    <row r="14" spans="1:8" x14ac:dyDescent="0.2">
      <c r="A14" s="102" t="s">
        <v>165</v>
      </c>
      <c r="B14" s="141">
        <f>'EAST-LRC-FLSH'!$M$82</f>
        <v>-4132464.814838313</v>
      </c>
      <c r="C14" s="205">
        <f>'EAST-LRC-GL'!$E$82</f>
        <v>-208137.15100000397</v>
      </c>
      <c r="D14" s="108">
        <f t="shared" si="0"/>
        <v>3924327.6638383092</v>
      </c>
      <c r="E14" s="31"/>
      <c r="F14" s="31">
        <f>'EAST-LRC-GL'!G82</f>
        <v>-44383.68</v>
      </c>
      <c r="G14" s="31"/>
      <c r="H14" s="31"/>
    </row>
    <row r="15" spans="1:8" x14ac:dyDescent="0.2">
      <c r="A15" s="102" t="s">
        <v>174</v>
      </c>
      <c r="B15" s="141">
        <f>+'EAST-EGM-FLSH'!M89</f>
        <v>219364</v>
      </c>
      <c r="C15" s="205">
        <f>+'EAST-EGM-GL'!E89</f>
        <v>219324</v>
      </c>
      <c r="D15" s="108">
        <f>C15-B15</f>
        <v>-40</v>
      </c>
      <c r="E15" s="31"/>
      <c r="F15" s="31">
        <f>'EAST-LRC-GL'!G83</f>
        <v>0</v>
      </c>
      <c r="G15" s="31"/>
      <c r="H15" s="31"/>
    </row>
    <row r="16" spans="1:8" x14ac:dyDescent="0.2">
      <c r="A16" s="102" t="s">
        <v>17</v>
      </c>
      <c r="B16" s="141">
        <f>'TX-EGM-FLSH'!$M$82</f>
        <v>1905584.2405376181</v>
      </c>
      <c r="C16" s="60">
        <f>'TX-EGM-GL'!$E$82</f>
        <v>2756146.3559999778</v>
      </c>
      <c r="D16" s="108">
        <f t="shared" si="0"/>
        <v>850562.11546235974</v>
      </c>
      <c r="E16" s="31"/>
      <c r="F16" s="31">
        <f>'TX-EGM-GL'!G82</f>
        <v>6059923.0199999996</v>
      </c>
      <c r="G16" s="31"/>
      <c r="H16" s="31"/>
    </row>
    <row r="17" spans="1:8" x14ac:dyDescent="0.2">
      <c r="A17" s="102" t="s">
        <v>18</v>
      </c>
      <c r="B17" s="141">
        <f>'TX-HPL-FLSH'!$M$82</f>
        <v>93941.439581314538</v>
      </c>
      <c r="C17" s="60">
        <f>'TX-HPL-GL '!$E$82</f>
        <v>-620219.45049999934</v>
      </c>
      <c r="D17" s="108">
        <f t="shared" si="0"/>
        <v>-714160.8900813139</v>
      </c>
      <c r="E17" s="31"/>
      <c r="F17" s="31">
        <f>'TX-HPL-GL '!G82</f>
        <v>-910149.21</v>
      </c>
      <c r="G17" s="31"/>
      <c r="H17" s="31"/>
    </row>
    <row r="18" spans="1:8" x14ac:dyDescent="0.2">
      <c r="A18" s="102" t="s">
        <v>187</v>
      </c>
      <c r="B18" s="141">
        <f>'TX-EGM-FLSH'!$M$89</f>
        <v>602</v>
      </c>
      <c r="C18" s="60">
        <f>+'TX-EGM-GL'!E89</f>
        <v>-4927</v>
      </c>
      <c r="D18" s="108">
        <f>C18-B18</f>
        <v>-5529</v>
      </c>
      <c r="E18" s="31"/>
      <c r="F18" s="31">
        <f>'WE-GL '!G81</f>
        <v>0</v>
      </c>
      <c r="G18" s="31"/>
      <c r="H18" s="31"/>
    </row>
    <row r="19" spans="1:8" x14ac:dyDescent="0.2">
      <c r="A19" s="102" t="s">
        <v>19</v>
      </c>
      <c r="B19" s="141">
        <f>'WE-FLSH'!$M$82</f>
        <v>-208757.72376637952</v>
      </c>
      <c r="C19" s="205">
        <f>'WE-GL '!$E$82</f>
        <v>-41333.287000011187</v>
      </c>
      <c r="D19" s="108">
        <f t="shared" si="0"/>
        <v>167424.43676636834</v>
      </c>
      <c r="E19" s="31"/>
      <c r="F19" s="31">
        <f>'WE-GL '!G82</f>
        <v>1754269.6</v>
      </c>
      <c r="G19" s="31"/>
      <c r="H19" s="31"/>
    </row>
    <row r="20" spans="1:8" x14ac:dyDescent="0.2">
      <c r="A20" s="102" t="s">
        <v>20</v>
      </c>
      <c r="B20" s="141">
        <f>STG_FLSH!$M$82</f>
        <v>2386000</v>
      </c>
      <c r="C20" s="205">
        <f>STG_GL!$E$82</f>
        <v>149791</v>
      </c>
      <c r="D20" s="108">
        <f>C20-B20</f>
        <v>-2236209</v>
      </c>
      <c r="E20" s="31"/>
      <c r="F20" s="31">
        <f>STG_GL!G82</f>
        <v>861283</v>
      </c>
      <c r="G20" s="31"/>
      <c r="H20" s="31"/>
    </row>
    <row r="21" spans="1:8" x14ac:dyDescent="0.2">
      <c r="A21" s="102" t="s">
        <v>168</v>
      </c>
      <c r="B21" s="141">
        <f>ONT_FLSH!$M$82</f>
        <v>-71773.679999999993</v>
      </c>
      <c r="C21" s="205">
        <f>'ONT_GL '!$E$82</f>
        <v>-3917140.7200000025</v>
      </c>
      <c r="D21" s="108">
        <f>C21-B21</f>
        <v>-3845367.0400000024</v>
      </c>
      <c r="E21" s="31"/>
      <c r="F21" s="31">
        <f>'ONT_GL '!G82</f>
        <v>273386.27999999997</v>
      </c>
      <c r="G21" s="31"/>
      <c r="H21" s="31"/>
    </row>
    <row r="22" spans="1:8" x14ac:dyDescent="0.2">
      <c r="A22" s="102" t="s">
        <v>173</v>
      </c>
      <c r="B22" s="141">
        <f>ONT_FLSH!$M$89</f>
        <v>26476</v>
      </c>
      <c r="C22" s="205">
        <f>+'ONT_GL '!E89</f>
        <v>26475.64</v>
      </c>
      <c r="D22" s="108">
        <f>C22-B22</f>
        <v>-0.36000000000058208</v>
      </c>
      <c r="E22" s="31"/>
      <c r="F22" s="31">
        <f>'ONT_GL '!G83</f>
        <v>0</v>
      </c>
      <c r="G22" s="31"/>
      <c r="H22" s="31"/>
    </row>
    <row r="23" spans="1:8" x14ac:dyDescent="0.2">
      <c r="A23" s="161" t="s">
        <v>117</v>
      </c>
      <c r="B23" s="141">
        <f>+BUG_FLSH!M82</f>
        <v>1437621.6211008001</v>
      </c>
      <c r="C23" s="205">
        <f>+BUG_GL!E82</f>
        <v>3834549.0100000054</v>
      </c>
      <c r="D23" s="108">
        <f>C23-B23</f>
        <v>2396927.3888992053</v>
      </c>
      <c r="E23" s="31"/>
      <c r="F23" s="31">
        <f>+BUG_GL!G82</f>
        <v>3144212.01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4190194.2799616163</v>
      </c>
      <c r="C24" s="61">
        <f>SUM(C11:C23)</f>
        <v>-222304.1523000421</v>
      </c>
      <c r="D24" s="109">
        <f>SUM(D11:D23)</f>
        <v>-4412498.4322616598</v>
      </c>
      <c r="E24" s="31"/>
      <c r="F24" s="61">
        <f>SUM(F11:F23)</f>
        <v>-1067813.3500000006</v>
      </c>
      <c r="G24" s="31"/>
      <c r="H24" s="31"/>
    </row>
    <row r="25" spans="1:8" ht="21" customHeight="1" thickBot="1" x14ac:dyDescent="0.25">
      <c r="A25" s="103" t="s">
        <v>22</v>
      </c>
      <c r="B25" s="104">
        <f>TOTAL!$E$91</f>
        <v>4190194.2799616214</v>
      </c>
      <c r="C25" s="104">
        <f>TOTAL!$G$91</f>
        <v>-222304.15229989827</v>
      </c>
      <c r="D25" s="110">
        <f>TOTAL!$I$91</f>
        <v>-4412498.4322615312</v>
      </c>
      <c r="E25" s="31"/>
      <c r="F25" s="31">
        <f>'TIE-OUT'!E82+RECLASS!E82</f>
        <v>-1067813.3500000006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-5.1222741603851318E-9</v>
      </c>
      <c r="C27" s="45">
        <f>+C24-C25</f>
        <v>-1.4383113011717796E-7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160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2">
        <f>+'[2]ST Warroom 99'!$B$44</f>
        <v>2002768</v>
      </c>
      <c r="C30" s="163">
        <f>C11</f>
        <v>1938677.6231999807</v>
      </c>
      <c r="D30" s="108">
        <f t="shared" ref="D30:D37" si="1">C30-B30</f>
        <v>-64090.376800019294</v>
      </c>
    </row>
    <row r="31" spans="1:8" x14ac:dyDescent="0.2">
      <c r="A31" s="102" t="s">
        <v>15</v>
      </c>
      <c r="B31" s="142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166</v>
      </c>
      <c r="B32" s="141">
        <f>+'[2]ST Warroom 99'!$C$44+'[2]ST Warroom 99'!$D$44+'[2]ST Warroom 99'!$E$44+'[2]ST Warroom 99'!$F$44</f>
        <v>-1615621</v>
      </c>
      <c r="C32" s="163">
        <f>C13+C14+C15</f>
        <v>-4344323.3239999935</v>
      </c>
      <c r="D32" s="108">
        <f t="shared" si="1"/>
        <v>-2728702.3239999935</v>
      </c>
    </row>
    <row r="33" spans="1:4" x14ac:dyDescent="0.2">
      <c r="A33" s="102" t="s">
        <v>161</v>
      </c>
      <c r="B33" s="141">
        <f>+'[2]ST Warroom 99'!$H$44+'[2]ST Warroom 99'!$I$44+'[2]ST Warroom 99'!$J$44+'[2]ST Warroom 99'!$K$44</f>
        <v>2136973</v>
      </c>
      <c r="C33" s="60">
        <f>C16+C17+C18</f>
        <v>2130999.9054999785</v>
      </c>
      <c r="D33" s="108">
        <f t="shared" si="1"/>
        <v>-5973.0945000215434</v>
      </c>
    </row>
    <row r="34" spans="1:4" x14ac:dyDescent="0.2">
      <c r="A34" s="102" t="s">
        <v>19</v>
      </c>
      <c r="B34" s="141">
        <f>+'[2]ST Warroom 99'!$L$44</f>
        <v>-33774</v>
      </c>
      <c r="C34" s="163">
        <f>C19</f>
        <v>-41333.287000011187</v>
      </c>
      <c r="D34" s="108">
        <f t="shared" si="1"/>
        <v>-7559.287000011187</v>
      </c>
    </row>
    <row r="35" spans="1:4" x14ac:dyDescent="0.2">
      <c r="A35" s="102" t="s">
        <v>20</v>
      </c>
      <c r="B35" s="141">
        <f>+'[2]ST Warroom 99'!$M$44</f>
        <v>149791</v>
      </c>
      <c r="C35" s="60">
        <f>C20</f>
        <v>149791</v>
      </c>
      <c r="D35" s="108">
        <f t="shared" si="1"/>
        <v>0</v>
      </c>
    </row>
    <row r="36" spans="1:4" x14ac:dyDescent="0.2">
      <c r="A36" s="102" t="s">
        <v>168</v>
      </c>
      <c r="B36" s="141">
        <f>+'[2]ST Warroom 99'!$O$44</f>
        <v>-2531665</v>
      </c>
      <c r="C36" s="163">
        <f>+C21+C22</f>
        <v>-3890665.0800000024</v>
      </c>
      <c r="D36" s="108">
        <f t="shared" si="1"/>
        <v>-1359000.0800000024</v>
      </c>
    </row>
    <row r="37" spans="1:4" x14ac:dyDescent="0.2">
      <c r="A37" s="161" t="s">
        <v>117</v>
      </c>
      <c r="B37" s="141">
        <f>+'[2]ST Warroom 99'!$G$44</f>
        <v>1388038</v>
      </c>
      <c r="C37" s="163">
        <f>C23</f>
        <v>3834549.0100000054</v>
      </c>
      <c r="D37" s="108">
        <f t="shared" si="1"/>
        <v>2446511.0100000054</v>
      </c>
    </row>
    <row r="38" spans="1:4" ht="13.5" thickBot="1" x14ac:dyDescent="0.25">
      <c r="A38" s="102" t="s">
        <v>10</v>
      </c>
      <c r="B38" s="61">
        <f>SUM(B30:B37)</f>
        <v>1496510</v>
      </c>
      <c r="C38" s="61">
        <f>SUM(C30:C37)</f>
        <v>-222304.15230004257</v>
      </c>
      <c r="D38" s="109">
        <f>SUM(D30:D37)</f>
        <v>-1718814.1523000426</v>
      </c>
    </row>
    <row r="39" spans="1:4" ht="13.5" thickBot="1" x14ac:dyDescent="0.25">
      <c r="A39" s="103" t="s">
        <v>162</v>
      </c>
      <c r="B39" s="104">
        <f>+B38</f>
        <v>1496510</v>
      </c>
      <c r="C39" s="104">
        <f>TOTAL!$G$91</f>
        <v>-222304.15229989827</v>
      </c>
      <c r="D39" s="110">
        <f>C39-B39</f>
        <v>-1718814.1522998982</v>
      </c>
    </row>
    <row r="41" spans="1:4" x14ac:dyDescent="0.2">
      <c r="B41" s="45"/>
      <c r="C41" s="45">
        <f>C39-[1]OAvsACT!$C$47</f>
        <v>-13.212299896928016</v>
      </c>
      <c r="D41" s="157">
        <f>-D39+[1]OAvsACT!$G$47</f>
        <v>13.212299896869808</v>
      </c>
    </row>
    <row r="42" spans="1:4" x14ac:dyDescent="0.2">
      <c r="C42" s="45"/>
      <c r="D42" s="158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P76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  <col min="52" max="92" width="0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84"/>
      <c r="E10" s="85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8471434</v>
      </c>
      <c r="E11" s="38">
        <f>SUM(G11,I11,K11,M11,O11,Q11,S11,U11,W11,Y11,AA11,AC11,AE11)</f>
        <v>19249491.760000002</v>
      </c>
      <c r="F11" s="58">
        <f>'TIE-OUT'!J11+RECLASS!J11</f>
        <v>0</v>
      </c>
      <c r="G11" s="15">
        <f>'TIE-OUT'!K11+RECLASS!K11</f>
        <v>0</v>
      </c>
      <c r="H11" s="129">
        <f>+Actuals!E44</f>
        <v>8391437</v>
      </c>
      <c r="I11" s="130">
        <f>+Actuals!F44</f>
        <v>19132325.850000001</v>
      </c>
      <c r="J11" s="129">
        <f>+Actuals!G44</f>
        <v>79389</v>
      </c>
      <c r="K11" s="149">
        <f>+Actuals!H44</f>
        <v>128950.52</v>
      </c>
      <c r="L11" s="129">
        <f>+Actuals!I44</f>
        <v>-450</v>
      </c>
      <c r="M11" s="130">
        <f>+Actuals!J44</f>
        <v>-1039.5</v>
      </c>
      <c r="N11" s="129">
        <f>+Actuals!K44</f>
        <v>0</v>
      </c>
      <c r="O11" s="130">
        <f>+Actuals!L44</f>
        <v>0</v>
      </c>
      <c r="P11" s="129">
        <f>+Actuals!M44</f>
        <v>1</v>
      </c>
      <c r="Q11" s="130">
        <f>+Actuals!N44</f>
        <v>-6481.38</v>
      </c>
      <c r="R11" s="129">
        <f>+Actuals!O44</f>
        <v>958</v>
      </c>
      <c r="S11" s="130">
        <f>+Actuals!P44</f>
        <v>2212.98</v>
      </c>
      <c r="T11" s="129">
        <f>+Actuals!Q44+100</f>
        <v>99</v>
      </c>
      <c r="U11" s="130">
        <f>+Actuals!R44+232</f>
        <v>-6476.71</v>
      </c>
      <c r="V11" s="129">
        <f>+Actuals!S44</f>
        <v>0</v>
      </c>
      <c r="W11" s="130">
        <f>+Actuals!T44</f>
        <v>0</v>
      </c>
      <c r="X11" s="129">
        <f>+Actuals!U44</f>
        <v>0</v>
      </c>
      <c r="Y11" s="130">
        <f>+Actuals!V44</f>
        <v>0</v>
      </c>
      <c r="Z11" s="129">
        <f>+Actuals!W44</f>
        <v>0</v>
      </c>
      <c r="AA11" s="130">
        <f>+Actuals!X44</f>
        <v>0</v>
      </c>
      <c r="AB11" s="129">
        <f>+Actuals!Y44</f>
        <v>0</v>
      </c>
      <c r="AC11" s="130">
        <f>+Actuals!Z44</f>
        <v>0</v>
      </c>
      <c r="AD11" s="129">
        <f>+Actuals!AA44</f>
        <v>0</v>
      </c>
      <c r="AE11" s="130">
        <f>+Actuals!AB44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-44383.68</v>
      </c>
      <c r="F12" s="58">
        <f>'TIE-OUT'!J12+RECLASS!J12</f>
        <v>0</v>
      </c>
      <c r="G12" s="15">
        <f>'TIE-OUT'!K12+RECLASS!K12</f>
        <v>-44383.68</v>
      </c>
      <c r="H12" s="129">
        <f>+Actuals!E45</f>
        <v>0</v>
      </c>
      <c r="I12" s="130">
        <f>+Actuals!F45</f>
        <v>0</v>
      </c>
      <c r="J12" s="129">
        <f>+Actuals!G45</f>
        <v>0</v>
      </c>
      <c r="K12" s="162">
        <f>+Actuals!H45</f>
        <v>0</v>
      </c>
      <c r="L12" s="129">
        <f>+Actuals!I45</f>
        <v>0</v>
      </c>
      <c r="M12" s="130">
        <f>+Actuals!J45</f>
        <v>0</v>
      </c>
      <c r="N12" s="129">
        <f>+Actuals!K45</f>
        <v>0</v>
      </c>
      <c r="O12" s="130">
        <f>+Actuals!L45</f>
        <v>0</v>
      </c>
      <c r="P12" s="129">
        <f>+Actuals!M45</f>
        <v>0</v>
      </c>
      <c r="Q12" s="130">
        <f>+Actuals!N45</f>
        <v>0</v>
      </c>
      <c r="R12" s="129">
        <f>+Actuals!O45</f>
        <v>0</v>
      </c>
      <c r="S12" s="130">
        <f>+Actuals!P45</f>
        <v>0</v>
      </c>
      <c r="T12" s="129">
        <f>+Actuals!Q45</f>
        <v>0</v>
      </c>
      <c r="U12" s="130">
        <f>+Actuals!R45</f>
        <v>0</v>
      </c>
      <c r="V12" s="129">
        <f>+Actuals!S45</f>
        <v>0</v>
      </c>
      <c r="W12" s="130">
        <f>+Actuals!T45</f>
        <v>0</v>
      </c>
      <c r="X12" s="129">
        <f>+Actuals!U45</f>
        <v>0</v>
      </c>
      <c r="Y12" s="130">
        <f>+Actuals!V45</f>
        <v>0</v>
      </c>
      <c r="Z12" s="129">
        <f>+Actuals!W45</f>
        <v>0</v>
      </c>
      <c r="AA12" s="130">
        <f>+Actuals!X45</f>
        <v>0</v>
      </c>
      <c r="AB12" s="129">
        <f>+Actuals!Y45</f>
        <v>0</v>
      </c>
      <c r="AC12" s="130">
        <f>+Actuals!Z45</f>
        <v>0</v>
      </c>
      <c r="AD12" s="129">
        <f>+Actuals!AA45</f>
        <v>0</v>
      </c>
      <c r="AE12" s="130">
        <f>+Actuals!AB45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9">
        <f>+Actuals!E46</f>
        <v>0</v>
      </c>
      <c r="I13" s="130">
        <f>+Actuals!F46</f>
        <v>0</v>
      </c>
      <c r="J13" s="129">
        <f>+Actuals!G46</f>
        <v>0</v>
      </c>
      <c r="K13" s="149">
        <f>+Actuals!H46</f>
        <v>0</v>
      </c>
      <c r="L13" s="129">
        <f>+Actuals!I46</f>
        <v>0</v>
      </c>
      <c r="M13" s="130">
        <f>+Actuals!J46</f>
        <v>0</v>
      </c>
      <c r="N13" s="129">
        <f>+Actuals!K46</f>
        <v>0</v>
      </c>
      <c r="O13" s="130">
        <f>+Actuals!L46</f>
        <v>0</v>
      </c>
      <c r="P13" s="129">
        <f>+Actuals!M46</f>
        <v>0</v>
      </c>
      <c r="Q13" s="130">
        <f>+Actuals!N46</f>
        <v>0</v>
      </c>
      <c r="R13" s="129">
        <f>+Actuals!O46</f>
        <v>0</v>
      </c>
      <c r="S13" s="130">
        <f>+Actuals!P46</f>
        <v>0</v>
      </c>
      <c r="T13" s="129">
        <f>+Actuals!Q46</f>
        <v>0</v>
      </c>
      <c r="U13" s="130">
        <f>+Actuals!R46</f>
        <v>0</v>
      </c>
      <c r="V13" s="129">
        <f>+Actuals!S46</f>
        <v>0</v>
      </c>
      <c r="W13" s="130">
        <f>+Actuals!T46</f>
        <v>0</v>
      </c>
      <c r="X13" s="129">
        <f>+Actuals!U46</f>
        <v>0</v>
      </c>
      <c r="Y13" s="130">
        <f>+Actuals!V46</f>
        <v>0</v>
      </c>
      <c r="Z13" s="129">
        <f>+Actuals!W46</f>
        <v>0</v>
      </c>
      <c r="AA13" s="130">
        <f>+Actuals!X46</f>
        <v>0</v>
      </c>
      <c r="AB13" s="129">
        <f>+Actuals!Y46</f>
        <v>0</v>
      </c>
      <c r="AC13" s="130">
        <f>+Actuals!Z46</f>
        <v>0</v>
      </c>
      <c r="AD13" s="129">
        <f>+Actuals!AA46</f>
        <v>0</v>
      </c>
      <c r="AE13" s="130">
        <f>+Actuals!AB46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9">
        <f>+Actuals!E47</f>
        <v>0</v>
      </c>
      <c r="I14" s="130">
        <f>+Actuals!F47</f>
        <v>0</v>
      </c>
      <c r="J14" s="129">
        <f>+Actuals!G47</f>
        <v>0</v>
      </c>
      <c r="K14" s="149">
        <f>+Actuals!H47</f>
        <v>0</v>
      </c>
      <c r="L14" s="129">
        <f>+Actuals!I47</f>
        <v>0</v>
      </c>
      <c r="M14" s="130">
        <f>+Actuals!J47</f>
        <v>0</v>
      </c>
      <c r="N14" s="129">
        <f>+Actuals!K47</f>
        <v>0</v>
      </c>
      <c r="O14" s="130">
        <f>+Actuals!L47</f>
        <v>0</v>
      </c>
      <c r="P14" s="129">
        <f>+Actuals!M47</f>
        <v>0</v>
      </c>
      <c r="Q14" s="130">
        <f>+Actuals!N47</f>
        <v>0</v>
      </c>
      <c r="R14" s="129">
        <f>+Actuals!O47</f>
        <v>0</v>
      </c>
      <c r="S14" s="130">
        <f>+Actuals!P47</f>
        <v>0</v>
      </c>
      <c r="T14" s="129">
        <f>+Actuals!Q47</f>
        <v>0</v>
      </c>
      <c r="U14" s="130">
        <f>+Actuals!R47</f>
        <v>0</v>
      </c>
      <c r="V14" s="129">
        <f>+Actuals!S47</f>
        <v>0</v>
      </c>
      <c r="W14" s="130">
        <f>+Actuals!T47</f>
        <v>0</v>
      </c>
      <c r="X14" s="129">
        <f>+Actuals!U47</f>
        <v>0</v>
      </c>
      <c r="Y14" s="130">
        <f>+Actuals!V47</f>
        <v>0</v>
      </c>
      <c r="Z14" s="129">
        <f>+Actuals!W47</f>
        <v>0</v>
      </c>
      <c r="AA14" s="130">
        <f>+Actuals!X47</f>
        <v>0</v>
      </c>
      <c r="AB14" s="129">
        <f>+Actuals!Y47</f>
        <v>0</v>
      </c>
      <c r="AC14" s="130">
        <f>+Actuals!Z47</f>
        <v>0</v>
      </c>
      <c r="AD14" s="129">
        <f>+Actuals!AA47</f>
        <v>0</v>
      </c>
      <c r="AE14" s="130">
        <f>+Actuals!AB47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9">
        <f>+Actuals!E48</f>
        <v>0</v>
      </c>
      <c r="I15" s="130">
        <f>+Actuals!F48</f>
        <v>0</v>
      </c>
      <c r="J15" s="129">
        <f>+Actuals!G48</f>
        <v>0</v>
      </c>
      <c r="K15" s="149">
        <f>+Actuals!H48</f>
        <v>0</v>
      </c>
      <c r="L15" s="129">
        <f>+Actuals!I48</f>
        <v>0</v>
      </c>
      <c r="M15" s="130">
        <f>+Actuals!J48</f>
        <v>0</v>
      </c>
      <c r="N15" s="129">
        <f>+Actuals!K48</f>
        <v>0</v>
      </c>
      <c r="O15" s="130">
        <f>+Actuals!L48</f>
        <v>0</v>
      </c>
      <c r="P15" s="129">
        <f>+Actuals!M48</f>
        <v>0</v>
      </c>
      <c r="Q15" s="130">
        <f>+Actuals!N48</f>
        <v>0</v>
      </c>
      <c r="R15" s="129">
        <f>+Actuals!O48</f>
        <v>0</v>
      </c>
      <c r="S15" s="130">
        <f>+Actuals!P48</f>
        <v>0</v>
      </c>
      <c r="T15" s="129">
        <f>+Actuals!Q48</f>
        <v>0</v>
      </c>
      <c r="U15" s="130">
        <f>+Actuals!R48</f>
        <v>0</v>
      </c>
      <c r="V15" s="129">
        <f>+Actuals!S48</f>
        <v>0</v>
      </c>
      <c r="W15" s="130">
        <f>+Actuals!T48</f>
        <v>0</v>
      </c>
      <c r="X15" s="129">
        <f>+Actuals!U48</f>
        <v>0</v>
      </c>
      <c r="Y15" s="130">
        <f>+Actuals!V48</f>
        <v>0</v>
      </c>
      <c r="Z15" s="129">
        <f>+Actuals!W48</f>
        <v>0</v>
      </c>
      <c r="AA15" s="130">
        <f>+Actuals!X48</f>
        <v>0</v>
      </c>
      <c r="AB15" s="129">
        <f>+Actuals!Y48</f>
        <v>0</v>
      </c>
      <c r="AC15" s="130">
        <f>+Actuals!Z48</f>
        <v>0</v>
      </c>
      <c r="AD15" s="129">
        <f>+Actuals!AA48</f>
        <v>0</v>
      </c>
      <c r="AE15" s="130">
        <f>+Actuals!AB48</f>
        <v>0</v>
      </c>
    </row>
    <row r="16" spans="1:31" x14ac:dyDescent="0.2">
      <c r="A16" s="9"/>
      <c r="B16" s="7" t="s">
        <v>33</v>
      </c>
      <c r="C16" s="6"/>
      <c r="D16" s="61">
        <f>SUM(D11:D15)</f>
        <v>8471434</v>
      </c>
      <c r="E16" s="39">
        <f>SUM(E11:E15)</f>
        <v>19205108.080000002</v>
      </c>
      <c r="F16" s="59">
        <f t="shared" ref="F16:AE16" si="1">SUM(F11:F15)</f>
        <v>0</v>
      </c>
      <c r="G16" s="23">
        <f t="shared" si="1"/>
        <v>-44383.68</v>
      </c>
      <c r="H16" s="61">
        <f t="shared" si="1"/>
        <v>8391437</v>
      </c>
      <c r="I16" s="39">
        <f t="shared" si="1"/>
        <v>19132325.850000001</v>
      </c>
      <c r="J16" s="61">
        <f t="shared" si="1"/>
        <v>79389</v>
      </c>
      <c r="K16" s="150">
        <f t="shared" si="1"/>
        <v>128950.52</v>
      </c>
      <c r="L16" s="61">
        <f t="shared" si="1"/>
        <v>-450</v>
      </c>
      <c r="M16" s="39">
        <f t="shared" si="1"/>
        <v>-1039.5</v>
      </c>
      <c r="N16" s="61">
        <f t="shared" si="1"/>
        <v>0</v>
      </c>
      <c r="O16" s="39">
        <f t="shared" si="1"/>
        <v>0</v>
      </c>
      <c r="P16" s="61">
        <f t="shared" si="1"/>
        <v>1</v>
      </c>
      <c r="Q16" s="39">
        <f t="shared" si="1"/>
        <v>-6481.38</v>
      </c>
      <c r="R16" s="61">
        <f t="shared" si="1"/>
        <v>958</v>
      </c>
      <c r="S16" s="39">
        <f t="shared" si="1"/>
        <v>2212.98</v>
      </c>
      <c r="T16" s="61">
        <f t="shared" si="1"/>
        <v>99</v>
      </c>
      <c r="U16" s="39">
        <f t="shared" si="1"/>
        <v>-6476.71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58"/>
      <c r="G18" s="15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-847001</v>
      </c>
      <c r="E19" s="38">
        <f t="shared" si="3"/>
        <v>-1854754.28</v>
      </c>
      <c r="F19" s="84">
        <f>'TIE-OUT'!J19+RECLASS!J19</f>
        <v>0</v>
      </c>
      <c r="G19" s="85">
        <f>'TIE-OUT'!K19+RECLASS!K19</f>
        <v>0</v>
      </c>
      <c r="H19" s="129">
        <f>+Actuals!E49</f>
        <v>-378086</v>
      </c>
      <c r="I19" s="130">
        <f>+Actuals!F49</f>
        <v>-810408.32</v>
      </c>
      <c r="J19" s="129">
        <f>+Actuals!G49</f>
        <v>-515342</v>
      </c>
      <c r="K19" s="149">
        <f>+Actuals!H49</f>
        <v>-1146705.24</v>
      </c>
      <c r="L19" s="129">
        <f>+Actuals!I49</f>
        <v>46427</v>
      </c>
      <c r="M19" s="130">
        <f>+Actuals!J49</f>
        <v>101881.32</v>
      </c>
      <c r="N19" s="129">
        <f>+Actuals!K49</f>
        <v>0</v>
      </c>
      <c r="O19" s="130">
        <f>+Actuals!L49</f>
        <v>0</v>
      </c>
      <c r="P19" s="129">
        <f>+Actuals!M49</f>
        <v>0</v>
      </c>
      <c r="Q19" s="130">
        <f>+Actuals!N49+349</f>
        <v>349</v>
      </c>
      <c r="R19" s="129">
        <f>+Actuals!O49</f>
        <v>0</v>
      </c>
      <c r="S19" s="130">
        <f>+Actuals!P49</f>
        <v>69.2</v>
      </c>
      <c r="T19" s="129">
        <f>+Actuals!Q49</f>
        <v>0</v>
      </c>
      <c r="U19" s="130">
        <f>+Actuals!R49</f>
        <v>0</v>
      </c>
      <c r="V19" s="129">
        <f>+Actuals!S49</f>
        <v>0</v>
      </c>
      <c r="W19" s="130">
        <f>+Actuals!T49</f>
        <v>59.76</v>
      </c>
      <c r="X19" s="129">
        <f>+Actuals!U49</f>
        <v>0</v>
      </c>
      <c r="Y19" s="130">
        <f>+Actuals!V49</f>
        <v>0</v>
      </c>
      <c r="Z19" s="129">
        <f>+Actuals!W49</f>
        <v>0</v>
      </c>
      <c r="AA19" s="130">
        <f>+Actuals!X49</f>
        <v>0</v>
      </c>
      <c r="AB19" s="129">
        <f>+Actuals!Y49</f>
        <v>0</v>
      </c>
      <c r="AC19" s="130">
        <f>+Actuals!Z49</f>
        <v>0</v>
      </c>
      <c r="AD19" s="129">
        <f>+Actuals!AA49</f>
        <v>0</v>
      </c>
      <c r="AE19" s="130">
        <f>+Actuals!AB49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0</v>
      </c>
      <c r="F20" s="58">
        <f>'TIE-OUT'!J20+RECLASS!J20</f>
        <v>0</v>
      </c>
      <c r="G20" s="15">
        <f>'TIE-OUT'!K20+RECLASS!K20</f>
        <v>0</v>
      </c>
      <c r="H20" s="129">
        <f>+Actuals!E50</f>
        <v>0</v>
      </c>
      <c r="I20" s="130">
        <f>+Actuals!F50</f>
        <v>0</v>
      </c>
      <c r="J20" s="129">
        <f>+Actuals!G50</f>
        <v>0</v>
      </c>
      <c r="K20" s="149">
        <f>+Actuals!H50</f>
        <v>0</v>
      </c>
      <c r="L20" s="129">
        <f>+Actuals!I50</f>
        <v>0</v>
      </c>
      <c r="M20" s="130">
        <f>+Actuals!J50</f>
        <v>0</v>
      </c>
      <c r="N20" s="129">
        <f>+Actuals!K50</f>
        <v>0</v>
      </c>
      <c r="O20" s="130">
        <f>+Actuals!L50</f>
        <v>0</v>
      </c>
      <c r="P20" s="129">
        <f>+Actuals!M50</f>
        <v>0</v>
      </c>
      <c r="Q20" s="130">
        <f>+Actuals!N50</f>
        <v>0</v>
      </c>
      <c r="R20" s="129">
        <f>+Actuals!O50</f>
        <v>0</v>
      </c>
      <c r="S20" s="130">
        <f>+Actuals!P50</f>
        <v>0</v>
      </c>
      <c r="T20" s="129">
        <f>+Actuals!Q50</f>
        <v>0</v>
      </c>
      <c r="U20" s="130">
        <f>+Actuals!R50</f>
        <v>0</v>
      </c>
      <c r="V20" s="129">
        <f>+Actuals!S50</f>
        <v>0</v>
      </c>
      <c r="W20" s="130">
        <f>+Actuals!T50</f>
        <v>0</v>
      </c>
      <c r="X20" s="129">
        <f>+Actuals!U50</f>
        <v>0</v>
      </c>
      <c r="Y20" s="130">
        <f>+Actuals!V50</f>
        <v>0</v>
      </c>
      <c r="Z20" s="129">
        <f>+Actuals!W50</f>
        <v>0</v>
      </c>
      <c r="AA20" s="130">
        <f>+Actuals!X50</f>
        <v>0</v>
      </c>
      <c r="AB20" s="129">
        <f>+Actuals!Y50</f>
        <v>0</v>
      </c>
      <c r="AC20" s="130">
        <f>+Actuals!Z50</f>
        <v>0</v>
      </c>
      <c r="AD20" s="129">
        <f>+Actuals!AA50</f>
        <v>0</v>
      </c>
      <c r="AE20" s="130">
        <f>+Actuals!AB50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9">
        <f>+Actuals!E51</f>
        <v>0</v>
      </c>
      <c r="I21" s="130">
        <f>+Actuals!F51</f>
        <v>0</v>
      </c>
      <c r="J21" s="129">
        <f>+Actuals!G51</f>
        <v>0</v>
      </c>
      <c r="K21" s="149">
        <f>+Actuals!H51</f>
        <v>0</v>
      </c>
      <c r="L21" s="129">
        <f>+Actuals!I51</f>
        <v>0</v>
      </c>
      <c r="M21" s="130">
        <f>+Actuals!J51</f>
        <v>0</v>
      </c>
      <c r="N21" s="129">
        <f>+Actuals!K51</f>
        <v>0</v>
      </c>
      <c r="O21" s="130">
        <f>+Actuals!L51</f>
        <v>0</v>
      </c>
      <c r="P21" s="129">
        <f>+Actuals!M51</f>
        <v>0</v>
      </c>
      <c r="Q21" s="130">
        <f>+Actuals!N51</f>
        <v>0</v>
      </c>
      <c r="R21" s="129">
        <f>+Actuals!O51</f>
        <v>0</v>
      </c>
      <c r="S21" s="130">
        <f>+Actuals!P51</f>
        <v>0</v>
      </c>
      <c r="T21" s="129">
        <f>+Actuals!Q51</f>
        <v>0</v>
      </c>
      <c r="U21" s="130">
        <f>+Actuals!R51</f>
        <v>0</v>
      </c>
      <c r="V21" s="129">
        <f>+Actuals!S51</f>
        <v>0</v>
      </c>
      <c r="W21" s="130">
        <f>+Actuals!T51</f>
        <v>0</v>
      </c>
      <c r="X21" s="129">
        <f>+Actuals!U51</f>
        <v>0</v>
      </c>
      <c r="Y21" s="130">
        <f>+Actuals!V51</f>
        <v>0</v>
      </c>
      <c r="Z21" s="129">
        <f>+Actuals!W51</f>
        <v>0</v>
      </c>
      <c r="AA21" s="130">
        <f>+Actuals!X51</f>
        <v>0</v>
      </c>
      <c r="AB21" s="129">
        <f>+Actuals!Y51</f>
        <v>0</v>
      </c>
      <c r="AC21" s="130">
        <f>+Actuals!Z51</f>
        <v>0</v>
      </c>
      <c r="AD21" s="129">
        <f>+Actuals!AA51</f>
        <v>0</v>
      </c>
      <c r="AE21" s="130">
        <f>+Actuals!AB51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9">
        <f>+Actuals!E52</f>
        <v>0</v>
      </c>
      <c r="I22" s="130">
        <f>+Actuals!F52</f>
        <v>0</v>
      </c>
      <c r="J22" s="129">
        <f>+Actuals!G52</f>
        <v>0</v>
      </c>
      <c r="K22" s="149">
        <f>+Actuals!H52</f>
        <v>0</v>
      </c>
      <c r="L22" s="129">
        <f>+Actuals!I52</f>
        <v>0</v>
      </c>
      <c r="M22" s="130">
        <f>+Actuals!J52</f>
        <v>0</v>
      </c>
      <c r="N22" s="129">
        <f>+Actuals!K52</f>
        <v>0</v>
      </c>
      <c r="O22" s="130">
        <f>+Actuals!L52</f>
        <v>0</v>
      </c>
      <c r="P22" s="129">
        <f>+Actuals!M52</f>
        <v>0</v>
      </c>
      <c r="Q22" s="130">
        <f>+Actuals!N52</f>
        <v>0</v>
      </c>
      <c r="R22" s="129">
        <f>+Actuals!O52</f>
        <v>0</v>
      </c>
      <c r="S22" s="130">
        <f>+Actuals!P52</f>
        <v>0</v>
      </c>
      <c r="T22" s="129">
        <f>+Actuals!Q52</f>
        <v>0</v>
      </c>
      <c r="U22" s="130">
        <f>+Actuals!R52</f>
        <v>0</v>
      </c>
      <c r="V22" s="129">
        <f>+Actuals!S52</f>
        <v>0</v>
      </c>
      <c r="W22" s="130">
        <f>+Actuals!T52</f>
        <v>0</v>
      </c>
      <c r="X22" s="129">
        <f>+Actuals!U52</f>
        <v>0</v>
      </c>
      <c r="Y22" s="130">
        <f>+Actuals!V52</f>
        <v>0</v>
      </c>
      <c r="Z22" s="129">
        <f>+Actuals!W52</f>
        <v>0</v>
      </c>
      <c r="AA22" s="130">
        <f>+Actuals!X52</f>
        <v>0</v>
      </c>
      <c r="AB22" s="129">
        <f>+Actuals!Y52</f>
        <v>0</v>
      </c>
      <c r="AC22" s="130">
        <f>+Actuals!Z52</f>
        <v>0</v>
      </c>
      <c r="AD22" s="129">
        <f>+Actuals!AA52</f>
        <v>0</v>
      </c>
      <c r="AE22" s="130">
        <f>+Actuals!AB52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34163</v>
      </c>
      <c r="E23" s="38">
        <f t="shared" si="3"/>
        <v>78532.86</v>
      </c>
      <c r="F23" s="98">
        <f>'TIE-OUT'!J23+RECLASS!J23</f>
        <v>0</v>
      </c>
      <c r="G23" s="99">
        <f>'TIE-OUT'!K23+RECLASS!K23</f>
        <v>0</v>
      </c>
      <c r="H23" s="129">
        <f>+Actuals!E53</f>
        <v>0</v>
      </c>
      <c r="I23" s="130">
        <f>+Actuals!F53</f>
        <v>0</v>
      </c>
      <c r="J23" s="129">
        <f>+Actuals!G53</f>
        <v>50345</v>
      </c>
      <c r="K23" s="149">
        <f>+Actuals!H53</f>
        <v>115135.49</v>
      </c>
      <c r="L23" s="129">
        <f>+Actuals!I53</f>
        <v>0</v>
      </c>
      <c r="M23" s="130">
        <f>+Actuals!J53</f>
        <v>0</v>
      </c>
      <c r="N23" s="129">
        <f>+Actuals!K53</f>
        <v>0</v>
      </c>
      <c r="O23" s="130">
        <f>+Actuals!L53</f>
        <v>0</v>
      </c>
      <c r="P23" s="129">
        <f>+Actuals!M53</f>
        <v>0</v>
      </c>
      <c r="Q23" s="130">
        <f>+Actuals!N53</f>
        <v>454.15</v>
      </c>
      <c r="R23" s="129">
        <f>+Actuals!O53</f>
        <v>0</v>
      </c>
      <c r="S23" s="130">
        <f>+Actuals!P53</f>
        <v>0</v>
      </c>
      <c r="T23" s="129">
        <f>+Actuals!Q53</f>
        <v>0</v>
      </c>
      <c r="U23" s="130">
        <f>+Actuals!R53</f>
        <v>0</v>
      </c>
      <c r="V23" s="129">
        <f>+Actuals!S53</f>
        <v>0</v>
      </c>
      <c r="W23" s="130">
        <f>+Actuals!T53</f>
        <v>0</v>
      </c>
      <c r="X23" s="129">
        <f>+Actuals!U53</f>
        <v>0</v>
      </c>
      <c r="Y23" s="130">
        <f>+Actuals!V53</f>
        <v>0</v>
      </c>
      <c r="Z23" s="129">
        <f>+Actuals!W53</f>
        <v>-16182</v>
      </c>
      <c r="AA23" s="130">
        <f>+Actuals!X53</f>
        <v>-37056.78</v>
      </c>
      <c r="AB23" s="129">
        <f>+Actuals!Y53</f>
        <v>0</v>
      </c>
      <c r="AC23" s="130">
        <f>+Actuals!Z53</f>
        <v>0</v>
      </c>
      <c r="AD23" s="129">
        <f>+Actuals!AA53</f>
        <v>0</v>
      </c>
      <c r="AE23" s="130">
        <f>+Actuals!AB53</f>
        <v>0</v>
      </c>
    </row>
    <row r="24" spans="1:31" x14ac:dyDescent="0.2">
      <c r="A24" s="9"/>
      <c r="B24" s="7" t="s">
        <v>36</v>
      </c>
      <c r="C24" s="6"/>
      <c r="D24" s="61">
        <f>SUM(D19:D23)</f>
        <v>-812838</v>
      </c>
      <c r="E24" s="39">
        <f>SUM(E19:E23)</f>
        <v>-1776221.42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-378086</v>
      </c>
      <c r="I24" s="39">
        <f t="shared" si="4"/>
        <v>-810408.32</v>
      </c>
      <c r="J24" s="61">
        <f t="shared" si="4"/>
        <v>-464997</v>
      </c>
      <c r="K24" s="150">
        <f t="shared" si="4"/>
        <v>-1031569.75</v>
      </c>
      <c r="L24" s="61">
        <f t="shared" si="4"/>
        <v>46427</v>
      </c>
      <c r="M24" s="39">
        <f t="shared" si="4"/>
        <v>101881.32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803.15</v>
      </c>
      <c r="R24" s="61">
        <f t="shared" si="4"/>
        <v>0</v>
      </c>
      <c r="S24" s="39">
        <f t="shared" si="4"/>
        <v>69.2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59.76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-16182</v>
      </c>
      <c r="AA24" s="39">
        <f t="shared" si="5"/>
        <v>-37056.78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58"/>
      <c r="G26" s="15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1328614</v>
      </c>
      <c r="E27" s="38">
        <f>SUM(G27,I27,K27,M27,O27,Q27,S27,U27,W27,Y27,AA27,AC27,AE27)</f>
        <v>3057009.3999999994</v>
      </c>
      <c r="F27" s="84">
        <f>'TIE-OUT'!J27+RECLASS!J27</f>
        <v>0</v>
      </c>
      <c r="G27" s="85">
        <f>'TIE-OUT'!K27+RECLASS!K27</f>
        <v>0</v>
      </c>
      <c r="H27" s="129">
        <f>+Actuals!E54+37234</f>
        <v>1995725</v>
      </c>
      <c r="I27" s="130">
        <f>+Actuals!F54+88019</f>
        <v>4432338.2699999996</v>
      </c>
      <c r="J27" s="129">
        <f>+Actuals!G54</f>
        <v>-85802</v>
      </c>
      <c r="K27" s="149">
        <f>+Actuals!H54</f>
        <v>-27391.08</v>
      </c>
      <c r="L27" s="129">
        <f>+Actuals!I54</f>
        <v>-37183</v>
      </c>
      <c r="M27" s="130">
        <f>+Actuals!J54</f>
        <v>-84537.38</v>
      </c>
      <c r="N27" s="129">
        <f>+Actuals!K54</f>
        <v>-397971</v>
      </c>
      <c r="O27" s="130">
        <f>+Actuals!L54</f>
        <v>-904940.13</v>
      </c>
      <c r="P27" s="129">
        <f>+Actuals!M54</f>
        <v>161497</v>
      </c>
      <c r="Q27" s="130">
        <f>+Actuals!N54</f>
        <v>354597.16</v>
      </c>
      <c r="R27" s="129">
        <f>+Actuals!O54</f>
        <v>24504</v>
      </c>
      <c r="S27" s="130">
        <f>+Actuals!P54</f>
        <v>54019.07</v>
      </c>
      <c r="T27" s="129">
        <f>+Actuals!Q54</f>
        <v>-307682</v>
      </c>
      <c r="U27" s="130">
        <f>+Actuals!R54</f>
        <v>-713124.39</v>
      </c>
      <c r="V27" s="129">
        <f>+Actuals!S54</f>
        <v>-24474</v>
      </c>
      <c r="W27" s="130">
        <f>+Actuals!T54</f>
        <v>-53952.12</v>
      </c>
      <c r="X27" s="129">
        <f>+Actuals!U54</f>
        <v>0</v>
      </c>
      <c r="Y27" s="130">
        <f>+Actuals!V54</f>
        <v>0</v>
      </c>
      <c r="Z27" s="129">
        <f>+Actuals!W54</f>
        <v>0</v>
      </c>
      <c r="AA27" s="130">
        <f>+Actuals!X54</f>
        <v>0</v>
      </c>
      <c r="AB27" s="129">
        <f>+Actuals!Y54</f>
        <v>0</v>
      </c>
      <c r="AC27" s="130">
        <f>+Actuals!Z54</f>
        <v>0</v>
      </c>
      <c r="AD27" s="129">
        <f>+Actuals!AA54</f>
        <v>0</v>
      </c>
      <c r="AE27" s="130">
        <f>+Actuals!AB54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-9475249</v>
      </c>
      <c r="E28" s="38">
        <f>SUM(G28,I28,K28,M28,O28,Q28,S28,U28,W28,Y28,AA28,AC28,AE28)</f>
        <v>-21754100.880000006</v>
      </c>
      <c r="F28" s="98">
        <f>'TIE-OUT'!J28+RECLASS!J28</f>
        <v>0</v>
      </c>
      <c r="G28" s="99">
        <f>'TIE-OUT'!K28+RECLASS!K28</f>
        <v>0</v>
      </c>
      <c r="H28" s="129">
        <f>+Actuals!E55-34984</f>
        <v>-10090410</v>
      </c>
      <c r="I28" s="130">
        <f>+Actuals!F55-82631</f>
        <v>-23021125.120000001</v>
      </c>
      <c r="J28" s="129">
        <f>+Actuals!G55</f>
        <v>44406</v>
      </c>
      <c r="K28" s="149">
        <f>+Actuals!H55</f>
        <v>-7315.9200000000419</v>
      </c>
      <c r="L28" s="129">
        <f>+Actuals!I55</f>
        <v>43227</v>
      </c>
      <c r="M28" s="130">
        <f>+Actuals!J55</f>
        <v>99691.31</v>
      </c>
      <c r="N28" s="129">
        <f>+Actuals!K55</f>
        <v>333567</v>
      </c>
      <c r="O28" s="130">
        <f>+Actuals!L55</f>
        <v>769193.52</v>
      </c>
      <c r="P28" s="129">
        <f>+Actuals!M55</f>
        <v>-113691</v>
      </c>
      <c r="Q28" s="130">
        <f>+Actuals!N55-349</f>
        <v>-307602.01</v>
      </c>
      <c r="R28" s="129">
        <f>+Actuals!O55</f>
        <v>-24474</v>
      </c>
      <c r="S28" s="130">
        <f>+Actuals!P55</f>
        <v>-53952.94</v>
      </c>
      <c r="T28" s="129">
        <f>+Actuals!Q55-100</f>
        <v>307652</v>
      </c>
      <c r="U28" s="130">
        <f>+Actuals!R55-232</f>
        <v>713197.23</v>
      </c>
      <c r="V28" s="129">
        <f>+Actuals!S55</f>
        <v>24474</v>
      </c>
      <c r="W28" s="130">
        <f>+Actuals!T55</f>
        <v>53813.87</v>
      </c>
      <c r="X28" s="129">
        <f>+Actuals!U55</f>
        <v>0</v>
      </c>
      <c r="Y28" s="130">
        <f>+Actuals!V55</f>
        <v>-0.82</v>
      </c>
      <c r="Z28" s="129">
        <f>+Actuals!W55</f>
        <v>0</v>
      </c>
      <c r="AA28" s="130">
        <f>+Actuals!X55</f>
        <v>0</v>
      </c>
      <c r="AB28" s="129">
        <f>+Actuals!Y55</f>
        <v>0</v>
      </c>
      <c r="AC28" s="130">
        <f>+Actuals!Z55</f>
        <v>0</v>
      </c>
      <c r="AD28" s="129">
        <f>+Actuals!AA55</f>
        <v>0</v>
      </c>
      <c r="AE28" s="130">
        <f>+Actuals!AB55</f>
        <v>0</v>
      </c>
    </row>
    <row r="29" spans="1:31" x14ac:dyDescent="0.2">
      <c r="A29" s="9"/>
      <c r="B29" s="7" t="s">
        <v>40</v>
      </c>
      <c r="C29" s="18"/>
      <c r="D29" s="61">
        <f>SUM(D27:D28)</f>
        <v>-8146635</v>
      </c>
      <c r="E29" s="39">
        <f>SUM(E27:E28)</f>
        <v>-18697091.480000008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-8094685</v>
      </c>
      <c r="I29" s="39">
        <f t="shared" si="6"/>
        <v>-18588786.850000001</v>
      </c>
      <c r="J29" s="61">
        <f t="shared" si="6"/>
        <v>-41396</v>
      </c>
      <c r="K29" s="150">
        <f t="shared" si="6"/>
        <v>-34707.000000000044</v>
      </c>
      <c r="L29" s="61">
        <f t="shared" si="6"/>
        <v>6044</v>
      </c>
      <c r="M29" s="39">
        <f t="shared" si="6"/>
        <v>15153.929999999993</v>
      </c>
      <c r="N29" s="61">
        <f t="shared" si="6"/>
        <v>-64404</v>
      </c>
      <c r="O29" s="39">
        <f t="shared" si="6"/>
        <v>-135746.60999999999</v>
      </c>
      <c r="P29" s="61">
        <f t="shared" si="6"/>
        <v>47806</v>
      </c>
      <c r="Q29" s="39">
        <f t="shared" si="6"/>
        <v>46995.149999999965</v>
      </c>
      <c r="R29" s="61">
        <f t="shared" si="6"/>
        <v>30</v>
      </c>
      <c r="S29" s="39">
        <f t="shared" si="6"/>
        <v>66.129999999997381</v>
      </c>
      <c r="T29" s="61">
        <f t="shared" si="6"/>
        <v>-30</v>
      </c>
      <c r="U29" s="39">
        <f t="shared" si="6"/>
        <v>72.839999999967404</v>
      </c>
      <c r="V29" s="61">
        <f t="shared" si="6"/>
        <v>0</v>
      </c>
      <c r="W29" s="39">
        <f t="shared" si="6"/>
        <v>-138.25</v>
      </c>
      <c r="X29" s="61">
        <f t="shared" ref="X29:AC29" si="7">SUM(X27:X28)</f>
        <v>0</v>
      </c>
      <c r="Y29" s="39">
        <f t="shared" si="7"/>
        <v>-0.82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58"/>
      <c r="G31" s="15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35808</v>
      </c>
      <c r="E32" s="38">
        <f t="shared" si="8"/>
        <v>79816.031999999992</v>
      </c>
      <c r="F32" s="84">
        <f>'TIE-OUT'!J32+RECLASS!J32</f>
        <v>0</v>
      </c>
      <c r="G32" s="85">
        <f>'TIE-OUT'!K32+RECLASS!K32</f>
        <v>0</v>
      </c>
      <c r="H32" s="129">
        <f>+Actuals!E56</f>
        <v>0</v>
      </c>
      <c r="I32" s="130">
        <f>+Actuals!F56</f>
        <v>0</v>
      </c>
      <c r="J32" s="129">
        <f>+Actuals!G56</f>
        <v>49053</v>
      </c>
      <c r="K32" s="149">
        <f>+Actuals!H56</f>
        <v>109339.137</v>
      </c>
      <c r="L32" s="129">
        <f>+Actuals!I56</f>
        <v>0</v>
      </c>
      <c r="M32" s="130">
        <f>+Actuals!J56</f>
        <v>1765.9079999999999</v>
      </c>
      <c r="N32" s="129">
        <f>+Actuals!K56</f>
        <v>-25893</v>
      </c>
      <c r="O32" s="130">
        <f>+Actuals!L56</f>
        <v>-50564.805</v>
      </c>
      <c r="P32" s="129">
        <f>+Actuals!M56</f>
        <v>23464</v>
      </c>
      <c r="Q32" s="130">
        <f>+Actuals!N56</f>
        <v>74576.111999999994</v>
      </c>
      <c r="R32" s="129">
        <f>+Actuals!O56</f>
        <v>208</v>
      </c>
      <c r="S32" s="130">
        <f>+Actuals!P56</f>
        <v>-30727.824000000001</v>
      </c>
      <c r="T32" s="129">
        <f>+Actuals!Q56</f>
        <v>290</v>
      </c>
      <c r="U32" s="130">
        <f>+Actuals!R56</f>
        <v>646.41</v>
      </c>
      <c r="V32" s="129">
        <f>+Actuals!S56</f>
        <v>0</v>
      </c>
      <c r="W32" s="130">
        <f>+Actuals!T56</f>
        <v>0</v>
      </c>
      <c r="X32" s="129">
        <f>+Actuals!U56</f>
        <v>-27496</v>
      </c>
      <c r="Y32" s="130">
        <f>+Actuals!V56</f>
        <v>-61288.584000000003</v>
      </c>
      <c r="Z32" s="129">
        <f>+Actuals!W56</f>
        <v>16182</v>
      </c>
      <c r="AA32" s="130">
        <f>+Actuals!X56</f>
        <v>36069.678</v>
      </c>
      <c r="AB32" s="129">
        <f>+Actuals!Y56</f>
        <v>0</v>
      </c>
      <c r="AC32" s="130">
        <f>+Actuals!Z56</f>
        <v>0</v>
      </c>
      <c r="AD32" s="129">
        <f>+Actuals!AA56</f>
        <v>0</v>
      </c>
      <c r="AE32" s="130">
        <f>+Actuals!AB56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9">
        <f>+Actuals!E57</f>
        <v>0</v>
      </c>
      <c r="I33" s="130">
        <f>+Actuals!F57</f>
        <v>0</v>
      </c>
      <c r="J33" s="129">
        <f>+Actuals!G57</f>
        <v>0</v>
      </c>
      <c r="K33" s="149">
        <f>+Actuals!H57</f>
        <v>0</v>
      </c>
      <c r="L33" s="129">
        <f>+Actuals!I57</f>
        <v>0</v>
      </c>
      <c r="M33" s="130">
        <f>+Actuals!J57</f>
        <v>0</v>
      </c>
      <c r="N33" s="129">
        <f>+Actuals!K57</f>
        <v>0</v>
      </c>
      <c r="O33" s="130">
        <f>+Actuals!L57</f>
        <v>0</v>
      </c>
      <c r="P33" s="129">
        <f>+Actuals!M57</f>
        <v>0</v>
      </c>
      <c r="Q33" s="130">
        <f>+Actuals!N57</f>
        <v>0</v>
      </c>
      <c r="R33" s="129">
        <f>+Actuals!O57</f>
        <v>0</v>
      </c>
      <c r="S33" s="130">
        <f>+Actuals!P57</f>
        <v>0</v>
      </c>
      <c r="T33" s="129">
        <f>+Actuals!Q57</f>
        <v>0</v>
      </c>
      <c r="U33" s="130">
        <f>+Actuals!R57</f>
        <v>0</v>
      </c>
      <c r="V33" s="129">
        <f>+Actuals!S57</f>
        <v>0</v>
      </c>
      <c r="W33" s="130">
        <f>+Actuals!T57</f>
        <v>0</v>
      </c>
      <c r="X33" s="129">
        <f>+Actuals!U57</f>
        <v>0</v>
      </c>
      <c r="Y33" s="130">
        <f>+Actuals!V57</f>
        <v>0</v>
      </c>
      <c r="Z33" s="129">
        <f>+Actuals!W57</f>
        <v>0</v>
      </c>
      <c r="AA33" s="130">
        <f>+Actuals!X57</f>
        <v>0</v>
      </c>
      <c r="AB33" s="129">
        <f>+Actuals!Y57</f>
        <v>0</v>
      </c>
      <c r="AC33" s="130">
        <f>+Actuals!Z57</f>
        <v>0</v>
      </c>
      <c r="AD33" s="129">
        <f>+Actuals!AA57</f>
        <v>0</v>
      </c>
      <c r="AE33" s="130">
        <f>+Actuals!AB57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9">
        <f>+Actuals!E58</f>
        <v>0</v>
      </c>
      <c r="I34" s="130">
        <f>+Actuals!F58</f>
        <v>0</v>
      </c>
      <c r="J34" s="129">
        <f>+Actuals!G58</f>
        <v>0</v>
      </c>
      <c r="K34" s="149">
        <f>+Actuals!H58</f>
        <v>0</v>
      </c>
      <c r="L34" s="129">
        <f>+Actuals!I58</f>
        <v>0</v>
      </c>
      <c r="M34" s="130">
        <f>+Actuals!J58</f>
        <v>0</v>
      </c>
      <c r="N34" s="129">
        <f>+Actuals!K58</f>
        <v>0</v>
      </c>
      <c r="O34" s="130">
        <f>+Actuals!L58</f>
        <v>0</v>
      </c>
      <c r="P34" s="129">
        <f>+Actuals!M58</f>
        <v>0</v>
      </c>
      <c r="Q34" s="130">
        <f>+Actuals!N58</f>
        <v>0</v>
      </c>
      <c r="R34" s="129">
        <f>+Actuals!O58</f>
        <v>0</v>
      </c>
      <c r="S34" s="130">
        <f>+Actuals!P58</f>
        <v>0</v>
      </c>
      <c r="T34" s="129">
        <f>+Actuals!Q58</f>
        <v>0</v>
      </c>
      <c r="U34" s="130">
        <f>+Actuals!R58</f>
        <v>0</v>
      </c>
      <c r="V34" s="129">
        <f>+Actuals!S58</f>
        <v>0</v>
      </c>
      <c r="W34" s="130">
        <f>+Actuals!T58</f>
        <v>0</v>
      </c>
      <c r="X34" s="129">
        <f>+Actuals!U58</f>
        <v>0</v>
      </c>
      <c r="Y34" s="130">
        <f>+Actuals!V58</f>
        <v>0</v>
      </c>
      <c r="Z34" s="129">
        <f>+Actuals!W58</f>
        <v>0</v>
      </c>
      <c r="AA34" s="130">
        <f>+Actuals!X58</f>
        <v>0</v>
      </c>
      <c r="AB34" s="129">
        <f>+Actuals!Y58</f>
        <v>0</v>
      </c>
      <c r="AC34" s="130">
        <f>+Actuals!Z58</f>
        <v>0</v>
      </c>
      <c r="AD34" s="129">
        <f>+Actuals!AA58</f>
        <v>0</v>
      </c>
      <c r="AE34" s="130">
        <f>+Actuals!AB58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9">
        <f>+Actuals!E59</f>
        <v>0</v>
      </c>
      <c r="I35" s="130">
        <f>+Actuals!F59</f>
        <v>0</v>
      </c>
      <c r="J35" s="129">
        <f>+Actuals!G59</f>
        <v>0</v>
      </c>
      <c r="K35" s="149">
        <f>+Actuals!H59</f>
        <v>0</v>
      </c>
      <c r="L35" s="129">
        <f>+Actuals!I59</f>
        <v>0</v>
      </c>
      <c r="M35" s="130">
        <f>+Actuals!J59</f>
        <v>0</v>
      </c>
      <c r="N35" s="129">
        <f>+Actuals!K59</f>
        <v>0</v>
      </c>
      <c r="O35" s="130">
        <f>+Actuals!L59</f>
        <v>0</v>
      </c>
      <c r="P35" s="129">
        <f>+Actuals!M59</f>
        <v>0</v>
      </c>
      <c r="Q35" s="130">
        <f>+Actuals!N59</f>
        <v>0</v>
      </c>
      <c r="R35" s="129">
        <f>+Actuals!O59</f>
        <v>0</v>
      </c>
      <c r="S35" s="130">
        <f>+Actuals!P59</f>
        <v>0</v>
      </c>
      <c r="T35" s="129">
        <f>+Actuals!Q59</f>
        <v>0</v>
      </c>
      <c r="U35" s="130">
        <f>+Actuals!R59</f>
        <v>0</v>
      </c>
      <c r="V35" s="129">
        <f>+Actuals!S59</f>
        <v>0</v>
      </c>
      <c r="W35" s="130">
        <f>+Actuals!T59</f>
        <v>0</v>
      </c>
      <c r="X35" s="129">
        <f>+Actuals!U59</f>
        <v>0</v>
      </c>
      <c r="Y35" s="130">
        <f>+Actuals!V59</f>
        <v>0</v>
      </c>
      <c r="Z35" s="129">
        <f>+Actuals!W59</f>
        <v>0</v>
      </c>
      <c r="AA35" s="130">
        <f>+Actuals!X59</f>
        <v>0</v>
      </c>
      <c r="AB35" s="129">
        <f>+Actuals!Y59</f>
        <v>0</v>
      </c>
      <c r="AC35" s="130">
        <f>+Actuals!Z59</f>
        <v>0</v>
      </c>
      <c r="AD35" s="129">
        <f>+Actuals!AA59</f>
        <v>0</v>
      </c>
      <c r="AE35" s="130">
        <f>+Actuals!AB59</f>
        <v>0</v>
      </c>
    </row>
    <row r="36" spans="1:31" x14ac:dyDescent="0.2">
      <c r="A36" s="9"/>
      <c r="B36" s="7" t="s">
        <v>46</v>
      </c>
      <c r="C36" s="6"/>
      <c r="D36" s="61">
        <f>SUM(D32:D35)</f>
        <v>35808</v>
      </c>
      <c r="E36" s="39">
        <f>SUM(E32:E35)</f>
        <v>79816.031999999992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49053</v>
      </c>
      <c r="K36" s="150">
        <f t="shared" si="9"/>
        <v>109339.137</v>
      </c>
      <c r="L36" s="61">
        <f t="shared" si="9"/>
        <v>0</v>
      </c>
      <c r="M36" s="39">
        <f t="shared" si="9"/>
        <v>1765.9079999999999</v>
      </c>
      <c r="N36" s="61">
        <f t="shared" si="9"/>
        <v>-25893</v>
      </c>
      <c r="O36" s="39">
        <f t="shared" si="9"/>
        <v>-50564.805</v>
      </c>
      <c r="P36" s="61">
        <f t="shared" si="9"/>
        <v>23464</v>
      </c>
      <c r="Q36" s="39">
        <f t="shared" si="9"/>
        <v>74576.111999999994</v>
      </c>
      <c r="R36" s="61">
        <f t="shared" si="9"/>
        <v>208</v>
      </c>
      <c r="S36" s="39">
        <f t="shared" si="9"/>
        <v>-30727.824000000001</v>
      </c>
      <c r="T36" s="61">
        <f t="shared" si="9"/>
        <v>290</v>
      </c>
      <c r="U36" s="39">
        <f t="shared" si="9"/>
        <v>646.41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-27496</v>
      </c>
      <c r="Y36" s="39">
        <f t="shared" si="10"/>
        <v>-61288.584000000003</v>
      </c>
      <c r="Z36" s="61">
        <f t="shared" si="10"/>
        <v>16182</v>
      </c>
      <c r="AA36" s="39">
        <f t="shared" si="10"/>
        <v>36069.678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58"/>
      <c r="G38" s="15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980688</v>
      </c>
      <c r="E39" s="38">
        <f t="shared" si="11"/>
        <v>2235968.64</v>
      </c>
      <c r="F39" s="84">
        <f>'TIE-OUT'!J39+RECLASS!J39</f>
        <v>0</v>
      </c>
      <c r="G39" s="85">
        <f>'TIE-OUT'!K39+RECLASS!K39</f>
        <v>0</v>
      </c>
      <c r="H39" s="129">
        <f>+Actuals!E60</f>
        <v>0</v>
      </c>
      <c r="I39" s="130">
        <f>+Actuals!F60</f>
        <v>0</v>
      </c>
      <c r="J39" s="129">
        <f>+Actuals!G60</f>
        <v>1085249</v>
      </c>
      <c r="K39" s="149">
        <f>+Actuals!H60</f>
        <v>2474367.7200000002</v>
      </c>
      <c r="L39" s="129">
        <f>+Actuals!I60</f>
        <v>-31404</v>
      </c>
      <c r="M39" s="130">
        <f>+Actuals!J60</f>
        <v>-71601.119999999995</v>
      </c>
      <c r="N39" s="129">
        <f>+Actuals!K60</f>
        <v>-73157</v>
      </c>
      <c r="O39" s="130">
        <f>+Actuals!L60</f>
        <v>-166797.96</v>
      </c>
      <c r="P39" s="129">
        <f>+Actuals!M60</f>
        <v>0</v>
      </c>
      <c r="Q39" s="130">
        <f>+Actuals!N60</f>
        <v>0</v>
      </c>
      <c r="R39" s="129">
        <f>+Actuals!O60</f>
        <v>0</v>
      </c>
      <c r="S39" s="130">
        <f>+Actuals!P60</f>
        <v>0</v>
      </c>
      <c r="T39" s="129">
        <f>+Actuals!Q60</f>
        <v>0</v>
      </c>
      <c r="U39" s="130">
        <f>+Actuals!R60</f>
        <v>0</v>
      </c>
      <c r="V39" s="129">
        <f>+Actuals!S60</f>
        <v>0</v>
      </c>
      <c r="W39" s="130">
        <f>+Actuals!T60</f>
        <v>0</v>
      </c>
      <c r="X39" s="129">
        <f>+Actuals!U60</f>
        <v>0</v>
      </c>
      <c r="Y39" s="130">
        <f>+Actuals!V60</f>
        <v>0</v>
      </c>
      <c r="Z39" s="129">
        <f>+Actuals!W60</f>
        <v>0</v>
      </c>
      <c r="AA39" s="130">
        <f>+Actuals!X60</f>
        <v>0</v>
      </c>
      <c r="AB39" s="129">
        <f>+Actuals!Y60</f>
        <v>0</v>
      </c>
      <c r="AC39" s="130">
        <f>+Actuals!Z60</f>
        <v>0</v>
      </c>
      <c r="AD39" s="129">
        <f>+Actuals!AA60</f>
        <v>0</v>
      </c>
      <c r="AE39" s="130">
        <f>+Actuals!AB60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-584709</v>
      </c>
      <c r="E40" s="38">
        <f t="shared" si="11"/>
        <v>-1333136.52</v>
      </c>
      <c r="F40" s="58">
        <f>'TIE-OUT'!J40+RECLASS!J40</f>
        <v>0</v>
      </c>
      <c r="G40" s="15">
        <f>'TIE-OUT'!K40+RECLASS!K40</f>
        <v>0</v>
      </c>
      <c r="H40" s="129">
        <f>+Actuals!E61</f>
        <v>0</v>
      </c>
      <c r="I40" s="130">
        <f>+Actuals!F61</f>
        <v>0</v>
      </c>
      <c r="J40" s="129">
        <f>+Actuals!G61</f>
        <v>-683126</v>
      </c>
      <c r="K40" s="149">
        <f>+Actuals!H61</f>
        <v>-1557527.28</v>
      </c>
      <c r="L40" s="129">
        <f>+Actuals!I61</f>
        <v>25360</v>
      </c>
      <c r="M40" s="130">
        <f>+Actuals!J61</f>
        <v>57820.800000000003</v>
      </c>
      <c r="N40" s="129">
        <f>+Actuals!K61</f>
        <v>73157</v>
      </c>
      <c r="O40" s="130">
        <f>+Actuals!L61</f>
        <v>166797.96</v>
      </c>
      <c r="P40" s="129">
        <f>+Actuals!M61</f>
        <v>0</v>
      </c>
      <c r="Q40" s="130">
        <f>+Actuals!N61</f>
        <v>0</v>
      </c>
      <c r="R40" s="129">
        <f>+Actuals!O61</f>
        <v>0</v>
      </c>
      <c r="S40" s="130">
        <f>+Actuals!P61</f>
        <v>0</v>
      </c>
      <c r="T40" s="129">
        <f>+Actuals!Q61</f>
        <v>-100</v>
      </c>
      <c r="U40" s="130">
        <f>+Actuals!R61</f>
        <v>-228</v>
      </c>
      <c r="V40" s="129">
        <f>+Actuals!S61</f>
        <v>0</v>
      </c>
      <c r="W40" s="130">
        <f>+Actuals!T61</f>
        <v>0</v>
      </c>
      <c r="X40" s="129">
        <f>+Actuals!U61</f>
        <v>0</v>
      </c>
      <c r="Y40" s="130">
        <f>+Actuals!V61</f>
        <v>0</v>
      </c>
      <c r="Z40" s="129">
        <f>+Actuals!W61</f>
        <v>0</v>
      </c>
      <c r="AA40" s="130">
        <f>+Actuals!X61</f>
        <v>0</v>
      </c>
      <c r="AB40" s="129">
        <f>+Actuals!Y61</f>
        <v>0</v>
      </c>
      <c r="AC40" s="130">
        <f>+Actuals!Z61</f>
        <v>0</v>
      </c>
      <c r="AD40" s="129">
        <f>+Actuals!AA61</f>
        <v>0</v>
      </c>
      <c r="AE40" s="130">
        <f>+Actuals!AB61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9">
        <f>+Actuals!E62</f>
        <v>0</v>
      </c>
      <c r="I41" s="130">
        <f>+Actuals!F62</f>
        <v>0</v>
      </c>
      <c r="J41" s="129">
        <f>+Actuals!G62</f>
        <v>0</v>
      </c>
      <c r="K41" s="149">
        <f>+Actuals!H62</f>
        <v>0</v>
      </c>
      <c r="L41" s="129">
        <f>+Actuals!I62</f>
        <v>0</v>
      </c>
      <c r="M41" s="130">
        <f>+Actuals!J62</f>
        <v>0</v>
      </c>
      <c r="N41" s="129">
        <f>+Actuals!K62</f>
        <v>0</v>
      </c>
      <c r="O41" s="130">
        <f>+Actuals!L62</f>
        <v>0</v>
      </c>
      <c r="P41" s="129">
        <f>+Actuals!M62</f>
        <v>0</v>
      </c>
      <c r="Q41" s="130">
        <f>+Actuals!N62</f>
        <v>0</v>
      </c>
      <c r="R41" s="129">
        <f>+Actuals!O62</f>
        <v>0</v>
      </c>
      <c r="S41" s="130">
        <f>+Actuals!P62</f>
        <v>0</v>
      </c>
      <c r="T41" s="129">
        <f>+Actuals!Q62</f>
        <v>0</v>
      </c>
      <c r="U41" s="130">
        <f>+Actuals!R62</f>
        <v>0</v>
      </c>
      <c r="V41" s="129">
        <f>+Actuals!S62</f>
        <v>0</v>
      </c>
      <c r="W41" s="130">
        <f>+Actuals!T62</f>
        <v>0</v>
      </c>
      <c r="X41" s="129">
        <f>+Actuals!U62</f>
        <v>0</v>
      </c>
      <c r="Y41" s="130">
        <f>+Actuals!V62</f>
        <v>0</v>
      </c>
      <c r="Z41" s="129">
        <f>+Actuals!W62</f>
        <v>0</v>
      </c>
      <c r="AA41" s="130">
        <f>+Actuals!X62</f>
        <v>0</v>
      </c>
      <c r="AB41" s="129">
        <f>+Actuals!Y62</f>
        <v>0</v>
      </c>
      <c r="AC41" s="130">
        <f>+Actuals!Z62</f>
        <v>0</v>
      </c>
      <c r="AD41" s="129">
        <f>+Actuals!AA62</f>
        <v>0</v>
      </c>
      <c r="AE41" s="130">
        <f>+Actuals!AB62</f>
        <v>0</v>
      </c>
    </row>
    <row r="42" spans="1:31" x14ac:dyDescent="0.2">
      <c r="A42" s="9"/>
      <c r="B42" s="7"/>
      <c r="C42" s="53" t="s">
        <v>51</v>
      </c>
      <c r="D42" s="61">
        <f>SUM(D40:D41)</f>
        <v>-584709</v>
      </c>
      <c r="E42" s="39">
        <f>SUM(E40:E41)</f>
        <v>-1333136.52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-683126</v>
      </c>
      <c r="K42" s="150">
        <f t="shared" si="12"/>
        <v>-1557527.28</v>
      </c>
      <c r="L42" s="61">
        <f t="shared" si="12"/>
        <v>25360</v>
      </c>
      <c r="M42" s="39">
        <f t="shared" si="12"/>
        <v>57820.800000000003</v>
      </c>
      <c r="N42" s="61">
        <f t="shared" si="12"/>
        <v>73157</v>
      </c>
      <c r="O42" s="39">
        <f t="shared" si="12"/>
        <v>166797.96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-100</v>
      </c>
      <c r="U42" s="39">
        <f t="shared" si="12"/>
        <v>-228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>D42+D39</f>
        <v>395979</v>
      </c>
      <c r="E43" s="39">
        <f>E42+E39</f>
        <v>902832.12000000011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402123</v>
      </c>
      <c r="K43" s="150">
        <f t="shared" si="14"/>
        <v>916840.44000000018</v>
      </c>
      <c r="L43" s="61">
        <f t="shared" si="14"/>
        <v>-6044</v>
      </c>
      <c r="M43" s="39">
        <f t="shared" si="14"/>
        <v>-13780.319999999992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-100</v>
      </c>
      <c r="U43" s="39">
        <f t="shared" si="14"/>
        <v>-228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-25247</v>
      </c>
      <c r="E45" s="38">
        <f>SUM(G45,I45,K45,M45,O45,Q45,S45,U45,W45,Y45,AA45,AC45,AE45)</f>
        <v>-45544.09</v>
      </c>
      <c r="F45" s="84">
        <f>'TIE-OUT'!J45+RECLASS!J45</f>
        <v>0</v>
      </c>
      <c r="G45" s="85">
        <f>'TIE-OUT'!K45+RECLASS!K45</f>
        <v>0</v>
      </c>
      <c r="H45" s="129">
        <f>+Actuals!E63</f>
        <v>0</v>
      </c>
      <c r="I45" s="130">
        <f>+Actuals!F63</f>
        <v>0</v>
      </c>
      <c r="J45" s="129">
        <f>+Actuals!G63</f>
        <v>-25247</v>
      </c>
      <c r="K45" s="149">
        <f>+Actuals!H63</f>
        <v>-48726.71</v>
      </c>
      <c r="L45" s="129">
        <f>+Actuals!I63</f>
        <v>0</v>
      </c>
      <c r="M45" s="130">
        <f>+Actuals!J63</f>
        <v>0</v>
      </c>
      <c r="N45" s="129">
        <f>+Actuals!K63</f>
        <v>0</v>
      </c>
      <c r="O45" s="130">
        <f>+Actuals!L63</f>
        <v>0</v>
      </c>
      <c r="P45" s="129">
        <f>+Actuals!M63</f>
        <v>0</v>
      </c>
      <c r="Q45" s="130">
        <f>+Actuals!N63</f>
        <v>3182.62</v>
      </c>
      <c r="R45" s="129">
        <f>+Actuals!O63</f>
        <v>0</v>
      </c>
      <c r="S45" s="130">
        <f>+Actuals!P63</f>
        <v>0</v>
      </c>
      <c r="T45" s="129">
        <f>+Actuals!Q63</f>
        <v>0</v>
      </c>
      <c r="U45" s="130">
        <f>+Actuals!R63</f>
        <v>0</v>
      </c>
      <c r="V45" s="129">
        <f>+Actuals!S63</f>
        <v>0</v>
      </c>
      <c r="W45" s="130">
        <f>+Actuals!T63</f>
        <v>0</v>
      </c>
      <c r="X45" s="129">
        <f>+Actuals!U63</f>
        <v>0</v>
      </c>
      <c r="Y45" s="130">
        <f>+Actuals!V63</f>
        <v>0</v>
      </c>
      <c r="Z45" s="129">
        <f>+Actuals!W63</f>
        <v>0</v>
      </c>
      <c r="AA45" s="130">
        <f>+Actuals!X63</f>
        <v>0</v>
      </c>
      <c r="AB45" s="129">
        <f>+Actuals!Y63</f>
        <v>0</v>
      </c>
      <c r="AC45" s="130">
        <f>+Actuals!Z63</f>
        <v>0</v>
      </c>
      <c r="AD45" s="129">
        <f>+Actuals!AA63</f>
        <v>0</v>
      </c>
      <c r="AE45" s="130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9">
        <f>+Actuals!E64</f>
        <v>0</v>
      </c>
      <c r="I47" s="130">
        <f>+Actuals!F64</f>
        <v>0</v>
      </c>
      <c r="J47" s="129">
        <f>+Actuals!G64</f>
        <v>0</v>
      </c>
      <c r="K47" s="149">
        <f>+Actuals!H64</f>
        <v>0</v>
      </c>
      <c r="L47" s="129">
        <f>+Actuals!I64</f>
        <v>0</v>
      </c>
      <c r="M47" s="130">
        <f>+Actuals!J64</f>
        <v>0</v>
      </c>
      <c r="N47" s="129">
        <f>+Actuals!K64</f>
        <v>0</v>
      </c>
      <c r="O47" s="130">
        <f>+Actuals!L64</f>
        <v>0</v>
      </c>
      <c r="P47" s="129">
        <f>+Actuals!M64</f>
        <v>0</v>
      </c>
      <c r="Q47" s="130">
        <f>+Actuals!N64</f>
        <v>0</v>
      </c>
      <c r="R47" s="129">
        <f>+Actuals!O64</f>
        <v>0</v>
      </c>
      <c r="S47" s="130">
        <f>+Actuals!P64</f>
        <v>0</v>
      </c>
      <c r="T47" s="129">
        <f>+Actuals!Q64</f>
        <v>0</v>
      </c>
      <c r="U47" s="130">
        <f>+Actuals!R64</f>
        <v>0</v>
      </c>
      <c r="V47" s="129">
        <f>+Actuals!S64</f>
        <v>0</v>
      </c>
      <c r="W47" s="130">
        <f>+Actuals!T64</f>
        <v>0</v>
      </c>
      <c r="X47" s="129">
        <f>+Actuals!U64</f>
        <v>0</v>
      </c>
      <c r="Y47" s="130">
        <f>+Actuals!V64</f>
        <v>0</v>
      </c>
      <c r="Z47" s="129">
        <f>+Actuals!W64</f>
        <v>0</v>
      </c>
      <c r="AA47" s="130">
        <f>+Actuals!X64</f>
        <v>0</v>
      </c>
      <c r="AB47" s="129">
        <f>+Actuals!Y64</f>
        <v>0</v>
      </c>
      <c r="AC47" s="130">
        <f>+Actuals!Z64</f>
        <v>0</v>
      </c>
      <c r="AD47" s="129">
        <f>+Actuals!AA64</f>
        <v>0</v>
      </c>
      <c r="AE47" s="130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83749</v>
      </c>
      <c r="E49" s="38">
        <f>SUM(G49,I49,K49,M49,O49,Q49,S49,U49,W49,Y49,AA49,AC49,AE49)</f>
        <v>186676.51700000002</v>
      </c>
      <c r="F49" s="58">
        <f>'TIE-OUT'!J49+RECLASS!J49</f>
        <v>0</v>
      </c>
      <c r="G49" s="15">
        <f>'TIE-OUT'!K49+RECLASS!K49</f>
        <v>0</v>
      </c>
      <c r="H49" s="129">
        <f>+Actuals!E65</f>
        <v>83584</v>
      </c>
      <c r="I49" s="130">
        <f>+Actuals!F65</f>
        <v>186308.736</v>
      </c>
      <c r="J49" s="129">
        <f>+Actuals!G65</f>
        <v>1075</v>
      </c>
      <c r="K49" s="149">
        <f>+Actuals!H65</f>
        <v>2396.1709999999998</v>
      </c>
      <c r="L49" s="129">
        <f>+Actuals!I65</f>
        <v>-45977</v>
      </c>
      <c r="M49" s="130">
        <f>+Actuals!J65</f>
        <v>-102482.73299999999</v>
      </c>
      <c r="N49" s="129">
        <f>+Actuals!K65</f>
        <v>90297</v>
      </c>
      <c r="O49" s="130">
        <f>+Actuals!L65</f>
        <v>201272.01300000001</v>
      </c>
      <c r="P49" s="129">
        <f>+Actuals!M65</f>
        <v>-71271</v>
      </c>
      <c r="Q49" s="130">
        <f>+Actuals!N65</f>
        <v>-158863.05900000001</v>
      </c>
      <c r="R49" s="129">
        <f>+Actuals!O65</f>
        <v>-1196</v>
      </c>
      <c r="S49" s="130">
        <f>+Actuals!P65</f>
        <v>-2665.884</v>
      </c>
      <c r="T49" s="129">
        <f>+Actuals!Q65</f>
        <v>-259</v>
      </c>
      <c r="U49" s="130">
        <f>+Actuals!R65</f>
        <v>-577.31100000000004</v>
      </c>
      <c r="V49" s="129">
        <f>+Actuals!S65</f>
        <v>0</v>
      </c>
      <c r="W49" s="130">
        <f>+Actuals!T65</f>
        <v>0</v>
      </c>
      <c r="X49" s="129">
        <f>+Actuals!U65</f>
        <v>27496</v>
      </c>
      <c r="Y49" s="130">
        <f>+Actuals!V65</f>
        <v>61288.584000000003</v>
      </c>
      <c r="Z49" s="129">
        <f>+Actuals!W65</f>
        <v>0</v>
      </c>
      <c r="AA49" s="130">
        <f>+Actuals!X65</f>
        <v>0</v>
      </c>
      <c r="AB49" s="129">
        <f>+Actuals!Y65</f>
        <v>0</v>
      </c>
      <c r="AC49" s="130">
        <f>+Actuals!Z65</f>
        <v>0</v>
      </c>
      <c r="AD49" s="129">
        <f>+Actuals!AA65</f>
        <v>0</v>
      </c>
      <c r="AE49" s="130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-59521</v>
      </c>
      <c r="E51" s="38">
        <f>SUM(G51,I51,K51,M51,O51,Q51,S51,U51,W51,Y51,AA51,AC51,AE51)</f>
        <v>-136926.63999999998</v>
      </c>
      <c r="F51" s="58">
        <f>'TIE-OUT'!J51+RECLASS!J51</f>
        <v>0</v>
      </c>
      <c r="G51" s="15">
        <f>'TIE-OUT'!K51+RECLASS!K51</f>
        <v>0</v>
      </c>
      <c r="H51" s="129">
        <f>+Actuals!E66</f>
        <v>0</v>
      </c>
      <c r="I51" s="130">
        <f>+Actuals!F66</f>
        <v>0</v>
      </c>
      <c r="J51" s="129">
        <f>+Actuals!G66-9076</f>
        <v>-59421</v>
      </c>
      <c r="K51" s="149">
        <f>+Actuals!H66-20756</f>
        <v>-135891.49</v>
      </c>
      <c r="L51" s="129">
        <f>+Actuals!I66</f>
        <v>0</v>
      </c>
      <c r="M51" s="130">
        <f>+Actuals!J66</f>
        <v>0</v>
      </c>
      <c r="N51" s="129">
        <f>+Actuals!K66</f>
        <v>0</v>
      </c>
      <c r="O51" s="130">
        <f>+Actuals!L66</f>
        <v>0</v>
      </c>
      <c r="P51" s="129">
        <f>+Actuals!M66</f>
        <v>0</v>
      </c>
      <c r="Q51" s="130">
        <f>+Actuals!N66-349</f>
        <v>-803.15</v>
      </c>
      <c r="R51" s="129">
        <f>+Actuals!O66</f>
        <v>0</v>
      </c>
      <c r="S51" s="130">
        <f>+Actuals!P66</f>
        <v>0</v>
      </c>
      <c r="T51" s="129">
        <f>+Actuals!Q66-100</f>
        <v>-100</v>
      </c>
      <c r="U51" s="130">
        <f>+Actuals!R66-232</f>
        <v>-232</v>
      </c>
      <c r="V51" s="129">
        <f>+Actuals!S66</f>
        <v>0</v>
      </c>
      <c r="W51" s="130">
        <f>+Actuals!T66</f>
        <v>0</v>
      </c>
      <c r="X51" s="129">
        <f>+Actuals!U66</f>
        <v>0</v>
      </c>
      <c r="Y51" s="130">
        <f>+Actuals!V66</f>
        <v>0</v>
      </c>
      <c r="Z51" s="129">
        <f>+Actuals!W66</f>
        <v>0</v>
      </c>
      <c r="AA51" s="130">
        <f>+Actuals!X66</f>
        <v>0</v>
      </c>
      <c r="AB51" s="129">
        <f>+Actuals!Y66</f>
        <v>0</v>
      </c>
      <c r="AC51" s="130">
        <f>+Actuals!Z66</f>
        <v>0</v>
      </c>
      <c r="AD51" s="129">
        <f>+Actuals!AA66</f>
        <v>0</v>
      </c>
      <c r="AE51" s="130">
        <f>+Actuals!AB66</f>
        <v>0</v>
      </c>
    </row>
    <row r="52" spans="1:31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58"/>
      <c r="G53" s="15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-95813</v>
      </c>
      <c r="E54" s="38">
        <f>SUM(G54,I54,K54,M54,O54,Q54,S54,U54,W54,Y54,AA54,AC54,AE54)</f>
        <v>17227.760000000002</v>
      </c>
      <c r="F54" s="84">
        <f>'TIE-OUT'!J54+RECLASS!J54</f>
        <v>0</v>
      </c>
      <c r="G54" s="85">
        <f>'TIE-OUT'!K54+RECLASS!K54</f>
        <v>0</v>
      </c>
      <c r="H54" s="129">
        <f>+Actuals!E67</f>
        <v>0</v>
      </c>
      <c r="I54" s="130">
        <f>+Actuals!F67</f>
        <v>20105.2</v>
      </c>
      <c r="J54" s="129">
        <f>+Actuals!G67</f>
        <v>0</v>
      </c>
      <c r="K54" s="149">
        <f>+Actuals!H67</f>
        <v>-3.05</v>
      </c>
      <c r="L54" s="129">
        <f>+Actuals!I67</f>
        <v>0</v>
      </c>
      <c r="M54" s="130">
        <f>+Actuals!J67</f>
        <v>0</v>
      </c>
      <c r="N54" s="129">
        <f>+Actuals!K67</f>
        <v>0</v>
      </c>
      <c r="O54" s="130">
        <f>+Actuals!L67</f>
        <v>0</v>
      </c>
      <c r="P54" s="129">
        <f>+Actuals!M67</f>
        <v>0</v>
      </c>
      <c r="Q54" s="130">
        <f>+Actuals!N67</f>
        <v>0</v>
      </c>
      <c r="R54" s="129">
        <f>+Actuals!O67</f>
        <v>0</v>
      </c>
      <c r="S54" s="130">
        <f>+Actuals!P67</f>
        <v>0</v>
      </c>
      <c r="T54" s="129">
        <f>+Actuals!Q67</f>
        <v>0</v>
      </c>
      <c r="U54" s="130">
        <f>+Actuals!R67</f>
        <v>0</v>
      </c>
      <c r="V54" s="129">
        <f>+Actuals!S67</f>
        <v>0</v>
      </c>
      <c r="W54" s="130">
        <f>+Actuals!T67</f>
        <v>0</v>
      </c>
      <c r="X54" s="129">
        <f>+Actuals!U67</f>
        <v>0</v>
      </c>
      <c r="Y54" s="130">
        <f>+Actuals!V67</f>
        <v>0</v>
      </c>
      <c r="Z54" s="129">
        <f>+Actuals!W67</f>
        <v>0</v>
      </c>
      <c r="AA54" s="130">
        <f>+Actuals!X67</f>
        <v>0</v>
      </c>
      <c r="AB54" s="129">
        <f>+Actuals!Y67</f>
        <v>-95813</v>
      </c>
      <c r="AC54" s="130">
        <f>+Actuals!Z67</f>
        <v>-2874.39</v>
      </c>
      <c r="AD54" s="129">
        <f>+Actuals!AA67</f>
        <v>0</v>
      </c>
      <c r="AE54" s="130">
        <f>+Actuals!AB67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8">
        <f>'TIE-OUT'!J55+RECLASS!J55</f>
        <v>0</v>
      </c>
      <c r="G55" s="99">
        <f>'TIE-OUT'!K55+RECLASS!K55</f>
        <v>0</v>
      </c>
      <c r="H55" s="129">
        <f>+Actuals!E68</f>
        <v>0</v>
      </c>
      <c r="I55" s="130">
        <f>+Actuals!F68</f>
        <v>0</v>
      </c>
      <c r="J55" s="129">
        <f>+Actuals!G68</f>
        <v>0</v>
      </c>
      <c r="K55" s="149">
        <f>+Actuals!H68</f>
        <v>0</v>
      </c>
      <c r="L55" s="129">
        <f>+Actuals!I68</f>
        <v>0</v>
      </c>
      <c r="M55" s="130">
        <f>+Actuals!J68</f>
        <v>0</v>
      </c>
      <c r="N55" s="129">
        <f>+Actuals!K68</f>
        <v>0</v>
      </c>
      <c r="O55" s="130">
        <f>+Actuals!L68</f>
        <v>0</v>
      </c>
      <c r="P55" s="129">
        <f>+Actuals!M68</f>
        <v>0</v>
      </c>
      <c r="Q55" s="130">
        <f>+Actuals!N68</f>
        <v>0</v>
      </c>
      <c r="R55" s="129">
        <f>+Actuals!O68</f>
        <v>0</v>
      </c>
      <c r="S55" s="130">
        <f>+Actuals!P68</f>
        <v>0</v>
      </c>
      <c r="T55" s="129">
        <f>+Actuals!Q68</f>
        <v>0</v>
      </c>
      <c r="U55" s="130">
        <f>+Actuals!R68</f>
        <v>0</v>
      </c>
      <c r="V55" s="129">
        <f>+Actuals!S68</f>
        <v>0</v>
      </c>
      <c r="W55" s="130">
        <f>+Actuals!T68</f>
        <v>0</v>
      </c>
      <c r="X55" s="129">
        <f>+Actuals!U68</f>
        <v>0</v>
      </c>
      <c r="Y55" s="130">
        <f>+Actuals!V68</f>
        <v>0</v>
      </c>
      <c r="Z55" s="129">
        <f>+Actuals!W68</f>
        <v>0</v>
      </c>
      <c r="AA55" s="130">
        <f>+Actuals!X68</f>
        <v>0</v>
      </c>
      <c r="AB55" s="129">
        <f>+Actuals!Y68</f>
        <v>0</v>
      </c>
      <c r="AC55" s="130">
        <f>+Actuals!Z68</f>
        <v>0</v>
      </c>
      <c r="AD55" s="129">
        <f>+Actuals!AA68</f>
        <v>0</v>
      </c>
      <c r="AE55" s="130">
        <f>+Actuals!AB68</f>
        <v>0</v>
      </c>
    </row>
    <row r="56" spans="1:31" x14ac:dyDescent="0.2">
      <c r="A56" s="9"/>
      <c r="B56" s="7" t="s">
        <v>60</v>
      </c>
      <c r="C56" s="6"/>
      <c r="D56" s="61">
        <f>SUM(D54:D55)</f>
        <v>-95813</v>
      </c>
      <c r="E56" s="39">
        <f>SUM(E54:E55)</f>
        <v>17227.760000000002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20105.2</v>
      </c>
      <c r="J56" s="61">
        <f t="shared" si="16"/>
        <v>0</v>
      </c>
      <c r="K56" s="150">
        <f t="shared" si="16"/>
        <v>-3.05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ref="X56:AC56" si="17">SUM(X54:X55)</f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-95813</v>
      </c>
      <c r="AC56" s="39">
        <f t="shared" si="17"/>
        <v>-2874.39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58"/>
      <c r="G58" s="15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3132845</v>
      </c>
      <c r="E59" s="38">
        <f>SUM(G59,I59,K59,M59,O59,Q59,S59,U59,W59,Y59,AA59,AC59,AE59)</f>
        <v>55985.979999999996</v>
      </c>
      <c r="F59" s="84">
        <f>'TIE-OUT'!J59+RECLASS!J59</f>
        <v>0</v>
      </c>
      <c r="G59" s="85">
        <f>'TIE-OUT'!K59+RECLASS!K59</f>
        <v>0</v>
      </c>
      <c r="H59" s="129">
        <f>+Actuals!E69</f>
        <v>2992830</v>
      </c>
      <c r="I59" s="130">
        <f>+Actuals!F69</f>
        <v>46484.87</v>
      </c>
      <c r="J59" s="129">
        <f>+Actuals!G69</f>
        <v>133968</v>
      </c>
      <c r="K59" s="149">
        <f>+Actuals!H69</f>
        <v>9520.52</v>
      </c>
      <c r="L59" s="129">
        <f>+Actuals!I69</f>
        <v>5932</v>
      </c>
      <c r="M59" s="130">
        <f>+Actuals!J69</f>
        <v>0</v>
      </c>
      <c r="N59" s="129">
        <f>+Actuals!K69</f>
        <v>0</v>
      </c>
      <c r="O59" s="130">
        <f>+Actuals!L69</f>
        <v>0</v>
      </c>
      <c r="P59" s="129">
        <f>+Actuals!M69</f>
        <v>0</v>
      </c>
      <c r="Q59" s="130">
        <f>+Actuals!N69</f>
        <v>-97.16</v>
      </c>
      <c r="R59" s="129">
        <f>+Actuals!O69</f>
        <v>0</v>
      </c>
      <c r="S59" s="130">
        <f>+Actuals!P69</f>
        <v>77.75</v>
      </c>
      <c r="T59" s="129">
        <f>+Actuals!Q69</f>
        <v>115</v>
      </c>
      <c r="U59" s="130">
        <f>+Actuals!R69</f>
        <v>0</v>
      </c>
      <c r="V59" s="129">
        <f>+Actuals!S69</f>
        <v>0</v>
      </c>
      <c r="W59" s="130">
        <f>+Actuals!T69</f>
        <v>0</v>
      </c>
      <c r="X59" s="129">
        <f>+Actuals!U69</f>
        <v>0</v>
      </c>
      <c r="Y59" s="130">
        <f>+Actuals!V69</f>
        <v>0</v>
      </c>
      <c r="Z59" s="129">
        <f>+Actuals!W69</f>
        <v>0</v>
      </c>
      <c r="AA59" s="130">
        <f>+Actuals!X69</f>
        <v>0</v>
      </c>
      <c r="AB59" s="129">
        <f>+Actuals!Y69</f>
        <v>0</v>
      </c>
      <c r="AC59" s="130">
        <f>+Actuals!Z69</f>
        <v>0</v>
      </c>
      <c r="AD59" s="129">
        <f>+Actuals!AA69</f>
        <v>0</v>
      </c>
      <c r="AE59" s="130">
        <f>+Actuals!AB69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8">
        <f>'TIE-OUT'!J60+RECLASS!J60</f>
        <v>0</v>
      </c>
      <c r="G60" s="99">
        <f>'TIE-OUT'!K60+RECLASS!K60</f>
        <v>0</v>
      </c>
      <c r="H60" s="129">
        <f>+Actuals!E70</f>
        <v>0</v>
      </c>
      <c r="I60" s="130">
        <f>+Actuals!F70</f>
        <v>0</v>
      </c>
      <c r="J60" s="129">
        <f>+Actuals!G70</f>
        <v>0</v>
      </c>
      <c r="K60" s="149">
        <f>+Actuals!H70</f>
        <v>0</v>
      </c>
      <c r="L60" s="129">
        <f>+Actuals!I70</f>
        <v>0</v>
      </c>
      <c r="M60" s="130">
        <f>+Actuals!J70</f>
        <v>0</v>
      </c>
      <c r="N60" s="129">
        <f>+Actuals!K70</f>
        <v>0</v>
      </c>
      <c r="O60" s="130">
        <f>+Actuals!L70</f>
        <v>0</v>
      </c>
      <c r="P60" s="129">
        <f>+Actuals!M70</f>
        <v>0</v>
      </c>
      <c r="Q60" s="130">
        <f>+Actuals!N70</f>
        <v>0</v>
      </c>
      <c r="R60" s="129">
        <f>+Actuals!O70</f>
        <v>0</v>
      </c>
      <c r="S60" s="130">
        <f>+Actuals!P70</f>
        <v>0</v>
      </c>
      <c r="T60" s="129">
        <f>+Actuals!Q70</f>
        <v>0</v>
      </c>
      <c r="U60" s="130">
        <f>+Actuals!R70</f>
        <v>0</v>
      </c>
      <c r="V60" s="129">
        <f>+Actuals!S70</f>
        <v>0</v>
      </c>
      <c r="W60" s="130">
        <f>+Actuals!T70</f>
        <v>0</v>
      </c>
      <c r="X60" s="129">
        <f>+Actuals!U70</f>
        <v>0</v>
      </c>
      <c r="Y60" s="130">
        <f>+Actuals!V70</f>
        <v>0</v>
      </c>
      <c r="Z60" s="129">
        <f>+Actuals!W70</f>
        <v>0</v>
      </c>
      <c r="AA60" s="130">
        <f>+Actuals!X70</f>
        <v>0</v>
      </c>
      <c r="AB60" s="129">
        <f>+Actuals!Y70</f>
        <v>0</v>
      </c>
      <c r="AC60" s="130">
        <f>+Actuals!Z70</f>
        <v>0</v>
      </c>
      <c r="AD60" s="129">
        <f>+Actuals!AA70</f>
        <v>0</v>
      </c>
      <c r="AE60" s="130">
        <f>+Actuals!AB70</f>
        <v>0</v>
      </c>
    </row>
    <row r="61" spans="1:31" x14ac:dyDescent="0.2">
      <c r="A61" s="9"/>
      <c r="B61" s="62" t="s">
        <v>64</v>
      </c>
      <c r="C61" s="6"/>
      <c r="D61" s="61">
        <f>SUM(D59:D60)</f>
        <v>3132845</v>
      </c>
      <c r="E61" s="39">
        <f>SUM(E59:E60)</f>
        <v>55985.979999999996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2992830</v>
      </c>
      <c r="I61" s="39">
        <f t="shared" si="18"/>
        <v>46484.87</v>
      </c>
      <c r="J61" s="61">
        <f t="shared" si="18"/>
        <v>133968</v>
      </c>
      <c r="K61" s="150">
        <f t="shared" si="18"/>
        <v>9520.52</v>
      </c>
      <c r="L61" s="61">
        <f t="shared" si="18"/>
        <v>5932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-97.16</v>
      </c>
      <c r="R61" s="61">
        <f t="shared" si="18"/>
        <v>0</v>
      </c>
      <c r="S61" s="39">
        <f t="shared" si="18"/>
        <v>77.75</v>
      </c>
      <c r="T61" s="61">
        <f t="shared" si="18"/>
        <v>115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58"/>
      <c r="G63" s="15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-19886382</v>
      </c>
      <c r="E64" s="38">
        <f>SUM(G64,I64,K64,M64,O64,Q64,S64,U64,W64,Y64,AA64,AC64,AE64)</f>
        <v>-1955974.55</v>
      </c>
      <c r="F64" s="84">
        <f>'TIE-OUT'!J64+RECLASS!J64</f>
        <v>0</v>
      </c>
      <c r="G64" s="85">
        <f>'TIE-OUT'!K64+RECLASS!K64</f>
        <v>0</v>
      </c>
      <c r="H64" s="129">
        <f>+Actuals!E71</f>
        <v>-12224792</v>
      </c>
      <c r="I64" s="130">
        <f>+Actuals!F71</f>
        <v>-1306444.3</v>
      </c>
      <c r="J64" s="129">
        <f>+Actuals!G71</f>
        <v>-7967199</v>
      </c>
      <c r="K64" s="149">
        <f>+Actuals!H71</f>
        <v>-674887.76</v>
      </c>
      <c r="L64" s="129">
        <f>+Actuals!I71</f>
        <v>31404</v>
      </c>
      <c r="M64" s="130">
        <f>+Actuals!J71</f>
        <v>0</v>
      </c>
      <c r="N64" s="129">
        <f>+Actuals!K71</f>
        <v>146314</v>
      </c>
      <c r="O64" s="130">
        <f>+Actuals!L71</f>
        <v>16866.04</v>
      </c>
      <c r="P64" s="129">
        <f>+Actuals!M71</f>
        <v>0</v>
      </c>
      <c r="Q64" s="130">
        <f>+Actuals!N71</f>
        <v>277625.75</v>
      </c>
      <c r="R64" s="129">
        <f>+Actuals!O71</f>
        <v>-24474</v>
      </c>
      <c r="S64" s="130">
        <f>+Actuals!P71</f>
        <v>-284370.77</v>
      </c>
      <c r="T64" s="129">
        <f>+Actuals!Q71</f>
        <v>152365</v>
      </c>
      <c r="U64" s="130">
        <f>+Actuals!R71</f>
        <v>15236.5</v>
      </c>
      <c r="V64" s="129">
        <f>+Actuals!S71</f>
        <v>0</v>
      </c>
      <c r="W64" s="130">
        <f>+Actuals!T71</f>
        <v>-0.01</v>
      </c>
      <c r="X64" s="129">
        <f>+Actuals!U71</f>
        <v>0</v>
      </c>
      <c r="Y64" s="130">
        <f>+Actuals!V71</f>
        <v>0.01</v>
      </c>
      <c r="Z64" s="129">
        <f>+Actuals!W71</f>
        <v>0</v>
      </c>
      <c r="AA64" s="130">
        <f>+Actuals!X71</f>
        <v>-0.01</v>
      </c>
      <c r="AB64" s="129">
        <f>+Actuals!Y71</f>
        <v>0</v>
      </c>
      <c r="AC64" s="130">
        <f>+Actuals!Z71</f>
        <v>0</v>
      </c>
      <c r="AD64" s="129">
        <f>+Actuals!AA71</f>
        <v>0</v>
      </c>
      <c r="AE64" s="130">
        <f>+Actuals!AB71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18905694</v>
      </c>
      <c r="E65" s="38">
        <f>SUM(G65,I65,K65,M65,O65,Q65,S65,U65,W65,Y65,AA65,AC65,AE65)</f>
        <v>1955974.54</v>
      </c>
      <c r="F65" s="98">
        <f>'TIE-OUT'!J65+RECLASS!J65</f>
        <v>0</v>
      </c>
      <c r="G65" s="99">
        <f>'TIE-OUT'!K65+RECLASS!K65</f>
        <v>0</v>
      </c>
      <c r="H65" s="129">
        <f>+Actuals!E72</f>
        <v>11108431</v>
      </c>
      <c r="I65" s="130">
        <f>+Actuals!F72</f>
        <v>1306444.29</v>
      </c>
      <c r="J65" s="129">
        <f>+Actuals!G72</f>
        <v>7998311</v>
      </c>
      <c r="K65" s="149">
        <f>+Actuals!H72+450000</f>
        <v>674887.78</v>
      </c>
      <c r="L65" s="129">
        <f>+Actuals!I72</f>
        <v>0</v>
      </c>
      <c r="M65" s="130">
        <f>+Actuals!J72</f>
        <v>0</v>
      </c>
      <c r="N65" s="129">
        <f>+Actuals!K72</f>
        <v>-73157</v>
      </c>
      <c r="O65" s="130">
        <f>+Actuals!L72</f>
        <v>-16866.060000000001</v>
      </c>
      <c r="P65" s="129">
        <f>+Actuals!M72</f>
        <v>0</v>
      </c>
      <c r="Q65" s="130">
        <f>+Actuals!N72</f>
        <v>-277625.74</v>
      </c>
      <c r="R65" s="129">
        <f>+Actuals!O72</f>
        <v>24474</v>
      </c>
      <c r="S65" s="130">
        <f>+Actuals!P72</f>
        <v>284370.77</v>
      </c>
      <c r="T65" s="129">
        <f>+Actuals!Q72</f>
        <v>-152365</v>
      </c>
      <c r="U65" s="130">
        <f>+Actuals!R72</f>
        <v>-15236.5</v>
      </c>
      <c r="V65" s="129">
        <f>+Actuals!S72</f>
        <v>0</v>
      </c>
      <c r="W65" s="130">
        <f>+Actuals!T72</f>
        <v>0</v>
      </c>
      <c r="X65" s="129">
        <f>+Actuals!U72</f>
        <v>0</v>
      </c>
      <c r="Y65" s="130">
        <f>+Actuals!V72</f>
        <v>0</v>
      </c>
      <c r="Z65" s="129">
        <f>+Actuals!W72</f>
        <v>0</v>
      </c>
      <c r="AA65" s="130">
        <f>+Actuals!X72</f>
        <v>0</v>
      </c>
      <c r="AB65" s="129">
        <f>+Actuals!Y72</f>
        <v>0</v>
      </c>
      <c r="AC65" s="130">
        <f>+Actuals!Z72</f>
        <v>0</v>
      </c>
      <c r="AD65" s="129">
        <f>+Actuals!AA72</f>
        <v>0</v>
      </c>
      <c r="AE65" s="130">
        <f>+Actuals!AB72</f>
        <v>0</v>
      </c>
    </row>
    <row r="66" spans="1:31" x14ac:dyDescent="0.2">
      <c r="A66" s="9"/>
      <c r="B66" s="7" t="s">
        <v>67</v>
      </c>
      <c r="C66" s="6"/>
      <c r="D66" s="61">
        <f>SUM(D64:D65)</f>
        <v>-980688</v>
      </c>
      <c r="E66" s="39">
        <f>SUM(E64:E65)</f>
        <v>-1.0000000009313226E-2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-1116361</v>
      </c>
      <c r="I66" s="39">
        <f t="shared" si="20"/>
        <v>-1.0000000009313226E-2</v>
      </c>
      <c r="J66" s="61">
        <f t="shared" si="20"/>
        <v>31112</v>
      </c>
      <c r="K66" s="150">
        <f t="shared" si="20"/>
        <v>2.0000000018626451E-2</v>
      </c>
      <c r="L66" s="61">
        <f t="shared" si="20"/>
        <v>31404</v>
      </c>
      <c r="M66" s="39">
        <f t="shared" si="20"/>
        <v>0</v>
      </c>
      <c r="N66" s="61">
        <f t="shared" si="20"/>
        <v>73157</v>
      </c>
      <c r="O66" s="39">
        <f t="shared" si="20"/>
        <v>-2.0000000000436557E-2</v>
      </c>
      <c r="P66" s="61">
        <f t="shared" si="20"/>
        <v>0</v>
      </c>
      <c r="Q66" s="39">
        <f t="shared" si="20"/>
        <v>1.0000000009313226E-2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-0.01</v>
      </c>
      <c r="X66" s="61">
        <f t="shared" ref="X66:AC66" si="21">SUM(X64:X65)</f>
        <v>0</v>
      </c>
      <c r="Y66" s="39">
        <f t="shared" si="21"/>
        <v>0.01</v>
      </c>
      <c r="Z66" s="61">
        <f t="shared" si="21"/>
        <v>0</v>
      </c>
      <c r="AA66" s="39">
        <f t="shared" si="21"/>
        <v>-0.01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58"/>
      <c r="G68" s="15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58"/>
      <c r="G69" s="15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9">
        <f>+Actuals!E73</f>
        <v>0</v>
      </c>
      <c r="I70" s="130">
        <f>+Actuals!F73</f>
        <v>0</v>
      </c>
      <c r="J70" s="129">
        <f>+Actuals!G73</f>
        <v>0</v>
      </c>
      <c r="K70" s="149">
        <f>+Actuals!H73</f>
        <v>0</v>
      </c>
      <c r="L70" s="129">
        <f>+Actuals!I73</f>
        <v>0</v>
      </c>
      <c r="M70" s="130">
        <f>+Actuals!J73</f>
        <v>0</v>
      </c>
      <c r="N70" s="129">
        <f>+Actuals!K73</f>
        <v>0</v>
      </c>
      <c r="O70" s="130">
        <f>+Actuals!L73</f>
        <v>0</v>
      </c>
      <c r="P70" s="129">
        <f>+Actuals!M73</f>
        <v>0</v>
      </c>
      <c r="Q70" s="130">
        <f>+Actuals!N73</f>
        <v>0</v>
      </c>
      <c r="R70" s="129">
        <f>+Actuals!O73</f>
        <v>0</v>
      </c>
      <c r="S70" s="130">
        <f>+Actuals!P73</f>
        <v>0</v>
      </c>
      <c r="T70" s="129">
        <f>+Actuals!Q73</f>
        <v>0</v>
      </c>
      <c r="U70" s="130">
        <f>+Actuals!R73</f>
        <v>0</v>
      </c>
      <c r="V70" s="129">
        <f>+Actuals!S73</f>
        <v>0</v>
      </c>
      <c r="W70" s="130">
        <f>+Actuals!T73</f>
        <v>0</v>
      </c>
      <c r="X70" s="129">
        <f>+Actuals!U73</f>
        <v>0</v>
      </c>
      <c r="Y70" s="130">
        <f>+Actuals!V73</f>
        <v>0</v>
      </c>
      <c r="Z70" s="129">
        <f>+Actuals!W73</f>
        <v>0</v>
      </c>
      <c r="AA70" s="130">
        <f>+Actuals!X73</f>
        <v>0</v>
      </c>
      <c r="AB70" s="129">
        <f>+Actuals!Y73</f>
        <v>0</v>
      </c>
      <c r="AC70" s="130">
        <f>+Actuals!Z73</f>
        <v>0</v>
      </c>
      <c r="AD70" s="129">
        <f>+Actuals!AA73</f>
        <v>0</v>
      </c>
      <c r="AE70" s="130">
        <f>+Actuals!AB73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8">
        <f>'TIE-OUT'!J71+RECLASS!J71</f>
        <v>0</v>
      </c>
      <c r="G71" s="99">
        <f>'TIE-OUT'!K71+RECLASS!K71</f>
        <v>0</v>
      </c>
      <c r="H71" s="129">
        <f>+Actuals!E74</f>
        <v>0</v>
      </c>
      <c r="I71" s="130">
        <f>+Actuals!F74</f>
        <v>0</v>
      </c>
      <c r="J71" s="129">
        <f>+Actuals!G74</f>
        <v>0</v>
      </c>
      <c r="K71" s="149">
        <f>+Actuals!H74</f>
        <v>0</v>
      </c>
      <c r="L71" s="129">
        <f>+Actuals!I74</f>
        <v>0</v>
      </c>
      <c r="M71" s="130">
        <f>+Actuals!J74</f>
        <v>0</v>
      </c>
      <c r="N71" s="129">
        <f>+Actuals!K74</f>
        <v>0</v>
      </c>
      <c r="O71" s="130">
        <f>+Actuals!L74</f>
        <v>0</v>
      </c>
      <c r="P71" s="129">
        <f>+Actuals!M74</f>
        <v>0</v>
      </c>
      <c r="Q71" s="130">
        <f>+Actuals!N74</f>
        <v>0</v>
      </c>
      <c r="R71" s="129">
        <f>+Actuals!O74</f>
        <v>0</v>
      </c>
      <c r="S71" s="130">
        <f>+Actuals!P74</f>
        <v>0</v>
      </c>
      <c r="T71" s="129">
        <f>+Actuals!Q74</f>
        <v>0</v>
      </c>
      <c r="U71" s="130">
        <f>+Actuals!R74</f>
        <v>0</v>
      </c>
      <c r="V71" s="129">
        <f>+Actuals!S74</f>
        <v>0</v>
      </c>
      <c r="W71" s="130">
        <f>+Actuals!T74</f>
        <v>0</v>
      </c>
      <c r="X71" s="129">
        <f>+Actuals!U74</f>
        <v>0</v>
      </c>
      <c r="Y71" s="130">
        <f>+Actuals!V74</f>
        <v>0</v>
      </c>
      <c r="Z71" s="129">
        <f>+Actuals!W74</f>
        <v>0</v>
      </c>
      <c r="AA71" s="130">
        <f>+Actuals!X74</f>
        <v>0</v>
      </c>
      <c r="AB71" s="129">
        <f>+Actuals!Y74</f>
        <v>0</v>
      </c>
      <c r="AC71" s="130">
        <f>+Actuals!Z74</f>
        <v>0</v>
      </c>
      <c r="AD71" s="129">
        <f>+Actuals!AA74</f>
        <v>0</v>
      </c>
      <c r="AE71" s="130">
        <f>+Actuals!AB74</f>
        <v>0</v>
      </c>
    </row>
    <row r="72" spans="1:31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9">
        <f>+Actuals!E75</f>
        <v>0</v>
      </c>
      <c r="I73" s="130">
        <f>+Actuals!F75</f>
        <v>0</v>
      </c>
      <c r="J73" s="129">
        <f>+Actuals!G75</f>
        <v>0</v>
      </c>
      <c r="K73" s="149">
        <f>+Actuals!H75</f>
        <v>0</v>
      </c>
      <c r="L73" s="129">
        <f>+Actuals!I75</f>
        <v>0</v>
      </c>
      <c r="M73" s="130">
        <f>+Actuals!J75</f>
        <v>0</v>
      </c>
      <c r="N73" s="129">
        <f>+Actuals!K75</f>
        <v>0</v>
      </c>
      <c r="O73" s="130">
        <f>+Actuals!L75</f>
        <v>0</v>
      </c>
      <c r="P73" s="129">
        <f>+Actuals!M75</f>
        <v>0</v>
      </c>
      <c r="Q73" s="130">
        <f>+Actuals!N75</f>
        <v>0</v>
      </c>
      <c r="R73" s="129">
        <f>+Actuals!O75</f>
        <v>0</v>
      </c>
      <c r="S73" s="130">
        <f>+Actuals!P75</f>
        <v>0</v>
      </c>
      <c r="T73" s="129">
        <f>+Actuals!Q75</f>
        <v>0</v>
      </c>
      <c r="U73" s="130">
        <f>+Actuals!R75</f>
        <v>0</v>
      </c>
      <c r="V73" s="129">
        <f>+Actuals!S75</f>
        <v>0</v>
      </c>
      <c r="W73" s="130">
        <f>+Actuals!T75</f>
        <v>0</v>
      </c>
      <c r="X73" s="129">
        <f>+Actuals!U75</f>
        <v>0</v>
      </c>
      <c r="Y73" s="130">
        <f>+Actuals!V75</f>
        <v>0</v>
      </c>
      <c r="Z73" s="129">
        <f>+Actuals!W75</f>
        <v>0</v>
      </c>
      <c r="AA73" s="130">
        <f>+Actuals!X75</f>
        <v>0</v>
      </c>
      <c r="AB73" s="129">
        <f>+Actuals!Y75</f>
        <v>0</v>
      </c>
      <c r="AC73" s="130">
        <f>+Actuals!Z75</f>
        <v>0</v>
      </c>
      <c r="AD73" s="129">
        <f>+Actuals!AA75</f>
        <v>0</v>
      </c>
      <c r="AE73" s="130">
        <f>+Actuals!AB75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9">
        <f>+Actuals!E76</f>
        <v>0</v>
      </c>
      <c r="I74" s="130">
        <f>+Actuals!F76</f>
        <v>0</v>
      </c>
      <c r="J74" s="129">
        <f>+Actuals!G76</f>
        <v>0</v>
      </c>
      <c r="K74" s="149">
        <f>+Actuals!H76</f>
        <v>0</v>
      </c>
      <c r="L74" s="129">
        <f>+Actuals!I76</f>
        <v>0</v>
      </c>
      <c r="M74" s="130">
        <f>+Actuals!J76</f>
        <v>0</v>
      </c>
      <c r="N74" s="129">
        <f>+Actuals!K76</f>
        <v>0</v>
      </c>
      <c r="O74" s="130">
        <f>+Actuals!L76</f>
        <v>0</v>
      </c>
      <c r="P74" s="129">
        <f>+Actuals!M76</f>
        <v>0</v>
      </c>
      <c r="Q74" s="130">
        <f>+Actuals!N76</f>
        <v>0</v>
      </c>
      <c r="R74" s="129">
        <f>+Actuals!O76</f>
        <v>0</v>
      </c>
      <c r="S74" s="130">
        <f>+Actuals!P76</f>
        <v>0</v>
      </c>
      <c r="T74" s="129">
        <f>+Actuals!Q76</f>
        <v>0</v>
      </c>
      <c r="U74" s="130">
        <f>+Actuals!R76</f>
        <v>0</v>
      </c>
      <c r="V74" s="129">
        <f>+Actuals!S76</f>
        <v>0</v>
      </c>
      <c r="W74" s="130">
        <f>+Actuals!T76</f>
        <v>0</v>
      </c>
      <c r="X74" s="129">
        <f>+Actuals!U76</f>
        <v>0</v>
      </c>
      <c r="Y74" s="130">
        <f>+Actuals!V76</f>
        <v>0</v>
      </c>
      <c r="Z74" s="129">
        <f>+Actuals!W76</f>
        <v>0</v>
      </c>
      <c r="AA74" s="130">
        <f>+Actuals!X76</f>
        <v>0</v>
      </c>
      <c r="AB74" s="129">
        <f>+Actuals!Y76</f>
        <v>0</v>
      </c>
      <c r="AC74" s="130">
        <f>+Actuals!Z76</f>
        <v>0</v>
      </c>
      <c r="AD74" s="129">
        <f>+Actuals!AA76</f>
        <v>0</v>
      </c>
      <c r="AE74" s="130">
        <f>+Actuals!AB76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9">
        <f>+Actuals!E77</f>
        <v>0</v>
      </c>
      <c r="I75" s="130">
        <f>+Actuals!F77</f>
        <v>0</v>
      </c>
      <c r="J75" s="129">
        <f>+Actuals!G77</f>
        <v>0</v>
      </c>
      <c r="K75" s="149">
        <f>+Actuals!H77</f>
        <v>0</v>
      </c>
      <c r="L75" s="129">
        <f>+Actuals!I77</f>
        <v>0</v>
      </c>
      <c r="M75" s="130">
        <f>+Actuals!J77</f>
        <v>0</v>
      </c>
      <c r="N75" s="129">
        <f>+Actuals!K77</f>
        <v>0</v>
      </c>
      <c r="O75" s="130">
        <f>+Actuals!L77</f>
        <v>0</v>
      </c>
      <c r="P75" s="129">
        <f>+Actuals!M77</f>
        <v>0</v>
      </c>
      <c r="Q75" s="130">
        <f>+Actuals!N77</f>
        <v>0</v>
      </c>
      <c r="R75" s="129">
        <f>+Actuals!O77</f>
        <v>0</v>
      </c>
      <c r="S75" s="130">
        <f>+Actuals!P77</f>
        <v>0</v>
      </c>
      <c r="T75" s="129">
        <f>+Actuals!Q77</f>
        <v>0</v>
      </c>
      <c r="U75" s="130">
        <f>+Actuals!R77</f>
        <v>0</v>
      </c>
      <c r="V75" s="129">
        <f>+Actuals!S77</f>
        <v>0</v>
      </c>
      <c r="W75" s="130">
        <f>+Actuals!T77</f>
        <v>0</v>
      </c>
      <c r="X75" s="129">
        <f>+Actuals!U77</f>
        <v>0</v>
      </c>
      <c r="Y75" s="130">
        <f>+Actuals!V77</f>
        <v>0</v>
      </c>
      <c r="Z75" s="129">
        <f>+Actuals!W77</f>
        <v>0</v>
      </c>
      <c r="AA75" s="130">
        <f>+Actuals!X77</f>
        <v>0</v>
      </c>
      <c r="AB75" s="129">
        <f>+Actuals!Y77</f>
        <v>0</v>
      </c>
      <c r="AC75" s="130">
        <f>+Actuals!Z77</f>
        <v>0</v>
      </c>
      <c r="AD75" s="129">
        <f>+Actuals!AA77</f>
        <v>0</v>
      </c>
      <c r="AE75" s="130">
        <f>+Actuals!AB77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9">
        <f>+Actuals!E78</f>
        <v>0</v>
      </c>
      <c r="I76" s="130">
        <f>+Actuals!F78</f>
        <v>0</v>
      </c>
      <c r="J76" s="129">
        <f>+Actuals!G78</f>
        <v>0</v>
      </c>
      <c r="K76" s="149">
        <f>+Actuals!H78</f>
        <v>0</v>
      </c>
      <c r="L76" s="129">
        <f>+Actuals!I78</f>
        <v>0</v>
      </c>
      <c r="M76" s="130">
        <f>+Actuals!J78</f>
        <v>0</v>
      </c>
      <c r="N76" s="129">
        <f>+Actuals!K78</f>
        <v>0</v>
      </c>
      <c r="O76" s="130">
        <f>+Actuals!L78</f>
        <v>0</v>
      </c>
      <c r="P76" s="129">
        <f>+Actuals!M78</f>
        <v>0</v>
      </c>
      <c r="Q76" s="130">
        <f>+Actuals!N78</f>
        <v>0</v>
      </c>
      <c r="R76" s="129">
        <f>+Actuals!O78</f>
        <v>0</v>
      </c>
      <c r="S76" s="130">
        <f>+Actuals!P78</f>
        <v>0</v>
      </c>
      <c r="T76" s="129">
        <f>+Actuals!Q78</f>
        <v>0</v>
      </c>
      <c r="U76" s="130">
        <f>+Actuals!R78</f>
        <v>0</v>
      </c>
      <c r="V76" s="129">
        <f>+Actuals!S78</f>
        <v>0</v>
      </c>
      <c r="W76" s="130">
        <f>+Actuals!T78</f>
        <v>0</v>
      </c>
      <c r="X76" s="129">
        <f>+Actuals!U78</f>
        <v>0</v>
      </c>
      <c r="Y76" s="130">
        <f>+Actuals!V78</f>
        <v>0</v>
      </c>
      <c r="Z76" s="129">
        <f>+Actuals!W78</f>
        <v>0</v>
      </c>
      <c r="AA76" s="130">
        <f>+Actuals!X78</f>
        <v>0</v>
      </c>
      <c r="AB76" s="129">
        <f>+Actuals!Y78</f>
        <v>0</v>
      </c>
      <c r="AC76" s="130">
        <f>+Actuals!Z78</f>
        <v>0</v>
      </c>
      <c r="AD76" s="129">
        <f>+Actuals!AA78</f>
        <v>0</v>
      </c>
      <c r="AE76" s="130">
        <f>+Actuals!AB78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9">
        <f>+Actuals!E79</f>
        <v>0</v>
      </c>
      <c r="I77" s="130">
        <f>+Actuals!F79</f>
        <v>0</v>
      </c>
      <c r="J77" s="129">
        <f>+Actuals!G79</f>
        <v>0</v>
      </c>
      <c r="K77" s="149">
        <f>+Actuals!H79</f>
        <v>0</v>
      </c>
      <c r="L77" s="129">
        <f>+Actuals!I79</f>
        <v>0</v>
      </c>
      <c r="M77" s="130">
        <f>+Actuals!J79</f>
        <v>0</v>
      </c>
      <c r="N77" s="129">
        <f>+Actuals!K79</f>
        <v>0</v>
      </c>
      <c r="O77" s="130">
        <f>+Actuals!L79</f>
        <v>0</v>
      </c>
      <c r="P77" s="129">
        <f>+Actuals!M79</f>
        <v>0</v>
      </c>
      <c r="Q77" s="130">
        <f>+Actuals!N79</f>
        <v>0</v>
      </c>
      <c r="R77" s="129">
        <f>+Actuals!O79</f>
        <v>0</v>
      </c>
      <c r="S77" s="130">
        <f>+Actuals!P79</f>
        <v>0</v>
      </c>
      <c r="T77" s="129">
        <f>+Actuals!Q79</f>
        <v>0</v>
      </c>
      <c r="U77" s="130">
        <f>+Actuals!R79</f>
        <v>0</v>
      </c>
      <c r="V77" s="129">
        <f>+Actuals!S79</f>
        <v>0</v>
      </c>
      <c r="W77" s="130">
        <f>+Actuals!T79</f>
        <v>0</v>
      </c>
      <c r="X77" s="129">
        <f>+Actuals!U79</f>
        <v>0</v>
      </c>
      <c r="Y77" s="130">
        <f>+Actuals!V79</f>
        <v>0</v>
      </c>
      <c r="Z77" s="129">
        <f>+Actuals!W79</f>
        <v>0</v>
      </c>
      <c r="AA77" s="130">
        <f>+Actuals!X79</f>
        <v>0</v>
      </c>
      <c r="AB77" s="129">
        <f>+Actuals!Y79</f>
        <v>0</v>
      </c>
      <c r="AC77" s="130">
        <f>+Actuals!Z79</f>
        <v>0</v>
      </c>
      <c r="AD77" s="129">
        <f>+Actuals!AA79</f>
        <v>0</v>
      </c>
      <c r="AE77" s="130">
        <f>+Actuals!AB79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9">
        <f>+Actuals!E80</f>
        <v>0</v>
      </c>
      <c r="I78" s="130">
        <f>+Actuals!F80</f>
        <v>0</v>
      </c>
      <c r="J78" s="129">
        <f>+Actuals!G80</f>
        <v>0</v>
      </c>
      <c r="K78" s="149">
        <f>+Actuals!H80</f>
        <v>0</v>
      </c>
      <c r="L78" s="129">
        <f>+Actuals!I80</f>
        <v>0</v>
      </c>
      <c r="M78" s="130">
        <f>+Actuals!J80</f>
        <v>0</v>
      </c>
      <c r="N78" s="129">
        <f>+Actuals!K80</f>
        <v>0</v>
      </c>
      <c r="O78" s="130">
        <f>+Actuals!L80</f>
        <v>0</v>
      </c>
      <c r="P78" s="129">
        <f>+Actuals!M80</f>
        <v>0</v>
      </c>
      <c r="Q78" s="130">
        <f>+Actuals!N80</f>
        <v>0</v>
      </c>
      <c r="R78" s="129">
        <f>+Actuals!O80</f>
        <v>0</v>
      </c>
      <c r="S78" s="130">
        <f>+Actuals!P80</f>
        <v>0</v>
      </c>
      <c r="T78" s="129">
        <f>+Actuals!Q80</f>
        <v>0</v>
      </c>
      <c r="U78" s="130">
        <f>+Actuals!R80</f>
        <v>0</v>
      </c>
      <c r="V78" s="129">
        <f>+Actuals!S80</f>
        <v>0</v>
      </c>
      <c r="W78" s="130">
        <f>+Actuals!T80</f>
        <v>0</v>
      </c>
      <c r="X78" s="129">
        <f>+Actuals!U80</f>
        <v>0</v>
      </c>
      <c r="Y78" s="130">
        <f>+Actuals!V80</f>
        <v>0</v>
      </c>
      <c r="Z78" s="129">
        <f>+Actuals!W80</f>
        <v>0</v>
      </c>
      <c r="AA78" s="130">
        <f>+Actuals!X80</f>
        <v>0</v>
      </c>
      <c r="AB78" s="129">
        <f>+Actuals!Y80</f>
        <v>0</v>
      </c>
      <c r="AC78" s="130">
        <f>+Actuals!Z80</f>
        <v>0</v>
      </c>
      <c r="AD78" s="129">
        <f>+Actuals!AA80</f>
        <v>0</v>
      </c>
      <c r="AE78" s="130">
        <f>+Actuals!AB80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9">
        <f>+Actuals!E81</f>
        <v>0</v>
      </c>
      <c r="I79" s="130">
        <f>+Actuals!F81</f>
        <v>0</v>
      </c>
      <c r="J79" s="129">
        <f>+Actuals!G81</f>
        <v>0</v>
      </c>
      <c r="K79" s="149">
        <f>+Actuals!H81</f>
        <v>0</v>
      </c>
      <c r="L79" s="129">
        <f>+Actuals!I81</f>
        <v>0</v>
      </c>
      <c r="M79" s="130">
        <f>+Actuals!J81</f>
        <v>0</v>
      </c>
      <c r="N79" s="129">
        <f>+Actuals!K81</f>
        <v>0</v>
      </c>
      <c r="O79" s="130">
        <f>+Actuals!L81</f>
        <v>0</v>
      </c>
      <c r="P79" s="129">
        <f>+Actuals!M81</f>
        <v>0</v>
      </c>
      <c r="Q79" s="130">
        <f>+Actuals!N81</f>
        <v>0</v>
      </c>
      <c r="R79" s="129">
        <f>+Actuals!O81</f>
        <v>0</v>
      </c>
      <c r="S79" s="130">
        <f>+Actuals!P81</f>
        <v>0</v>
      </c>
      <c r="T79" s="129">
        <f>+Actuals!Q81</f>
        <v>0</v>
      </c>
      <c r="U79" s="130">
        <f>+Actuals!R81</f>
        <v>0</v>
      </c>
      <c r="V79" s="129">
        <f>+Actuals!S81</f>
        <v>0</v>
      </c>
      <c r="W79" s="130">
        <f>+Actuals!T81</f>
        <v>0</v>
      </c>
      <c r="X79" s="129">
        <f>+Actuals!U81</f>
        <v>0</v>
      </c>
      <c r="Y79" s="130">
        <f>+Actuals!V81</f>
        <v>0</v>
      </c>
      <c r="Z79" s="129">
        <f>+Actuals!W81</f>
        <v>0</v>
      </c>
      <c r="AA79" s="130">
        <f>+Actuals!X81</f>
        <v>0</v>
      </c>
      <c r="AB79" s="129">
        <f>+Actuals!Y81</f>
        <v>0</v>
      </c>
      <c r="AC79" s="130">
        <f>+Actuals!Z81</f>
        <v>0</v>
      </c>
      <c r="AD79" s="129">
        <f>+Actuals!AA81</f>
        <v>0</v>
      </c>
      <c r="AE79" s="130">
        <f>+Actuals!AB81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9">
        <f>+Actuals!E82</f>
        <v>0</v>
      </c>
      <c r="I80" s="130">
        <f>+Actuals!F82</f>
        <v>0</v>
      </c>
      <c r="J80" s="129">
        <f>+Actuals!G82</f>
        <v>0</v>
      </c>
      <c r="K80" s="149">
        <f>+Actuals!H82</f>
        <v>0</v>
      </c>
      <c r="L80" s="129">
        <f>+Actuals!I82</f>
        <v>0</v>
      </c>
      <c r="M80" s="130">
        <f>+Actuals!J82</f>
        <v>0</v>
      </c>
      <c r="N80" s="129">
        <f>+Actuals!K82</f>
        <v>0</v>
      </c>
      <c r="O80" s="130">
        <f>+Actuals!L82</f>
        <v>0</v>
      </c>
      <c r="P80" s="129">
        <f>+Actuals!M82</f>
        <v>0</v>
      </c>
      <c r="Q80" s="130">
        <f>+Actuals!N82</f>
        <v>0</v>
      </c>
      <c r="R80" s="129">
        <f>+Actuals!O82</f>
        <v>0</v>
      </c>
      <c r="S80" s="130">
        <f>+Actuals!P82</f>
        <v>0</v>
      </c>
      <c r="T80" s="129">
        <f>+Actuals!Q82</f>
        <v>0</v>
      </c>
      <c r="U80" s="130">
        <f>+Actuals!R82</f>
        <v>0</v>
      </c>
      <c r="V80" s="129">
        <f>+Actuals!S82</f>
        <v>0</v>
      </c>
      <c r="W80" s="130">
        <f>+Actuals!T82</f>
        <v>0</v>
      </c>
      <c r="X80" s="129">
        <f>+Actuals!U82</f>
        <v>0</v>
      </c>
      <c r="Y80" s="130">
        <f>+Actuals!V82</f>
        <v>0</v>
      </c>
      <c r="Z80" s="129">
        <f>+Actuals!W82</f>
        <v>0</v>
      </c>
      <c r="AA80" s="130">
        <f>+Actuals!X82</f>
        <v>0</v>
      </c>
      <c r="AB80" s="129">
        <f>+Actuals!Y82</f>
        <v>0</v>
      </c>
      <c r="AC80" s="130">
        <f>+Actuals!Z82</f>
        <v>0</v>
      </c>
      <c r="AD80" s="129">
        <f>+Actuals!AA82</f>
        <v>0</v>
      </c>
      <c r="AE80" s="130">
        <f>+Actuals!AB82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24"/>
        <v>1116361</v>
      </c>
      <c r="E81" s="38">
        <f t="shared" si="24"/>
        <v>0</v>
      </c>
      <c r="F81" s="58">
        <f>'TIE-OUT'!J81+RECLASS!J81</f>
        <v>0</v>
      </c>
      <c r="G81" s="58">
        <f>'TIE-OUT'!K81+RECLASS!K81</f>
        <v>0</v>
      </c>
      <c r="H81" s="129">
        <f>+Actuals!E83+1116361</f>
        <v>1116361</v>
      </c>
      <c r="I81" s="130">
        <f>+Actuals!F83</f>
        <v>0</v>
      </c>
      <c r="J81" s="129">
        <f>+Actuals!G83</f>
        <v>0</v>
      </c>
      <c r="K81" s="149">
        <v>0</v>
      </c>
      <c r="L81" s="129">
        <f>+Actuals!I83</f>
        <v>0</v>
      </c>
      <c r="M81" s="130">
        <f>+Actuals!J83</f>
        <v>0</v>
      </c>
      <c r="N81" s="129">
        <f>+Actuals!K83</f>
        <v>0</v>
      </c>
      <c r="O81" s="130">
        <f>+Actuals!L83</f>
        <v>0</v>
      </c>
      <c r="P81" s="129">
        <f>+Actuals!M83</f>
        <v>0</v>
      </c>
      <c r="Q81" s="130">
        <f>+Actuals!N83</f>
        <v>0</v>
      </c>
      <c r="R81" s="129">
        <f>+Actuals!O83</f>
        <v>0</v>
      </c>
      <c r="S81" s="130">
        <f>+Actuals!P83</f>
        <v>0</v>
      </c>
      <c r="T81" s="129">
        <f>+Actuals!Q83</f>
        <v>0</v>
      </c>
      <c r="U81" s="130">
        <f>+Actuals!R83</f>
        <v>0</v>
      </c>
      <c r="V81" s="129">
        <f>+Actuals!S83</f>
        <v>0</v>
      </c>
      <c r="W81" s="130">
        <f>+Actuals!T83</f>
        <v>0</v>
      </c>
      <c r="X81" s="129">
        <f>+Actuals!U83</f>
        <v>0</v>
      </c>
      <c r="Y81" s="130">
        <f>+Actuals!V83</f>
        <v>0</v>
      </c>
      <c r="Z81" s="129">
        <f>+Actuals!W83</f>
        <v>0</v>
      </c>
      <c r="AA81" s="130">
        <f>+Actuals!X83</f>
        <v>0</v>
      </c>
      <c r="AB81" s="129">
        <f>+Actuals!Y83</f>
        <v>0</v>
      </c>
      <c r="AC81" s="130">
        <f>+Actuals!Z83</f>
        <v>0</v>
      </c>
      <c r="AD81" s="129">
        <f>+Actuals!AA83</f>
        <v>0</v>
      </c>
      <c r="AE81" s="130">
        <f>+Actuals!AB83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2250</v>
      </c>
      <c r="E82" s="93">
        <f>SUM(E72:E81)+E16+E24+E29+E36+E43+E45+E47+E49+E51+E56+E61+E66</f>
        <v>-208137.15100000397</v>
      </c>
      <c r="F82" s="92">
        <f>F16+F24+F29+F36+F43+F45+F47+F49</f>
        <v>0</v>
      </c>
      <c r="G82" s="93">
        <f>SUM(G72:G81)+G16+G24+G29+G36+G43+G45+G47+G49+G51+G56+G61+G66</f>
        <v>-44383.68</v>
      </c>
      <c r="H82" s="92">
        <f>H16+H24+H29+H36+H43+H45+H47+H49</f>
        <v>2250</v>
      </c>
      <c r="I82" s="93">
        <f>SUM(I72:I81)+I16+I24+I29+I36+I43+I45+I47+I49+I51+I56+I61+I66</f>
        <v>-13970.524000000303</v>
      </c>
      <c r="J82" s="92">
        <f>J16+J24+J29+J36+J43+J45+J47+J49</f>
        <v>0</v>
      </c>
      <c r="K82" s="112">
        <f>SUM(K72:K81)+K16+K24+K29+K36+K43+K45+K47+K49+K51+K56+K61+K66</f>
        <v>-83851.191999999777</v>
      </c>
      <c r="L82" s="92">
        <f>L16+L24+L29+L36+L43+L45+L47+L49</f>
        <v>0</v>
      </c>
      <c r="M82" s="93">
        <f>SUM(M72:M81)+M16+M24+M29+M36+M43+M45+M47+M49+M51+M56+M61+M66</f>
        <v>1498.6050000000105</v>
      </c>
      <c r="N82" s="92">
        <f>N16+N24+N29+N36+N43+N45+N47+N49</f>
        <v>0</v>
      </c>
      <c r="O82" s="93">
        <f>SUM(O72:O81)+O16+O24+O29+O36+O43+O45+O47+O49+O51+O56+O61+O66</f>
        <v>14960.578000000027</v>
      </c>
      <c r="P82" s="92">
        <f>P16+P24+P29+P36+P43+P45+P47+P49</f>
        <v>0</v>
      </c>
      <c r="Q82" s="93">
        <f>SUM(Q72:Q81)+Q16+Q24+Q29+Q36+Q43+Q45+Q47+Q49+Q51+Q56+Q61+Q66</f>
        <v>-40687.70700000006</v>
      </c>
      <c r="R82" s="92">
        <f>R16+R24+R29+R36+R43+R45+R47+R49</f>
        <v>0</v>
      </c>
      <c r="S82" s="93">
        <f>SUM(S72:S81)+S16+S24+S29+S36+S43+S45+S47+S49+S51+S56+S61+S66</f>
        <v>-30967.648000000001</v>
      </c>
      <c r="T82" s="92">
        <f>T16+T24+T29+T36+T43+T45+T47+T49</f>
        <v>0</v>
      </c>
      <c r="U82" s="93">
        <f>SUM(U72:U81)+U16+U24+U29+U36+U43+U45+U47+U49+U51+U56+U61+U66</f>
        <v>-6794.7710000000325</v>
      </c>
      <c r="V82" s="92">
        <f>V16+V24+V29+V36+V43+V45+V47+V49</f>
        <v>0</v>
      </c>
      <c r="W82" s="93">
        <f>SUM(W72:W81)+W16+W24+W29+W36+W43+W45+W47+W49+W51+W56+W61+W66</f>
        <v>-78.500000000000014</v>
      </c>
      <c r="X82" s="92">
        <f>X16+X24+X29+X36+X43+X45+X47+X49</f>
        <v>0</v>
      </c>
      <c r="Y82" s="93">
        <f>SUM(Y72:Y81)+Y16+Y24+Y29+Y36+Y43+Y45+Y47+Y49+Y51+Y56+Y61+Y66</f>
        <v>-0.80999999999970895</v>
      </c>
      <c r="Z82" s="92">
        <f>Z16+Z24+Z29+Z36+Z43+Z45+Z47+Z49</f>
        <v>0</v>
      </c>
      <c r="AA82" s="93">
        <f>SUM(AA72:AA81)+AA16+AA24+AA29+AA36+AA43+AA45+AA47+AA49+AA51+AA56+AA61+AA66</f>
        <v>-987.11199999999894</v>
      </c>
      <c r="AB82" s="92">
        <f>AB16+AB24+AB29+AB36+AB43+AB45+AB47+AB49</f>
        <v>0</v>
      </c>
      <c r="AC82" s="93">
        <f>SUM(AC72:AC81)+AC16+AC24+AC29+AC36+AC43+AC45+AC47+AC49+AC51+AC56+AC61+AC66</f>
        <v>-2874.39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51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M83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87205501</v>
      </c>
      <c r="E11" s="38">
        <f>SUM(G11,I11,K11,M11,O11,Q11,S11,U11,W11,Y11,AA11,AC11,AE11)</f>
        <v>201466538.63</v>
      </c>
      <c r="F11" s="60">
        <f>('TIE-OUT'!J11+'TIE-OUT'!H11)+(RECLASS!J11+RECLASS!H11)</f>
        <v>0</v>
      </c>
      <c r="G11" s="38">
        <f>('TIE-OUT'!K11+'TIE-OUT'!I11)+(RECLASS!K11+RECLASS!I11)</f>
        <v>-4328448</v>
      </c>
      <c r="H11" s="60">
        <f>'EAST-EGM-GL'!H11+'EAST-LRC-GL'!H11</f>
        <v>87069953</v>
      </c>
      <c r="I11" s="38">
        <f>'EAST-EGM-GL'!I11+'EAST-LRC-GL'!I11</f>
        <v>199667861.69999999</v>
      </c>
      <c r="J11" s="60">
        <f>'EAST-EGM-GL'!J11+'EAST-LRC-GL'!J11</f>
        <v>146337</v>
      </c>
      <c r="K11" s="38">
        <f>'EAST-EGM-GL'!K11+'EAST-LRC-GL'!K11</f>
        <v>20658628.110000003</v>
      </c>
      <c r="L11" s="60">
        <f>'EAST-EGM-GL'!L11+'EAST-LRC-GL'!L11</f>
        <v>-1172</v>
      </c>
      <c r="M11" s="38">
        <f>'EAST-EGM-GL'!M11+'EAST-LRC-GL'!M11</f>
        <v>125774.39999999999</v>
      </c>
      <c r="N11" s="60">
        <f>'EAST-EGM-GL'!N11+'EAST-LRC-GL'!N11</f>
        <v>0</v>
      </c>
      <c r="O11" s="38">
        <f>'EAST-EGM-GL'!O11+'EAST-LRC-GL'!O11</f>
        <v>0</v>
      </c>
      <c r="P11" s="60">
        <f>'EAST-EGM-GL'!P11+'EAST-LRC-GL'!P11</f>
        <v>-10674</v>
      </c>
      <c r="Q11" s="38">
        <f>'EAST-EGM-GL'!Q11+'EAST-LRC-GL'!Q11</f>
        <v>-14653013.850000001</v>
      </c>
      <c r="R11" s="60">
        <f>'EAST-EGM-GL'!R11+'EAST-LRC-GL'!R11</f>
        <v>958</v>
      </c>
      <c r="S11" s="38">
        <f>'EAST-EGM-GL'!S11+'EAST-LRC-GL'!S11</f>
        <v>2212.98</v>
      </c>
      <c r="T11" s="60">
        <f>'EAST-EGM-GL'!T11+'EAST-LRC-GL'!T11</f>
        <v>99</v>
      </c>
      <c r="U11" s="38">
        <f>'EAST-EGM-GL'!U11+'EAST-LRC-GL'!U11</f>
        <v>-6476.71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-1549770.6999999997</v>
      </c>
      <c r="F12" s="60">
        <f>('TIE-OUT'!J12+'TIE-OUT'!H12)+(RECLASS!J12+RECLASS!H12)</f>
        <v>0</v>
      </c>
      <c r="G12" s="38">
        <f>('TIE-OUT'!K12+'TIE-OUT'!I12)+(RECLASS!K12+RECLASS!I12)</f>
        <v>-1549770.6999999997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37219120</v>
      </c>
      <c r="E13" s="38">
        <f t="shared" si="0"/>
        <v>85375528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37219120</v>
      </c>
      <c r="I13" s="38">
        <f>'EAST-EGM-GL'!I13+'EAST-LRC-GL'!I13</f>
        <v>85375528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-146210</v>
      </c>
      <c r="M13" s="38">
        <f>'EAST-EGM-GL'!M13+'EAST-LRC-GL'!M13</f>
        <v>-326153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465278</v>
      </c>
      <c r="S13" s="38">
        <f>'EAST-EGM-GL'!S13+'EAST-LRC-GL'!S13</f>
        <v>1052380</v>
      </c>
      <c r="T13" s="60">
        <f>'EAST-EGM-GL'!T13+'EAST-LRC-GL'!T13</f>
        <v>-319068</v>
      </c>
      <c r="U13" s="38">
        <f>'EAST-EGM-GL'!U13+'EAST-LRC-GL'!U13</f>
        <v>-726227</v>
      </c>
      <c r="V13" s="60">
        <f>'EAST-EGM-GL'!V13+'EAST-LRC-GL'!V13</f>
        <v>319068</v>
      </c>
      <c r="W13" s="38">
        <f>'EAST-EGM-GL'!W13+'EAST-LRC-GL'!W13</f>
        <v>726227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-319068</v>
      </c>
      <c r="AA13" s="38">
        <f>'EAST-EGM-GL'!AA13+'EAST-LRC-GL'!AA13</f>
        <v>-726227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15000</v>
      </c>
      <c r="F15" s="81">
        <f>('TIE-OUT'!J15+'TIE-OUT'!H15)+(RECLASS!J15+RECLASS!H15)</f>
        <v>0</v>
      </c>
      <c r="G15" s="82">
        <f>('TIE-OUT'!K15+'TIE-OUT'!I15)+(RECLASS!K15+RECLASS!I15)</f>
        <v>15000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33</v>
      </c>
      <c r="C16" s="6"/>
      <c r="D16" s="61">
        <f>SUM(D11:D15)</f>
        <v>124424621</v>
      </c>
      <c r="E16" s="39">
        <f>SUM(E11:E15)</f>
        <v>285307295.93000001</v>
      </c>
      <c r="F16" s="61">
        <f t="shared" ref="F16:AD16" si="1">SUM(F11:F15)</f>
        <v>0</v>
      </c>
      <c r="G16" s="39">
        <f t="shared" si="1"/>
        <v>-5863218.6999999993</v>
      </c>
      <c r="H16" s="61">
        <f t="shared" si="1"/>
        <v>124289073</v>
      </c>
      <c r="I16" s="39">
        <f t="shared" si="1"/>
        <v>285043389.69999999</v>
      </c>
      <c r="J16" s="61">
        <f t="shared" si="1"/>
        <v>146337</v>
      </c>
      <c r="K16" s="39">
        <f t="shared" si="1"/>
        <v>20658628.110000003</v>
      </c>
      <c r="L16" s="61">
        <f t="shared" si="1"/>
        <v>-147382</v>
      </c>
      <c r="M16" s="39">
        <f t="shared" si="1"/>
        <v>-200378.6</v>
      </c>
      <c r="N16" s="61">
        <f t="shared" si="1"/>
        <v>0</v>
      </c>
      <c r="O16" s="39">
        <f t="shared" si="1"/>
        <v>0</v>
      </c>
      <c r="P16" s="61">
        <f t="shared" si="1"/>
        <v>-10674</v>
      </c>
      <c r="Q16" s="39">
        <f t="shared" si="1"/>
        <v>-14653013.850000001</v>
      </c>
      <c r="R16" s="61">
        <f t="shared" si="1"/>
        <v>466236</v>
      </c>
      <c r="S16" s="39">
        <f t="shared" si="1"/>
        <v>1054592.98</v>
      </c>
      <c r="T16" s="61">
        <f t="shared" si="1"/>
        <v>-318969</v>
      </c>
      <c r="U16" s="39">
        <f t="shared" si="1"/>
        <v>-732703.71</v>
      </c>
      <c r="V16" s="61">
        <f t="shared" si="1"/>
        <v>319068</v>
      </c>
      <c r="W16" s="39">
        <f t="shared" si="1"/>
        <v>726227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-319068</v>
      </c>
      <c r="AA16" s="39">
        <f t="shared" si="2"/>
        <v>-726227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-83851711</v>
      </c>
      <c r="E19" s="38">
        <f t="shared" si="3"/>
        <v>-190607132.37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-91193598</v>
      </c>
      <c r="I19" s="38">
        <f>'EAST-EGM-GL'!I19+'EAST-LRC-GL'!I19</f>
        <v>-202259539.21999997</v>
      </c>
      <c r="J19" s="60">
        <f>'EAST-EGM-GL'!J19+'EAST-LRC-GL'!J19</f>
        <v>-353325</v>
      </c>
      <c r="K19" s="38">
        <f>'EAST-EGM-GL'!K19+'EAST-LRC-GL'!K19</f>
        <v>-3560017.87</v>
      </c>
      <c r="L19" s="60">
        <f>'EAST-EGM-GL'!L19+'EAST-LRC-GL'!L19</f>
        <v>1431606</v>
      </c>
      <c r="M19" s="38">
        <f>'EAST-EGM-GL'!M19+'EAST-LRC-GL'!M19</f>
        <v>3152789.6999999997</v>
      </c>
      <c r="N19" s="60">
        <f>'EAST-EGM-GL'!N19+'EAST-LRC-GL'!N19</f>
        <v>-7794</v>
      </c>
      <c r="O19" s="38">
        <f>'EAST-EGM-GL'!O19+'EAST-LRC-GL'!O19</f>
        <v>-150009.76999999999</v>
      </c>
      <c r="P19" s="60">
        <f>'EAST-EGM-GL'!P19+'EAST-LRC-GL'!P19</f>
        <v>6272998</v>
      </c>
      <c r="Q19" s="38">
        <f>'EAST-EGM-GL'!Q19+'EAST-LRC-GL'!Q19</f>
        <v>12213123.470000001</v>
      </c>
      <c r="R19" s="60">
        <f>'EAST-EGM-GL'!R19+'EAST-LRC-GL'!R19</f>
        <v>0</v>
      </c>
      <c r="S19" s="38">
        <f>'EAST-EGM-GL'!S19+'EAST-LRC-GL'!S19</f>
        <v>69.2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-1598</v>
      </c>
      <c r="W19" s="38">
        <f>'EAST-EGM-GL'!W19+'EAST-LRC-GL'!W19</f>
        <v>-3547.8799999999997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-385025.32</v>
      </c>
      <c r="F20" s="60">
        <f>('TIE-OUT'!J20+'TIE-OUT'!H20)+(RECLASS!J20+RECLASS!H20)</f>
        <v>0</v>
      </c>
      <c r="G20" s="38">
        <f>('TIE-OUT'!K20+'TIE-OUT'!I20)+(RECLASS!K20+RECLASS!I20)</f>
        <v>-385025.32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-32629494</v>
      </c>
      <c r="E21" s="38">
        <f t="shared" si="3"/>
        <v>-75619749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-32629494</v>
      </c>
      <c r="I21" s="38">
        <f>'EAST-EGM-GL'!I21+'EAST-LRC-GL'!I21</f>
        <v>-75619749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181781</v>
      </c>
      <c r="M21" s="38">
        <f>'EAST-EGM-GL'!M21+'EAST-LRC-GL'!M21</f>
        <v>402259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-465278</v>
      </c>
      <c r="S21" s="38">
        <f>'EAST-EGM-GL'!S21+'EAST-LRC-GL'!S21</f>
        <v>-1052380</v>
      </c>
      <c r="T21" s="60">
        <f>'EAST-EGM-GL'!T21+'EAST-LRC-GL'!T21</f>
        <v>283497</v>
      </c>
      <c r="U21" s="38">
        <f>'EAST-EGM-GL'!U21+'EAST-LRC-GL'!U21</f>
        <v>650121</v>
      </c>
      <c r="V21" s="60">
        <f>'EAST-EGM-GL'!V21+'EAST-LRC-GL'!V21</f>
        <v>-283497</v>
      </c>
      <c r="W21" s="38">
        <f>'EAST-EGM-GL'!W21+'EAST-LRC-GL'!W21</f>
        <v>-650121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283497</v>
      </c>
      <c r="AA21" s="38">
        <f>'EAST-EGM-GL'!AA21+'EAST-LRC-GL'!AA21</f>
        <v>650121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141671</v>
      </c>
      <c r="E23" s="38">
        <f t="shared" si="3"/>
        <v>318223.13100000005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136325</v>
      </c>
      <c r="I23" s="38">
        <f>'EAST-EGM-GL'!I23+'EAST-LRC-GL'!I23</f>
        <v>303868.43</v>
      </c>
      <c r="J23" s="60">
        <f>'EAST-EGM-GL'!J23+'EAST-LRC-GL'!J23</f>
        <v>26983</v>
      </c>
      <c r="K23" s="38">
        <f>'EAST-EGM-GL'!K23+'EAST-LRC-GL'!K23</f>
        <v>63116.164000000004</v>
      </c>
      <c r="L23" s="60">
        <f>'EAST-EGM-GL'!L23+'EAST-LRC-GL'!L23</f>
        <v>-5455</v>
      </c>
      <c r="M23" s="38">
        <f>'EAST-EGM-GL'!M23+'EAST-LRC-GL'!M23</f>
        <v>-12158.833000000001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454.15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-16182</v>
      </c>
      <c r="AA23" s="38">
        <f>'EAST-EGM-GL'!AA23+'EAST-LRC-GL'!AA23</f>
        <v>-37056.78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36</v>
      </c>
      <c r="C24" s="6"/>
      <c r="D24" s="61">
        <f>SUM(D19:D23)</f>
        <v>-116339534</v>
      </c>
      <c r="E24" s="39">
        <f>SUM(E19:E23)</f>
        <v>-266293683.55899999</v>
      </c>
      <c r="F24" s="61">
        <f t="shared" ref="F24:AD24" si="4">SUM(F19:F23)</f>
        <v>0</v>
      </c>
      <c r="G24" s="39">
        <f t="shared" si="4"/>
        <v>-385025.32</v>
      </c>
      <c r="H24" s="61">
        <f t="shared" si="4"/>
        <v>-123686767</v>
      </c>
      <c r="I24" s="39">
        <f t="shared" si="4"/>
        <v>-277575419.78999996</v>
      </c>
      <c r="J24" s="61">
        <f t="shared" si="4"/>
        <v>-326342</v>
      </c>
      <c r="K24" s="39">
        <f t="shared" si="4"/>
        <v>-3496901.7060000002</v>
      </c>
      <c r="L24" s="61">
        <f t="shared" si="4"/>
        <v>1607932</v>
      </c>
      <c r="M24" s="39">
        <f t="shared" si="4"/>
        <v>3542889.8669999996</v>
      </c>
      <c r="N24" s="61">
        <f t="shared" si="4"/>
        <v>-7794</v>
      </c>
      <c r="O24" s="39">
        <f t="shared" si="4"/>
        <v>-150009.76999999999</v>
      </c>
      <c r="P24" s="61">
        <f t="shared" si="4"/>
        <v>6272998</v>
      </c>
      <c r="Q24" s="39">
        <f t="shared" si="4"/>
        <v>12213577.620000001</v>
      </c>
      <c r="R24" s="61">
        <f t="shared" si="4"/>
        <v>-465278</v>
      </c>
      <c r="S24" s="39">
        <f t="shared" si="4"/>
        <v>-1052310.8</v>
      </c>
      <c r="T24" s="61">
        <f t="shared" si="4"/>
        <v>283497</v>
      </c>
      <c r="U24" s="39">
        <f t="shared" si="4"/>
        <v>650121</v>
      </c>
      <c r="V24" s="61">
        <f t="shared" si="4"/>
        <v>-285095</v>
      </c>
      <c r="W24" s="39">
        <f t="shared" si="4"/>
        <v>-653668.88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267315</v>
      </c>
      <c r="AA24" s="39">
        <f t="shared" si="5"/>
        <v>613064.22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1395614</v>
      </c>
      <c r="E27" s="38">
        <f>SUM(G27,I27,K27,M27,O27,Q27,S27,U27,W27,Y27,AA27,AC27,AE27)</f>
        <v>3212085.1899999995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1995725</v>
      </c>
      <c r="I27" s="38">
        <f>'EAST-EGM-GL'!I27+'EAST-LRC-GL'!I27</f>
        <v>4432338.2699999996</v>
      </c>
      <c r="J27" s="60">
        <f>'EAST-EGM-GL'!J27+'EAST-LRC-GL'!J27</f>
        <v>-18802</v>
      </c>
      <c r="K27" s="38">
        <f>'EAST-EGM-GL'!K27+'EAST-LRC-GL'!K27</f>
        <v>127684.71</v>
      </c>
      <c r="L27" s="60">
        <f>'EAST-EGM-GL'!L27+'EAST-LRC-GL'!L27</f>
        <v>-37183</v>
      </c>
      <c r="M27" s="38">
        <f>'EAST-EGM-GL'!M27+'EAST-LRC-GL'!M27</f>
        <v>-84537.38</v>
      </c>
      <c r="N27" s="60">
        <f>'EAST-EGM-GL'!N27+'EAST-LRC-GL'!N27</f>
        <v>-397971</v>
      </c>
      <c r="O27" s="38">
        <f>'EAST-EGM-GL'!O27+'EAST-LRC-GL'!O27</f>
        <v>-904940.13</v>
      </c>
      <c r="P27" s="60">
        <f>'EAST-EGM-GL'!P27+'EAST-LRC-GL'!P27</f>
        <v>161497</v>
      </c>
      <c r="Q27" s="38">
        <f>'EAST-EGM-GL'!Q27+'EAST-LRC-GL'!Q27</f>
        <v>354597.16</v>
      </c>
      <c r="R27" s="60">
        <f>'EAST-EGM-GL'!R27+'EAST-LRC-GL'!R27</f>
        <v>24504</v>
      </c>
      <c r="S27" s="38">
        <f>'EAST-EGM-GL'!S27+'EAST-LRC-GL'!S27</f>
        <v>54019.07</v>
      </c>
      <c r="T27" s="60">
        <f>'EAST-EGM-GL'!T27+'EAST-LRC-GL'!T27</f>
        <v>-307682</v>
      </c>
      <c r="U27" s="38">
        <f>'EAST-EGM-GL'!U27+'EAST-LRC-GL'!U27</f>
        <v>-713124.39</v>
      </c>
      <c r="V27" s="60">
        <f>'EAST-EGM-GL'!V27+'EAST-LRC-GL'!V27</f>
        <v>-24474</v>
      </c>
      <c r="W27" s="38">
        <f>'EAST-EGM-GL'!W27+'EAST-LRC-GL'!W27</f>
        <v>-53952.12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-10656303</v>
      </c>
      <c r="E28" s="38">
        <f>SUM(G28,I28,K28,M28,O28,Q28,S28,U28,W28,Y28,AA28,AC28,AE28)</f>
        <v>-24481109.160000004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-11271464</v>
      </c>
      <c r="I28" s="38">
        <f>'EAST-EGM-GL'!I28+'EAST-LRC-GL'!I28</f>
        <v>-25748009.140000001</v>
      </c>
      <c r="J28" s="60">
        <f>'EAST-EGM-GL'!J28+'EAST-LRC-GL'!J28</f>
        <v>44406</v>
      </c>
      <c r="K28" s="38">
        <f>'EAST-EGM-GL'!K28+'EAST-LRC-GL'!K28</f>
        <v>-7315.9100000000417</v>
      </c>
      <c r="L28" s="60">
        <f>'EAST-EGM-GL'!L28+'EAST-LRC-GL'!L28</f>
        <v>43227</v>
      </c>
      <c r="M28" s="38">
        <f>'EAST-EGM-GL'!M28+'EAST-LRC-GL'!M28</f>
        <v>99691.31</v>
      </c>
      <c r="N28" s="60">
        <f>'EAST-EGM-GL'!N28+'EAST-LRC-GL'!N28</f>
        <v>333567</v>
      </c>
      <c r="O28" s="38">
        <f>'EAST-EGM-GL'!O28+'EAST-LRC-GL'!O28</f>
        <v>769069.25</v>
      </c>
      <c r="P28" s="60">
        <f>'EAST-EGM-GL'!P28+'EAST-LRC-GL'!P28</f>
        <v>-113691</v>
      </c>
      <c r="Q28" s="38">
        <f>'EAST-EGM-GL'!Q28+'EAST-LRC-GL'!Q28</f>
        <v>-307602.01</v>
      </c>
      <c r="R28" s="60">
        <f>'EAST-EGM-GL'!R28+'EAST-LRC-GL'!R28</f>
        <v>-24474</v>
      </c>
      <c r="S28" s="38">
        <f>'EAST-EGM-GL'!S28+'EAST-LRC-GL'!S28</f>
        <v>-53952.94</v>
      </c>
      <c r="T28" s="60">
        <f>'EAST-EGM-GL'!T28+'EAST-LRC-GL'!T28</f>
        <v>307652</v>
      </c>
      <c r="U28" s="38">
        <f>'EAST-EGM-GL'!U28+'EAST-LRC-GL'!U28</f>
        <v>713197.23</v>
      </c>
      <c r="V28" s="60">
        <f>'EAST-EGM-GL'!V28+'EAST-LRC-GL'!V28</f>
        <v>24474</v>
      </c>
      <c r="W28" s="38">
        <f>'EAST-EGM-GL'!W28+'EAST-LRC-GL'!W28</f>
        <v>53813.87</v>
      </c>
      <c r="X28" s="60">
        <f>'EAST-EGM-GL'!X28+'EAST-LRC-GL'!X28</f>
        <v>0</v>
      </c>
      <c r="Y28" s="38">
        <f>'EAST-EGM-GL'!Y28+'EAST-LRC-GL'!Y28</f>
        <v>-0.82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40</v>
      </c>
      <c r="C29" s="18"/>
      <c r="D29" s="61">
        <f>SUM(D27:D28)</f>
        <v>-9260689</v>
      </c>
      <c r="E29" s="39">
        <f>SUM(E27:E28)</f>
        <v>-21269023.970000006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-9275739</v>
      </c>
      <c r="I29" s="39">
        <f t="shared" si="6"/>
        <v>-21315670.870000001</v>
      </c>
      <c r="J29" s="61">
        <f t="shared" si="6"/>
        <v>25604</v>
      </c>
      <c r="K29" s="39">
        <f t="shared" si="6"/>
        <v>120368.79999999996</v>
      </c>
      <c r="L29" s="61">
        <f t="shared" si="6"/>
        <v>6044</v>
      </c>
      <c r="M29" s="39">
        <f t="shared" si="6"/>
        <v>15153.929999999993</v>
      </c>
      <c r="N29" s="61">
        <f t="shared" si="6"/>
        <v>-64404</v>
      </c>
      <c r="O29" s="39">
        <f t="shared" si="6"/>
        <v>-135870.88</v>
      </c>
      <c r="P29" s="61">
        <f t="shared" si="6"/>
        <v>47806</v>
      </c>
      <c r="Q29" s="39">
        <f t="shared" si="6"/>
        <v>46995.149999999965</v>
      </c>
      <c r="R29" s="61">
        <f t="shared" si="6"/>
        <v>30</v>
      </c>
      <c r="S29" s="39">
        <f t="shared" si="6"/>
        <v>66.129999999997381</v>
      </c>
      <c r="T29" s="61">
        <f t="shared" si="6"/>
        <v>-30</v>
      </c>
      <c r="U29" s="39">
        <f t="shared" si="6"/>
        <v>72.839999999967404</v>
      </c>
      <c r="V29" s="61">
        <f t="shared" si="6"/>
        <v>0</v>
      </c>
      <c r="W29" s="39">
        <f t="shared" si="6"/>
        <v>-138.25</v>
      </c>
      <c r="X29" s="61">
        <f t="shared" ref="X29:AC29" si="7">SUM(X27:X28)</f>
        <v>0</v>
      </c>
      <c r="Y29" s="39">
        <f t="shared" si="7"/>
        <v>-0.82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-152977</v>
      </c>
      <c r="E32" s="38">
        <f t="shared" si="8"/>
        <v>-1047485.7980000001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237412</v>
      </c>
      <c r="I32" s="38">
        <f>'EAST-EGM-GL'!I32+'EAST-LRC-GL'!I32</f>
        <v>529191.35</v>
      </c>
      <c r="J32" s="60">
        <f>'EAST-EGM-GL'!J32+'EAST-LRC-GL'!J32</f>
        <v>-596318</v>
      </c>
      <c r="K32" s="38">
        <f>'EAST-EGM-GL'!K32+'EAST-LRC-GL'!K32</f>
        <v>-1343879.348</v>
      </c>
      <c r="L32" s="60">
        <f>'EAST-EGM-GL'!L32+'EAST-LRC-GL'!L32</f>
        <v>225182</v>
      </c>
      <c r="M32" s="38">
        <f>'EAST-EGM-GL'!M32+'EAST-LRC-GL'!M32</f>
        <v>377644.82</v>
      </c>
      <c r="N32" s="60">
        <f>'EAST-EGM-GL'!N32+'EAST-LRC-GL'!N32</f>
        <v>-24053</v>
      </c>
      <c r="O32" s="38">
        <f>'EAST-EGM-GL'!O32+'EAST-LRC-GL'!O32</f>
        <v>-26772.153000000002</v>
      </c>
      <c r="P32" s="60">
        <f>'EAST-EGM-GL'!P32+'EAST-LRC-GL'!P32</f>
        <v>15616</v>
      </c>
      <c r="Q32" s="38">
        <f>'EAST-EGM-GL'!Q32+'EAST-LRC-GL'!Q32</f>
        <v>-528370.147</v>
      </c>
      <c r="R32" s="60">
        <f>'EAST-EGM-GL'!R32+'EAST-LRC-GL'!R32</f>
        <v>208</v>
      </c>
      <c r="S32" s="38">
        <f>'EAST-EGM-GL'!S32+'EAST-LRC-GL'!S32</f>
        <v>-30727.824000000001</v>
      </c>
      <c r="T32" s="60">
        <f>'EAST-EGM-GL'!T32+'EAST-LRC-GL'!T32</f>
        <v>290</v>
      </c>
      <c r="U32" s="38">
        <f>'EAST-EGM-GL'!U32+'EAST-LRC-GL'!U32</f>
        <v>646.41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-27496</v>
      </c>
      <c r="Y32" s="38">
        <f>'EAST-EGM-GL'!Y32+'EAST-LRC-GL'!Y32</f>
        <v>-61288.584000000003</v>
      </c>
      <c r="Z32" s="60">
        <f>'EAST-EGM-GL'!Z32+'EAST-LRC-GL'!Z32</f>
        <v>16182</v>
      </c>
      <c r="AA32" s="38">
        <f>'EAST-EGM-GL'!AA32+'EAST-LRC-GL'!AA32</f>
        <v>36069.678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-30095</v>
      </c>
      <c r="E33" s="38">
        <f t="shared" si="8"/>
        <v>-66744.39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-29794</v>
      </c>
      <c r="K33" s="38">
        <f>'EAST-EGM-GL'!K33+'EAST-LRC-GL'!K33</f>
        <v>-66068.19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-301</v>
      </c>
      <c r="O33" s="38">
        <f>'EAST-EGM-GL'!O33+'EAST-LRC-GL'!O33</f>
        <v>-676.2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328919</v>
      </c>
      <c r="E34" s="38">
        <f t="shared" si="8"/>
        <v>734440.80999999994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318136</v>
      </c>
      <c r="K34" s="38">
        <f>'EAST-EGM-GL'!K34+'EAST-LRC-GL'!K34</f>
        <v>710538.57</v>
      </c>
      <c r="L34" s="60">
        <f>'EAST-EGM-GL'!L34+'EAST-LRC-GL'!L34</f>
        <v>5</v>
      </c>
      <c r="M34" s="38">
        <f>'EAST-EGM-GL'!M34+'EAST-LRC-GL'!M34</f>
        <v>10.79</v>
      </c>
      <c r="N34" s="60">
        <f>'EAST-EGM-GL'!N34+'EAST-LRC-GL'!N34</f>
        <v>5954</v>
      </c>
      <c r="O34" s="38">
        <f>'EAST-EGM-GL'!O34+'EAST-LRC-GL'!O34</f>
        <v>13474.99</v>
      </c>
      <c r="P34" s="60">
        <f>'EAST-EGM-GL'!P34+'EAST-LRC-GL'!P34</f>
        <v>4824</v>
      </c>
      <c r="Q34" s="38">
        <f>'EAST-EGM-GL'!Q34+'EAST-LRC-GL'!Q34</f>
        <v>10416.459999999999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600000</v>
      </c>
      <c r="E35" s="38">
        <f t="shared" si="8"/>
        <v>706499.99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-600000</v>
      </c>
      <c r="I35" s="38">
        <f>'EAST-EGM-GL'!I35+'EAST-LRC-GL'!I35</f>
        <v>-0.01</v>
      </c>
      <c r="J35" s="60">
        <f>'EAST-EGM-GL'!J35+'EAST-LRC-GL'!J35</f>
        <v>1200000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706500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46</v>
      </c>
      <c r="C36" s="6"/>
      <c r="D36" s="61">
        <f>SUM(D32:D35)</f>
        <v>745847</v>
      </c>
      <c r="E36" s="39">
        <f>SUM(E32:E35)</f>
        <v>326710.61199999985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-362588</v>
      </c>
      <c r="I36" s="39">
        <f t="shared" si="9"/>
        <v>529191.34</v>
      </c>
      <c r="J36" s="61">
        <f t="shared" si="9"/>
        <v>892024</v>
      </c>
      <c r="K36" s="39">
        <f t="shared" si="9"/>
        <v>-699408.96799999999</v>
      </c>
      <c r="L36" s="61">
        <f t="shared" si="9"/>
        <v>225187</v>
      </c>
      <c r="M36" s="39">
        <f t="shared" si="9"/>
        <v>377655.61</v>
      </c>
      <c r="N36" s="61">
        <f t="shared" si="9"/>
        <v>-18400</v>
      </c>
      <c r="O36" s="39">
        <f t="shared" si="9"/>
        <v>-13973.363000000003</v>
      </c>
      <c r="P36" s="61">
        <f t="shared" si="9"/>
        <v>20440</v>
      </c>
      <c r="Q36" s="39">
        <f t="shared" si="9"/>
        <v>188546.31300000002</v>
      </c>
      <c r="R36" s="61">
        <f t="shared" si="9"/>
        <v>208</v>
      </c>
      <c r="S36" s="39">
        <f t="shared" si="9"/>
        <v>-30727.824000000001</v>
      </c>
      <c r="T36" s="61">
        <f t="shared" si="9"/>
        <v>290</v>
      </c>
      <c r="U36" s="39">
        <f t="shared" si="9"/>
        <v>646.41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-27496</v>
      </c>
      <c r="Y36" s="39">
        <f t="shared" si="10"/>
        <v>-61288.584000000003</v>
      </c>
      <c r="Z36" s="61">
        <f t="shared" si="10"/>
        <v>16182</v>
      </c>
      <c r="AA36" s="39">
        <f t="shared" si="10"/>
        <v>36069.678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980688</v>
      </c>
      <c r="E39" s="38">
        <f t="shared" si="11"/>
        <v>2235968.64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1085249</v>
      </c>
      <c r="K39" s="38">
        <f>'EAST-EGM-GL'!K39+'EAST-LRC-GL'!K39</f>
        <v>2474367.7200000002</v>
      </c>
      <c r="L39" s="60">
        <f>'EAST-EGM-GL'!L39+'EAST-LRC-GL'!L39</f>
        <v>-31404</v>
      </c>
      <c r="M39" s="38">
        <f>'EAST-EGM-GL'!M39+'EAST-LRC-GL'!M39</f>
        <v>-71601.119999999995</v>
      </c>
      <c r="N39" s="60">
        <f>'EAST-EGM-GL'!N39+'EAST-LRC-GL'!N39</f>
        <v>-73157</v>
      </c>
      <c r="O39" s="38">
        <f>'EAST-EGM-GL'!O39+'EAST-LRC-GL'!O39</f>
        <v>-166797.96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-884709</v>
      </c>
      <c r="E40" s="38">
        <f t="shared" si="11"/>
        <v>-2117336.52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-683126</v>
      </c>
      <c r="K40" s="38">
        <f>'EAST-EGM-GL'!K40+'EAST-LRC-GL'!K40</f>
        <v>-1557527.28</v>
      </c>
      <c r="L40" s="60">
        <f>'EAST-EGM-GL'!L40+'EAST-LRC-GL'!L40</f>
        <v>25360</v>
      </c>
      <c r="M40" s="38">
        <f>'EAST-EGM-GL'!M40+'EAST-LRC-GL'!M40</f>
        <v>57820.800000000003</v>
      </c>
      <c r="N40" s="60">
        <f>'EAST-EGM-GL'!N40+'EAST-LRC-GL'!N40</f>
        <v>73157</v>
      </c>
      <c r="O40" s="38">
        <f>'EAST-EGM-GL'!O40+'EAST-LRC-GL'!O40</f>
        <v>166797.96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-300000</v>
      </c>
      <c r="S40" s="38">
        <f>'EAST-EGM-GL'!S40+'EAST-LRC-GL'!S40</f>
        <v>-784200</v>
      </c>
      <c r="T40" s="60">
        <f>'EAST-EGM-GL'!T40+'EAST-LRC-GL'!T40</f>
        <v>-100</v>
      </c>
      <c r="U40" s="38">
        <f>'EAST-EGM-GL'!U40+'EAST-LRC-GL'!U40</f>
        <v>-228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51</v>
      </c>
      <c r="D42" s="61">
        <f>SUM(D40:D41)</f>
        <v>-884709</v>
      </c>
      <c r="E42" s="39">
        <f>SUM(E40:E41)</f>
        <v>-2117336.52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-683126</v>
      </c>
      <c r="K42" s="39">
        <f t="shared" si="12"/>
        <v>-1557527.28</v>
      </c>
      <c r="L42" s="61">
        <f t="shared" si="12"/>
        <v>25360</v>
      </c>
      <c r="M42" s="39">
        <f t="shared" si="12"/>
        <v>57820.800000000003</v>
      </c>
      <c r="N42" s="61">
        <f t="shared" si="12"/>
        <v>73157</v>
      </c>
      <c r="O42" s="39">
        <f t="shared" si="12"/>
        <v>166797.96</v>
      </c>
      <c r="P42" s="61">
        <f t="shared" si="12"/>
        <v>0</v>
      </c>
      <c r="Q42" s="39">
        <f t="shared" si="12"/>
        <v>0</v>
      </c>
      <c r="R42" s="61">
        <f t="shared" si="12"/>
        <v>-300000</v>
      </c>
      <c r="S42" s="39">
        <f t="shared" si="12"/>
        <v>-784200</v>
      </c>
      <c r="T42" s="61">
        <f t="shared" si="12"/>
        <v>-100</v>
      </c>
      <c r="U42" s="39">
        <f t="shared" si="12"/>
        <v>-228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52</v>
      </c>
      <c r="C43" s="6"/>
      <c r="D43" s="61">
        <f>D42+D39</f>
        <v>95979</v>
      </c>
      <c r="E43" s="39">
        <f>E42+E39</f>
        <v>118632.12000000011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402123</v>
      </c>
      <c r="K43" s="39">
        <f t="shared" si="14"/>
        <v>916840.44000000018</v>
      </c>
      <c r="L43" s="61">
        <f t="shared" si="14"/>
        <v>-6044</v>
      </c>
      <c r="M43" s="39">
        <f t="shared" si="14"/>
        <v>-13780.319999999992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-300000</v>
      </c>
      <c r="S43" s="39">
        <f t="shared" si="14"/>
        <v>-784200</v>
      </c>
      <c r="T43" s="61">
        <f t="shared" si="14"/>
        <v>-100</v>
      </c>
      <c r="U43" s="39">
        <f t="shared" si="14"/>
        <v>-228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-25247</v>
      </c>
      <c r="E45" s="38">
        <f>SUM(G45,I45,K45,M45,O45,Q45,S45,U45,W45,Y45,AA45,AC45,AE45)</f>
        <v>-45544.09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-25247</v>
      </c>
      <c r="K45" s="38">
        <f>'EAST-EGM-GL'!K45+'EAST-LRC-GL'!K45</f>
        <v>-48726.71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3182.62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361273</v>
      </c>
      <c r="E49" s="38">
        <f>SUM(G49,I49,K49,M49,O49,Q49,S49,U49,W49,Y49,AA49,AC49,AE49)</f>
        <v>805277.51300000038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9038271</v>
      </c>
      <c r="I49" s="38">
        <f>'EAST-EGM-GL'!I49+'EAST-LRC-GL'!I49</f>
        <v>20146306.059</v>
      </c>
      <c r="J49" s="60">
        <f>'EAST-EGM-GL'!J49+'EAST-LRC-GL'!J49</f>
        <v>-1114499</v>
      </c>
      <c r="K49" s="38">
        <f>'EAST-EGM-GL'!K49+'EAST-LRC-GL'!K49</f>
        <v>-2484218.2749999985</v>
      </c>
      <c r="L49" s="60">
        <f>'EAST-EGM-GL'!L49+'EAST-LRC-GL'!L49</f>
        <v>-1685737</v>
      </c>
      <c r="M49" s="38">
        <f>'EAST-EGM-GL'!M49+'EAST-LRC-GL'!M49</f>
        <v>-3757507.773</v>
      </c>
      <c r="N49" s="60">
        <f>'EAST-EGM-GL'!N49+'EAST-LRC-GL'!N49</f>
        <v>90598</v>
      </c>
      <c r="O49" s="38">
        <f>'EAST-EGM-GL'!O49+'EAST-LRC-GL'!O49</f>
        <v>201942.94200000001</v>
      </c>
      <c r="P49" s="60">
        <f>'EAST-EGM-GL'!P49+'EAST-LRC-GL'!P49</f>
        <v>-6330570</v>
      </c>
      <c r="Q49" s="38">
        <f>'EAST-EGM-GL'!Q49+'EAST-LRC-GL'!Q49</f>
        <v>-14110840.530000001</v>
      </c>
      <c r="R49" s="60">
        <f>'EAST-EGM-GL'!R49+'EAST-LRC-GL'!R49</f>
        <v>298804</v>
      </c>
      <c r="S49" s="38">
        <f>'EAST-EGM-GL'!S49+'EAST-LRC-GL'!S49</f>
        <v>666034.11600000004</v>
      </c>
      <c r="T49" s="60">
        <f>'EAST-EGM-GL'!T49+'EAST-LRC-GL'!T49</f>
        <v>35312</v>
      </c>
      <c r="U49" s="38">
        <f>'EAST-EGM-GL'!U49+'EAST-LRC-GL'!U49</f>
        <v>78710.448000000004</v>
      </c>
      <c r="V49" s="60">
        <f>'EAST-EGM-GL'!V49+'EAST-LRC-GL'!V49</f>
        <v>-33973</v>
      </c>
      <c r="W49" s="38">
        <f>'EAST-EGM-GL'!W49+'EAST-LRC-GL'!W49</f>
        <v>-75725.816999999995</v>
      </c>
      <c r="X49" s="60">
        <f>'EAST-EGM-GL'!X49+'EAST-LRC-GL'!X49</f>
        <v>27496</v>
      </c>
      <c r="Y49" s="38">
        <f>'EAST-EGM-GL'!Y49+'EAST-LRC-GL'!Y49</f>
        <v>61288.584000000003</v>
      </c>
      <c r="Z49" s="60">
        <f>'EAST-EGM-GL'!Z49+'EAST-LRC-GL'!Z49</f>
        <v>35571</v>
      </c>
      <c r="AA49" s="38">
        <f>'EAST-EGM-GL'!AA49+'EAST-LRC-GL'!AA49</f>
        <v>79287.759000000005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-194496</v>
      </c>
      <c r="E51" s="38">
        <f>SUM(G51,I51,K51,M51,O51,Q51,S51,U51,W51,Y51,AA51,AC51,AE51)</f>
        <v>-437785.92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-136325</v>
      </c>
      <c r="I51" s="38">
        <f>'EAST-EGM-GL'!I51+'EAST-LRC-GL'!I51</f>
        <v>-303868.43</v>
      </c>
      <c r="J51" s="60">
        <f>'EAST-EGM-GL'!J51+'EAST-LRC-GL'!J51</f>
        <v>-63345</v>
      </c>
      <c r="K51" s="38">
        <f>'EAST-EGM-GL'!K51+'EAST-LRC-GL'!K51</f>
        <v>-144638.08599999998</v>
      </c>
      <c r="L51" s="60">
        <f>'EAST-EGM-GL'!L51+'EAST-LRC-GL'!L51</f>
        <v>5274</v>
      </c>
      <c r="M51" s="38">
        <f>'EAST-EGM-GL'!M51+'EAST-LRC-GL'!M51</f>
        <v>11755.745999999999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-803.15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-100</v>
      </c>
      <c r="U51" s="38">
        <f>'EAST-EGM-GL'!U51+'EAST-LRC-GL'!U51</f>
        <v>-232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-17164287</v>
      </c>
      <c r="E54" s="38">
        <f>SUM(G54,I54,K54,M54,O54,Q54,S54,U54,W54,Y54,AA54,AC54,AE54)</f>
        <v>-546087.96999999986</v>
      </c>
      <c r="F54" s="64">
        <f>('TIE-OUT'!J54+'TIE-OUT'!H54)+(RECLASS!J54+RECLASS!H54)</f>
        <v>0</v>
      </c>
      <c r="G54" s="68">
        <f>('TIE-OUT'!K54+'TIE-OUT'!I54)+(RECLASS!K54+RECLASS!I54)</f>
        <v>-9756</v>
      </c>
      <c r="H54" s="60">
        <f>'EAST-EGM-GL'!H54+'EAST-LRC-GL'!H54</f>
        <v>-16636979</v>
      </c>
      <c r="I54" s="38">
        <f>'EAST-EGM-GL'!I54+'EAST-LRC-GL'!I54</f>
        <v>-309119.65999999997</v>
      </c>
      <c r="J54" s="60">
        <f>'EAST-EGM-GL'!J54+'EAST-LRC-GL'!J54</f>
        <v>-250611</v>
      </c>
      <c r="K54" s="38">
        <f>'EAST-EGM-GL'!K54+'EAST-LRC-GL'!K54</f>
        <v>11656.720000000001</v>
      </c>
      <c r="L54" s="60">
        <f>'EAST-EGM-GL'!L54+'EAST-LRC-GL'!L54</f>
        <v>-137914</v>
      </c>
      <c r="M54" s="38">
        <f>'EAST-EGM-GL'!M54+'EAST-LRC-GL'!M54</f>
        <v>-32927.17</v>
      </c>
      <c r="N54" s="60">
        <f>'EAST-EGM-GL'!N54+'EAST-LRC-GL'!N54</f>
        <v>-42970</v>
      </c>
      <c r="O54" s="38">
        <f>'EAST-EGM-GL'!O54+'EAST-LRC-GL'!O54</f>
        <v>2190.5700000000002</v>
      </c>
      <c r="P54" s="60">
        <f>'EAST-EGM-GL'!P54+'EAST-LRC-GL'!P54</f>
        <v>0</v>
      </c>
      <c r="Q54" s="38">
        <f>'EAST-EGM-GL'!Q54+'EAST-LRC-GL'!Q54</f>
        <v>0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-5348.04</v>
      </c>
      <c r="V54" s="60">
        <f>'EAST-EGM-GL'!V54+'EAST-LRC-GL'!V54</f>
        <v>0</v>
      </c>
      <c r="W54" s="38">
        <f>'EAST-EGM-GL'!W54+'EAST-LRC-GL'!W54</f>
        <v>-99955</v>
      </c>
      <c r="X54" s="60">
        <f>'EAST-EGM-GL'!X54+'EAST-LRC-GL'!X54</f>
        <v>0</v>
      </c>
      <c r="Y54" s="38">
        <f>'EAST-EGM-GL'!Y54+'EAST-LRC-GL'!Y54</f>
        <v>-99955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-95813</v>
      </c>
      <c r="AC54" s="38">
        <f>'EAST-EGM-GL'!AC54+'EAST-LRC-GL'!AC54</f>
        <v>-2874.39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-448017.35</v>
      </c>
      <c r="F55" s="81">
        <f>('TIE-OUT'!J55+'TIE-OUT'!H55)+(RECLASS!J55+RECLASS!H55)</f>
        <v>0</v>
      </c>
      <c r="G55" s="82">
        <f>('TIE-OUT'!K55+'TIE-OUT'!I55)+(RECLASS!K55+RECLASS!I55)</f>
        <v>2441264.9900000002</v>
      </c>
      <c r="H55" s="60">
        <f>'EAST-EGM-GL'!H55+'EAST-LRC-GL'!H55</f>
        <v>0</v>
      </c>
      <c r="I55" s="38">
        <f>'EAST-EGM-GL'!I55+'EAST-LRC-GL'!I55</f>
        <v>-3035948.99</v>
      </c>
      <c r="J55" s="60">
        <f>'EAST-EGM-GL'!J55+'EAST-LRC-GL'!J55</f>
        <v>0</v>
      </c>
      <c r="K55" s="38">
        <f>'EAST-EGM-GL'!K55+'EAST-LRC-GL'!K55</f>
        <v>132137.89000000001</v>
      </c>
      <c r="L55" s="60">
        <f>'EAST-EGM-GL'!L55+'EAST-LRC-GL'!L55</f>
        <v>0</v>
      </c>
      <c r="M55" s="38">
        <f>'EAST-EGM-GL'!M55+'EAST-LRC-GL'!M55</f>
        <v>921.36</v>
      </c>
      <c r="N55" s="60">
        <f>'EAST-EGM-GL'!N55+'EAST-LRC-GL'!N55</f>
        <v>0</v>
      </c>
      <c r="O55" s="38">
        <f>'EAST-EGM-GL'!O55+'EAST-LRC-GL'!O55</f>
        <v>13607.4</v>
      </c>
      <c r="P55" s="60">
        <f>'EAST-EGM-GL'!P55+'EAST-LRC-GL'!P55</f>
        <v>0</v>
      </c>
      <c r="Q55" s="38">
        <f>'EAST-EGM-GL'!Q55+'EAST-LRC-GL'!Q55</f>
        <v>0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60</v>
      </c>
      <c r="C56" s="6"/>
      <c r="D56" s="61">
        <f>SUM(D54:D55)</f>
        <v>-17164287</v>
      </c>
      <c r="E56" s="39">
        <f>SUM(E54:E55)</f>
        <v>-994105.31999999983</v>
      </c>
      <c r="F56" s="61">
        <f t="shared" ref="F56:AD56" si="16">SUM(F54:F55)</f>
        <v>0</v>
      </c>
      <c r="G56" s="39">
        <f t="shared" si="16"/>
        <v>2431508.9900000002</v>
      </c>
      <c r="H56" s="61">
        <f t="shared" si="16"/>
        <v>-16636979</v>
      </c>
      <c r="I56" s="39">
        <f t="shared" si="16"/>
        <v>-3345068.6500000004</v>
      </c>
      <c r="J56" s="61">
        <f t="shared" si="16"/>
        <v>-250611</v>
      </c>
      <c r="K56" s="39">
        <f t="shared" si="16"/>
        <v>143794.61000000002</v>
      </c>
      <c r="L56" s="61">
        <f t="shared" si="16"/>
        <v>-137914</v>
      </c>
      <c r="M56" s="39">
        <f t="shared" si="16"/>
        <v>-32005.809999999998</v>
      </c>
      <c r="N56" s="61">
        <f t="shared" si="16"/>
        <v>-42970</v>
      </c>
      <c r="O56" s="39">
        <f t="shared" si="16"/>
        <v>15797.97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-5348.04</v>
      </c>
      <c r="V56" s="61">
        <f t="shared" si="16"/>
        <v>0</v>
      </c>
      <c r="W56" s="39">
        <f t="shared" si="16"/>
        <v>-99955</v>
      </c>
      <c r="X56" s="61">
        <f t="shared" ref="X56:AC56" si="17">SUM(X54:X55)</f>
        <v>0</v>
      </c>
      <c r="Y56" s="39">
        <f t="shared" si="17"/>
        <v>-99955</v>
      </c>
      <c r="Z56" s="61">
        <f t="shared" si="17"/>
        <v>0</v>
      </c>
      <c r="AA56" s="39">
        <f t="shared" si="17"/>
        <v>0</v>
      </c>
      <c r="AB56" s="61">
        <f t="shared" si="17"/>
        <v>-95813</v>
      </c>
      <c r="AC56" s="39">
        <f t="shared" si="17"/>
        <v>-2874.39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3132845</v>
      </c>
      <c r="E59" s="38">
        <f>SUM(G59,I59,K59,M59,O59,Q59,S59,U59,W59,Y59,AA59,AC59,AE59)</f>
        <v>55985.979999999996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2992830</v>
      </c>
      <c r="I59" s="38">
        <f>'EAST-EGM-GL'!I59+'EAST-LRC-GL'!I59</f>
        <v>46484.87</v>
      </c>
      <c r="J59" s="60">
        <f>'EAST-EGM-GL'!J59+'EAST-LRC-GL'!J59</f>
        <v>133968</v>
      </c>
      <c r="K59" s="38">
        <f>'EAST-EGM-GL'!K59+'EAST-LRC-GL'!K59</f>
        <v>9520.52</v>
      </c>
      <c r="L59" s="60">
        <f>'EAST-EGM-GL'!L59+'EAST-LRC-GL'!L59</f>
        <v>5932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-97.16</v>
      </c>
      <c r="R59" s="60">
        <f>'EAST-EGM-GL'!R59+'EAST-LRC-GL'!R59</f>
        <v>0</v>
      </c>
      <c r="S59" s="38">
        <f>'EAST-EGM-GL'!S59+'EAST-LRC-GL'!S59</f>
        <v>77.75</v>
      </c>
      <c r="T59" s="60">
        <f>'EAST-EGM-GL'!T59+'EAST-LRC-GL'!T59</f>
        <v>115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64</v>
      </c>
      <c r="C61" s="6"/>
      <c r="D61" s="61">
        <f>SUM(D59:D60)</f>
        <v>3132845</v>
      </c>
      <c r="E61" s="39">
        <f>SUM(E59:E60)</f>
        <v>55985.979999999996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2992830</v>
      </c>
      <c r="I61" s="39">
        <f t="shared" si="18"/>
        <v>46484.87</v>
      </c>
      <c r="J61" s="61">
        <f t="shared" si="18"/>
        <v>133968</v>
      </c>
      <c r="K61" s="39">
        <f t="shared" si="18"/>
        <v>9520.52</v>
      </c>
      <c r="L61" s="61">
        <f t="shared" si="18"/>
        <v>5932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-97.16</v>
      </c>
      <c r="R61" s="61">
        <f t="shared" si="18"/>
        <v>0</v>
      </c>
      <c r="S61" s="39">
        <f t="shared" si="18"/>
        <v>77.75</v>
      </c>
      <c r="T61" s="61">
        <f t="shared" si="18"/>
        <v>115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-20191991</v>
      </c>
      <c r="E64" s="38">
        <f>SUM(G64,I64,K64,M64,O64,Q64,S64,U64,W64,Y64,AA64,AC64,AE64)</f>
        <v>-1981332.06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-12224792</v>
      </c>
      <c r="I64" s="38">
        <f>'EAST-EGM-GL'!I64+'EAST-LRC-GL'!I64</f>
        <v>-1306444.3</v>
      </c>
      <c r="J64" s="60">
        <f>'EAST-EGM-GL'!J64+'EAST-LRC-GL'!J64</f>
        <v>-7967199</v>
      </c>
      <c r="K64" s="38">
        <f>'EAST-EGM-GL'!K64+'EAST-LRC-GL'!K64</f>
        <v>-674887.76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19106742</v>
      </c>
      <c r="E65" s="38">
        <f>SUM(G65,I65,K65,M65,O65,Q65,S65,U65,W65,Y65,AA65,AC65,AE65)</f>
        <v>1981332.07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11108431</v>
      </c>
      <c r="I65" s="38">
        <f>'EAST-EGM-GL'!I65+'EAST-LRC-GL'!I65</f>
        <v>1306444.29</v>
      </c>
      <c r="J65" s="60">
        <f>'EAST-EGM-GL'!J65+'EAST-LRC-GL'!J65</f>
        <v>7998311</v>
      </c>
      <c r="K65" s="38">
        <f>'EAST-EGM-GL'!K65+'EAST-LRC-GL'!K65</f>
        <v>674887.78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67</v>
      </c>
      <c r="C66" s="6"/>
      <c r="D66" s="61">
        <f>SUM(D64:D65)</f>
        <v>-1085249</v>
      </c>
      <c r="E66" s="39">
        <f>SUM(E64:E65)</f>
        <v>1.0000000009313226E-2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-1116361</v>
      </c>
      <c r="I66" s="39">
        <f t="shared" si="20"/>
        <v>-1.0000000009313226E-2</v>
      </c>
      <c r="J66" s="61">
        <f t="shared" si="20"/>
        <v>31112</v>
      </c>
      <c r="K66" s="39">
        <f t="shared" si="20"/>
        <v>2.0000000018626451E-2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5679557.9500000002</v>
      </c>
      <c r="F70" s="64">
        <f>('TIE-OUT'!J70+'TIE-OUT'!H70)+(RECLASS!J70+RECLASS!H70)</f>
        <v>0</v>
      </c>
      <c r="G70" s="68">
        <f>('TIE-OUT'!K70+'TIE-OUT'!I70)+(RECLASS!K70+RECLASS!I70)</f>
        <v>5679557.9500000002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-2849706</v>
      </c>
      <c r="F71" s="81">
        <f>('TIE-OUT'!J71+'TIE-OUT'!H71)+(RECLASS!J71+RECLASS!H71)</f>
        <v>0</v>
      </c>
      <c r="G71" s="82">
        <f>('TIE-OUT'!K71+'TIE-OUT'!I71)+(RECLASS!K71+RECLASS!I71)</f>
        <v>-2849706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2829851.95</v>
      </c>
      <c r="F72" s="61">
        <f t="shared" ref="F72:AD72" si="22">SUM(F70:F71)</f>
        <v>0</v>
      </c>
      <c r="G72" s="39">
        <f t="shared" si="22"/>
        <v>2829851.95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-1847776</v>
      </c>
      <c r="F74" s="60">
        <f>('TIE-OUT'!J74+'TIE-OUT'!H74)+(RECLASS!J74+RECLASS!H74)</f>
        <v>0</v>
      </c>
      <c r="G74" s="60">
        <f>('TIE-OUT'!K74+'TIE-OUT'!I74)+(RECLASS!K74+RECLASS!I74)</f>
        <v>-1830766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-17010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59000</v>
      </c>
      <c r="F75" s="60">
        <f>('TIE-OUT'!J75+'TIE-OUT'!H75)+(RECLASS!J75+RECLASS!H75)</f>
        <v>0</v>
      </c>
      <c r="G75" s="60">
        <f>('TIE-OUT'!K75+'TIE-OUT'!I75)+(RECLASS!K75+RECLASS!I75)</f>
        <v>59000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-259215.52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-259215.52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-3933809</v>
      </c>
      <c r="F77" s="60">
        <f>('TIE-OUT'!J77+'TIE-OUT'!H77)+(RECLASS!J77+RECLASS!H77)</f>
        <v>0</v>
      </c>
      <c r="G77" s="60">
        <f>('TIE-OUT'!K77+'TIE-OUT'!I77)+(RECLASS!K77+RECLASS!I77)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224706</v>
      </c>
      <c r="F79" s="60">
        <f>('TIE-OUT'!J79+'TIE-OUT'!H79)+(RECLASS!J79+RECLASS!H79)</f>
        <v>0</v>
      </c>
      <c r="G79" s="60">
        <f>('TIE-OUT'!K79+'TIE-OUT'!I79)+(RECLASS!K79+RECLASS!I79)</f>
        <v>224706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81</v>
      </c>
      <c r="D81" s="60">
        <f t="shared" si="24"/>
        <v>1116361</v>
      </c>
      <c r="E81" s="38">
        <f t="shared" si="24"/>
        <v>789835.96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1116361</v>
      </c>
      <c r="I81" s="38">
        <f>'EAST-EGM-GL'!I81+'EAST-LRC-GL'!I81</f>
        <v>750268.76</v>
      </c>
      <c r="J81" s="60">
        <f>'EAST-EGM-GL'!J81+'EAST-LRC-GL'!J81</f>
        <v>0</v>
      </c>
      <c r="K81" s="38">
        <f>'EAST-EGM-GL'!K81+'EAST-LRC-GL'!K81</f>
        <v>39567.199999999997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2250</v>
      </c>
      <c r="E82" s="93">
        <f>SUM(E72:E81)+E16+E24+E29+E36+E43+E45+E47+E49+E51+E56+E61+E66</f>
        <v>-4563647.3039999977</v>
      </c>
      <c r="F82" s="92">
        <f>F16+F24+F29+F36+F43+F45+F47+F49</f>
        <v>0</v>
      </c>
      <c r="G82" s="93">
        <f>SUM(G72:G81)+G16+G24+G29+G36+G43+G45+G47+G49+G51+G56+G61+G66</f>
        <v>-6467752.0800000001</v>
      </c>
      <c r="H82" s="92">
        <f>H16+H24+H29+H36+H43+H45+H47+H49</f>
        <v>2250</v>
      </c>
      <c r="I82" s="93">
        <f>SUM(I72:I81)+I16+I24+I29+I36+I43+I45+I47+I49+I51+I56+I61+I66</f>
        <v>3975612.9790000161</v>
      </c>
      <c r="J82" s="92">
        <f>J16+J24+J29+J36+J43+J45+J47+J49</f>
        <v>0</v>
      </c>
      <c r="K82" s="93">
        <f>SUM(K72:K81)+K16+K24+K29+K36+K43+K45+K47+K49+K51+K56+K61+K66</f>
        <v>14738600.435000002</v>
      </c>
      <c r="L82" s="92">
        <f>L16+L24+L29+L36+L43+L45+L47+L49</f>
        <v>0</v>
      </c>
      <c r="M82" s="93">
        <f>SUM(M72:M81)+M16+M24+M29+M36+M43+M45+M47+M49+M51+M56+M61+M66</f>
        <v>-56217.350000000311</v>
      </c>
      <c r="N82" s="92">
        <f>N16+N24+N29+N36+N43+N45+N47+N49</f>
        <v>0</v>
      </c>
      <c r="O82" s="93">
        <f>SUM(O72:O81)+O16+O24+O29+O36+O43+O45+O47+O49+O51+O56+O61+O66</f>
        <v>-82113.101000000024</v>
      </c>
      <c r="P82" s="92">
        <f>P16+P24+P29+P36+P43+P45+P47+P49</f>
        <v>0</v>
      </c>
      <c r="Q82" s="93">
        <f>SUM(Q72:Q81)+Q16+Q24+Q29+Q36+Q43+Q45+Q47+Q49+Q51+Q56+Q61+Q66</f>
        <v>-16312452.987000002</v>
      </c>
      <c r="R82" s="92">
        <f>R16+R24+R29+R36+R43+R45+R47+R49</f>
        <v>0</v>
      </c>
      <c r="S82" s="93">
        <f>SUM(S72:S81)+S16+S24+S29+S36+S43+S45+S47+S49+S51+S56+S61+S66</f>
        <v>-146467.64800000004</v>
      </c>
      <c r="T82" s="92">
        <f>T16+T24+T29+T36+T43+T45+T47+T49</f>
        <v>0</v>
      </c>
      <c r="U82" s="93">
        <f>SUM(U72:U81)+U16+U24+U29+U36+U43+U45+U47+U49+U51+U56+U61+U66</f>
        <v>-8961.0519999999888</v>
      </c>
      <c r="V82" s="92">
        <f>V16+V24+V29+V36+V43+V45+V47+V49</f>
        <v>0</v>
      </c>
      <c r="W82" s="93">
        <f>SUM(W72:W81)+W16+W24+W29+W36+W43+W45+W47+W49+W51+W56+W61+W66</f>
        <v>-103260.947</v>
      </c>
      <c r="X82" s="92">
        <f>X16+X24+X29+X36+X43+X45+X47+X49</f>
        <v>0</v>
      </c>
      <c r="Y82" s="93">
        <f>SUM(Y72:Y81)+Y16+Y24+Y29+Y36+Y43+Y45+Y47+Y49+Y51+Y56+Y61+Y66</f>
        <v>-99955.82</v>
      </c>
      <c r="Z82" s="92">
        <f>Z16+Z24+Z29+Z36+Z43+Z45+Z47+Z49</f>
        <v>0</v>
      </c>
      <c r="AA82" s="93">
        <f>SUM(AA72:AA81)+AA16+AA24+AA29+AA36+AA43+AA45+AA47+AA49+AA51+AA56+AA61+AA66</f>
        <v>2194.6569999999774</v>
      </c>
      <c r="AB82" s="92">
        <f>AB16+AB24+AB29+AB36+AB43+AB45+AB47+AB49</f>
        <v>0</v>
      </c>
      <c r="AC82" s="93">
        <f>SUM(AC72:AC81)+AC16+AC24+AC29+AC36+AC43+AC45+AC47+AC49+AC51+AC56+AC61+AC66</f>
        <v>-2874.39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-4563647.3239999935</v>
      </c>
      <c r="G84" s="14">
        <f>+'EAST-LRC-GL'!G82+'EAST-EGM-GL'!G82</f>
        <v>-6467752.0800000001</v>
      </c>
      <c r="I84" s="14">
        <f>+'EAST-LRC-GL'!I82+'EAST-EGM-GL'!I82</f>
        <v>3975612.9790000147</v>
      </c>
      <c r="K84" s="14">
        <f>+'EAST-LRC-GL'!K82+'EAST-EGM-GL'!K82</f>
        <v>14738600.435000004</v>
      </c>
    </row>
    <row r="85" spans="1:67" x14ac:dyDescent="0.2">
      <c r="A85" s="4" t="s">
        <v>184</v>
      </c>
      <c r="B85" s="3"/>
      <c r="F85" s="31"/>
      <c r="G85" s="31"/>
      <c r="H85" s="31"/>
      <c r="I85" s="31"/>
      <c r="L85" s="45"/>
    </row>
    <row r="86" spans="1:67" s="3" customFormat="1" x14ac:dyDescent="0.2">
      <c r="A86" s="174"/>
      <c r="C86" s="10" t="s">
        <v>177</v>
      </c>
      <c r="D86" s="175">
        <f t="shared" ref="D86:E88" si="25">SUM(F86,H86,J86,L86,N86,P86,R86,T86,V86,X86,Z86,AB86,AD86)</f>
        <v>0</v>
      </c>
      <c r="E86" s="175">
        <f t="shared" si="25"/>
        <v>229124</v>
      </c>
      <c r="F86" s="175">
        <f>'EAST-EGM-GL'!F86+'EAST-LRC-GL'!F86</f>
        <v>0</v>
      </c>
      <c r="G86" s="175">
        <f>'EAST-EGM-GL'!G86+'EAST-LRC-GL'!G86</f>
        <v>229124</v>
      </c>
      <c r="H86" s="175">
        <f>'EAST-EGM-GL'!H86+'EAST-LRC-GL'!H86</f>
        <v>0</v>
      </c>
      <c r="I86" s="175">
        <f>'EAST-EGM-GL'!I86+'EAST-LRC-GL'!I86</f>
        <v>0</v>
      </c>
      <c r="J86" s="175">
        <f>'EAST-EGM-GL'!J86+'EAST-LRC-GL'!J86</f>
        <v>0</v>
      </c>
      <c r="K86" s="175">
        <f>'EAST-EGM-GL'!K86+'EAST-LRC-GL'!K86</f>
        <v>0</v>
      </c>
      <c r="L86" s="175">
        <f>'EAST-EGM-GL'!L86+'EAST-LRC-GL'!L86</f>
        <v>0</v>
      </c>
      <c r="M86" s="175">
        <f>'EAST-EGM-GL'!M86+'EAST-LRC-GL'!M86</f>
        <v>0</v>
      </c>
      <c r="N86" s="175">
        <f>'EAST-EGM-GL'!N86+'EAST-LRC-GL'!N86</f>
        <v>0</v>
      </c>
      <c r="O86" s="175">
        <f>'EAST-EGM-GL'!O86+'EAST-LRC-GL'!O86</f>
        <v>0</v>
      </c>
      <c r="P86" s="175">
        <f>'EAST-EGM-GL'!P86+'EAST-LRC-GL'!P86</f>
        <v>0</v>
      </c>
      <c r="Q86" s="175">
        <f>'EAST-EGM-GL'!Q86+'EAST-LRC-GL'!Q86</f>
        <v>0</v>
      </c>
      <c r="R86" s="175">
        <f>'EAST-EGM-GL'!R86+'EAST-LRC-GL'!R86</f>
        <v>0</v>
      </c>
      <c r="S86" s="175">
        <f>'EAST-EGM-GL'!S86+'EAST-LRC-GL'!S86</f>
        <v>0</v>
      </c>
      <c r="T86" s="175">
        <f>'EAST-EGM-GL'!T86+'EAST-LRC-GL'!T86</f>
        <v>0</v>
      </c>
      <c r="U86" s="175">
        <f>'EAST-EGM-GL'!U86+'EAST-LRC-GL'!U86</f>
        <v>0</v>
      </c>
      <c r="V86" s="175">
        <f>'EAST-EGM-GL'!V86+'EAST-LRC-GL'!V86</f>
        <v>0</v>
      </c>
      <c r="W86" s="175">
        <f>'EAST-EGM-GL'!W86+'EAST-LRC-GL'!W86</f>
        <v>0</v>
      </c>
      <c r="X86" s="175">
        <f>'EAST-EGM-GL'!X86+'EAST-LRC-GL'!X86</f>
        <v>0</v>
      </c>
      <c r="Y86" s="175">
        <f>'EAST-EGM-GL'!Y86+'EAST-LRC-GL'!Y86</f>
        <v>0</v>
      </c>
      <c r="Z86" s="175">
        <f>'EAST-EGM-GL'!Z86+'EAST-LRC-GL'!Z86</f>
        <v>0</v>
      </c>
      <c r="AA86" s="175">
        <f>'EAST-EGM-GL'!AA86+'EAST-LRC-GL'!AA86</f>
        <v>0</v>
      </c>
      <c r="AB86" s="175">
        <f>'EAST-EGM-GL'!AB86+'EAST-LRC-GL'!AB86</f>
        <v>0</v>
      </c>
      <c r="AC86" s="175">
        <f>'EAST-EGM-GL'!AC86+'EAST-LRC-GL'!AC86</f>
        <v>0</v>
      </c>
      <c r="AD86" s="175">
        <f>'EAST-EGM-GL'!AD86+'EAST-LRC-GL'!AD86</f>
        <v>0</v>
      </c>
      <c r="AE86" s="175">
        <f>'EAST-EGM-GL'!AE86+'EAST-LRC-GL'!AE86</f>
        <v>0</v>
      </c>
    </row>
    <row r="87" spans="1:67" s="3" customFormat="1" x14ac:dyDescent="0.2">
      <c r="A87" s="174"/>
      <c r="C87" s="10" t="s">
        <v>74</v>
      </c>
      <c r="D87" s="176">
        <f t="shared" si="25"/>
        <v>0</v>
      </c>
      <c r="E87" s="176">
        <f t="shared" si="25"/>
        <v>0</v>
      </c>
      <c r="F87" s="176">
        <f>'EAST-EGM-GL'!F87+'EAST-LRC-GL'!F87</f>
        <v>0</v>
      </c>
      <c r="G87" s="176">
        <f>'EAST-EGM-GL'!G87+'EAST-LRC-GL'!G87</f>
        <v>0</v>
      </c>
      <c r="H87" s="176">
        <f>'EAST-EGM-GL'!H87+'EAST-LRC-GL'!H87</f>
        <v>0</v>
      </c>
      <c r="I87" s="176">
        <f>'EAST-EGM-GL'!I87+'EAST-LRC-GL'!I87</f>
        <v>0</v>
      </c>
      <c r="J87" s="176">
        <f>'EAST-EGM-GL'!J87+'EAST-LRC-GL'!J87</f>
        <v>0</v>
      </c>
      <c r="K87" s="176">
        <f>'EAST-EGM-GL'!K87+'EAST-LRC-GL'!K87</f>
        <v>0</v>
      </c>
      <c r="L87" s="176">
        <f>'EAST-EGM-GL'!L87+'EAST-LRC-GL'!L87</f>
        <v>0</v>
      </c>
      <c r="M87" s="176">
        <f>'EAST-EGM-GL'!M87+'EAST-LRC-GL'!M87</f>
        <v>0</v>
      </c>
      <c r="N87" s="176">
        <f>'EAST-EGM-GL'!N87+'EAST-LRC-GL'!N87</f>
        <v>0</v>
      </c>
      <c r="O87" s="176">
        <f>'EAST-EGM-GL'!O87+'EAST-LRC-GL'!O87</f>
        <v>0</v>
      </c>
      <c r="P87" s="176">
        <f>'EAST-EGM-GL'!P87+'EAST-LRC-GL'!P87</f>
        <v>0</v>
      </c>
      <c r="Q87" s="176">
        <f>'EAST-EGM-GL'!Q87+'EAST-LRC-GL'!Q87</f>
        <v>0</v>
      </c>
      <c r="R87" s="176">
        <f>'EAST-EGM-GL'!R87+'EAST-LRC-GL'!R87</f>
        <v>0</v>
      </c>
      <c r="S87" s="176">
        <f>'EAST-EGM-GL'!S87+'EAST-LRC-GL'!S87</f>
        <v>0</v>
      </c>
      <c r="T87" s="176">
        <f>'EAST-EGM-GL'!T87+'EAST-LRC-GL'!T87</f>
        <v>0</v>
      </c>
      <c r="U87" s="176">
        <f>'EAST-EGM-GL'!U87+'EAST-LRC-GL'!U87</f>
        <v>0</v>
      </c>
      <c r="V87" s="176">
        <f>'EAST-EGM-GL'!V87+'EAST-LRC-GL'!V87</f>
        <v>0</v>
      </c>
      <c r="W87" s="176">
        <f>'EAST-EGM-GL'!W87+'EAST-LRC-GL'!W87</f>
        <v>0</v>
      </c>
      <c r="X87" s="176">
        <f>'EAST-EGM-GL'!X87+'EAST-LRC-GL'!X87</f>
        <v>0</v>
      </c>
      <c r="Y87" s="176">
        <f>'EAST-EGM-GL'!Y87+'EAST-LRC-GL'!Y87</f>
        <v>0</v>
      </c>
      <c r="Z87" s="176">
        <f>'EAST-EGM-GL'!Z87+'EAST-LRC-GL'!Z87</f>
        <v>0</v>
      </c>
      <c r="AA87" s="176">
        <f>'EAST-EGM-GL'!AA87+'EAST-LRC-GL'!AA87</f>
        <v>0</v>
      </c>
      <c r="AB87" s="176">
        <f>'EAST-EGM-GL'!AB87+'EAST-LRC-GL'!AB87</f>
        <v>0</v>
      </c>
      <c r="AC87" s="176">
        <f>'EAST-EGM-GL'!AC87+'EAST-LRC-GL'!AC87</f>
        <v>0</v>
      </c>
      <c r="AD87" s="176">
        <f>'EAST-EGM-GL'!AD87+'EAST-LRC-GL'!AD87</f>
        <v>0</v>
      </c>
      <c r="AE87" s="176">
        <f>'EAST-EGM-GL'!AE87+'EAST-LRC-GL'!AE87</f>
        <v>0</v>
      </c>
    </row>
    <row r="88" spans="1:67" s="3" customFormat="1" x14ac:dyDescent="0.2">
      <c r="A88" s="174"/>
      <c r="C88" s="10" t="s">
        <v>75</v>
      </c>
      <c r="D88" s="177">
        <f t="shared" si="25"/>
        <v>0</v>
      </c>
      <c r="E88" s="177">
        <f t="shared" si="25"/>
        <v>-9800</v>
      </c>
      <c r="F88" s="177">
        <f>'EAST-EGM-GL'!F88+'EAST-LRC-GL'!F88</f>
        <v>0</v>
      </c>
      <c r="G88" s="177">
        <f>'EAST-EGM-GL'!G88+'EAST-LRC-GL'!G88</f>
        <v>-9800</v>
      </c>
      <c r="H88" s="177">
        <f>'EAST-EGM-GL'!H88+'EAST-LRC-GL'!H88</f>
        <v>0</v>
      </c>
      <c r="I88" s="177">
        <f>'EAST-EGM-GL'!I88+'EAST-LRC-GL'!I88</f>
        <v>0</v>
      </c>
      <c r="J88" s="177">
        <f>'EAST-EGM-GL'!J88+'EAST-LRC-GL'!J88</f>
        <v>0</v>
      </c>
      <c r="K88" s="177">
        <f>'EAST-EGM-GL'!K88+'EAST-LRC-GL'!K88</f>
        <v>0</v>
      </c>
      <c r="L88" s="177">
        <f>'EAST-EGM-GL'!L88+'EAST-LRC-GL'!L88</f>
        <v>0</v>
      </c>
      <c r="M88" s="177">
        <f>'EAST-EGM-GL'!M88+'EAST-LRC-GL'!M88</f>
        <v>0</v>
      </c>
      <c r="N88" s="177">
        <f>'EAST-EGM-GL'!N88+'EAST-LRC-GL'!N88</f>
        <v>0</v>
      </c>
      <c r="O88" s="177">
        <f>'EAST-EGM-GL'!O88+'EAST-LRC-GL'!O88</f>
        <v>0</v>
      </c>
      <c r="P88" s="177">
        <f>'EAST-EGM-GL'!P88+'EAST-LRC-GL'!P88</f>
        <v>0</v>
      </c>
      <c r="Q88" s="177">
        <f>'EAST-EGM-GL'!Q88+'EAST-LRC-GL'!Q88</f>
        <v>0</v>
      </c>
      <c r="R88" s="177">
        <f>'EAST-EGM-GL'!R88+'EAST-LRC-GL'!R88</f>
        <v>0</v>
      </c>
      <c r="S88" s="177">
        <f>'EAST-EGM-GL'!S88+'EAST-LRC-GL'!S88</f>
        <v>0</v>
      </c>
      <c r="T88" s="177">
        <f>'EAST-EGM-GL'!T88+'EAST-LRC-GL'!T88</f>
        <v>0</v>
      </c>
      <c r="U88" s="177">
        <f>'EAST-EGM-GL'!U88+'EAST-LRC-GL'!U88</f>
        <v>0</v>
      </c>
      <c r="V88" s="177">
        <f>'EAST-EGM-GL'!V88+'EAST-LRC-GL'!V88</f>
        <v>0</v>
      </c>
      <c r="W88" s="177">
        <f>'EAST-EGM-GL'!W88+'EAST-LRC-GL'!W88</f>
        <v>0</v>
      </c>
      <c r="X88" s="177">
        <f>'EAST-EGM-GL'!X88+'EAST-LRC-GL'!X88</f>
        <v>0</v>
      </c>
      <c r="Y88" s="177">
        <f>'EAST-EGM-GL'!Y88+'EAST-LRC-GL'!Y88</f>
        <v>0</v>
      </c>
      <c r="Z88" s="177">
        <f>'EAST-EGM-GL'!Z88+'EAST-LRC-GL'!Z88</f>
        <v>0</v>
      </c>
      <c r="AA88" s="177">
        <f>'EAST-EGM-GL'!AA88+'EAST-LRC-GL'!AA88</f>
        <v>0</v>
      </c>
      <c r="AB88" s="177">
        <f>'EAST-EGM-GL'!AB88+'EAST-LRC-GL'!AB88</f>
        <v>0</v>
      </c>
      <c r="AC88" s="177">
        <f>'EAST-EGM-GL'!AC88+'EAST-LRC-GL'!AC88</f>
        <v>0</v>
      </c>
      <c r="AD88" s="177">
        <f>'EAST-EGM-GL'!AD88+'EAST-LRC-GL'!AD88</f>
        <v>0</v>
      </c>
      <c r="AE88" s="177">
        <f>'EAST-EGM-GL'!AE88+'EAST-LRC-GL'!AE88</f>
        <v>0</v>
      </c>
    </row>
    <row r="89" spans="1:67" s="44" customFormat="1" ht="20.25" customHeight="1" x14ac:dyDescent="0.2">
      <c r="A89" s="181"/>
      <c r="B89" s="182"/>
      <c r="C89" s="187" t="s">
        <v>180</v>
      </c>
      <c r="D89" s="185">
        <f>SUM(D86:D88)</f>
        <v>0</v>
      </c>
      <c r="E89" s="185">
        <f t="shared" ref="E89:M89" si="26">SUM(E86:E88)</f>
        <v>219324</v>
      </c>
      <c r="F89" s="185">
        <f t="shared" si="26"/>
        <v>0</v>
      </c>
      <c r="G89" s="185">
        <f t="shared" si="26"/>
        <v>219324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5" customFormat="1" ht="20.25" customHeight="1" x14ac:dyDescent="0.2">
      <c r="A91" s="188"/>
      <c r="B91" s="189"/>
      <c r="C91" s="187" t="s">
        <v>183</v>
      </c>
      <c r="D91" s="190">
        <f>+D82+D89</f>
        <v>2250</v>
      </c>
      <c r="E91" s="190">
        <f t="shared" ref="E91:M91" si="28">+E82+E89</f>
        <v>-4344323.3039999977</v>
      </c>
      <c r="F91" s="190">
        <f t="shared" si="28"/>
        <v>0</v>
      </c>
      <c r="G91" s="190">
        <f t="shared" si="28"/>
        <v>-6248428.0800000001</v>
      </c>
      <c r="H91" s="190">
        <f t="shared" si="28"/>
        <v>2250</v>
      </c>
      <c r="I91" s="190">
        <f t="shared" si="28"/>
        <v>3975612.9790000161</v>
      </c>
      <c r="J91" s="190">
        <f t="shared" si="28"/>
        <v>0</v>
      </c>
      <c r="K91" s="190">
        <f t="shared" si="28"/>
        <v>14738600.435000002</v>
      </c>
      <c r="L91" s="190">
        <f t="shared" si="28"/>
        <v>0</v>
      </c>
      <c r="M91" s="190">
        <f t="shared" si="28"/>
        <v>-56217.350000000311</v>
      </c>
      <c r="N91" s="190">
        <f t="shared" ref="N91:AE91" si="29">+N82+N89</f>
        <v>0</v>
      </c>
      <c r="O91" s="190">
        <f t="shared" si="29"/>
        <v>-82113.101000000024</v>
      </c>
      <c r="P91" s="190">
        <f t="shared" si="29"/>
        <v>0</v>
      </c>
      <c r="Q91" s="190">
        <f t="shared" si="29"/>
        <v>-16312452.987000002</v>
      </c>
      <c r="R91" s="190">
        <f t="shared" si="29"/>
        <v>0</v>
      </c>
      <c r="S91" s="190">
        <f t="shared" si="29"/>
        <v>-146467.64800000004</v>
      </c>
      <c r="T91" s="190">
        <f t="shared" si="29"/>
        <v>0</v>
      </c>
      <c r="U91" s="190">
        <f t="shared" si="29"/>
        <v>-8961.0519999999888</v>
      </c>
      <c r="V91" s="190">
        <f t="shared" si="29"/>
        <v>0</v>
      </c>
      <c r="W91" s="190">
        <f t="shared" si="29"/>
        <v>-103260.947</v>
      </c>
      <c r="X91" s="190">
        <f t="shared" si="29"/>
        <v>0</v>
      </c>
      <c r="Y91" s="190">
        <f t="shared" si="29"/>
        <v>-99955.82</v>
      </c>
      <c r="Z91" s="190">
        <f t="shared" si="29"/>
        <v>0</v>
      </c>
      <c r="AA91" s="190">
        <f t="shared" si="29"/>
        <v>2194.6569999999774</v>
      </c>
      <c r="AB91" s="190">
        <f t="shared" si="29"/>
        <v>0</v>
      </c>
      <c r="AC91" s="190">
        <f t="shared" si="29"/>
        <v>-2874.39</v>
      </c>
      <c r="AD91" s="190">
        <f t="shared" si="29"/>
        <v>0</v>
      </c>
      <c r="AE91" s="190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N29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9">
        <f>+Actuals!E204</f>
        <v>0</v>
      </c>
      <c r="I11" s="130">
        <f>+Actuals!F204</f>
        <v>0</v>
      </c>
      <c r="J11" s="129">
        <f>+Actuals!G204</f>
        <v>0</v>
      </c>
      <c r="K11" s="130">
        <f>+Actuals!H204</f>
        <v>0</v>
      </c>
      <c r="L11" s="129">
        <f>+Actuals!I204</f>
        <v>0</v>
      </c>
      <c r="M11" s="130">
        <f>+Actuals!J204</f>
        <v>0</v>
      </c>
      <c r="N11" s="129">
        <f>+Actuals!K204</f>
        <v>0</v>
      </c>
      <c r="O11" s="130">
        <f>+Actuals!L204</f>
        <v>0</v>
      </c>
      <c r="P11" s="129">
        <f>+Actuals!M204</f>
        <v>0</v>
      </c>
      <c r="Q11" s="130">
        <f>+Actuals!N204</f>
        <v>0</v>
      </c>
      <c r="R11" s="129">
        <f>+Actuals!O204</f>
        <v>0</v>
      </c>
      <c r="S11" s="130">
        <f>+Actuals!P204</f>
        <v>0</v>
      </c>
      <c r="T11" s="129">
        <f>+Actuals!Q204</f>
        <v>0</v>
      </c>
      <c r="U11" s="130">
        <f>+Actuals!R204</f>
        <v>0</v>
      </c>
      <c r="V11" s="129">
        <f>+Actuals!S204</f>
        <v>0</v>
      </c>
      <c r="W11" s="130">
        <f>+Actuals!T204</f>
        <v>0</v>
      </c>
      <c r="X11" s="129">
        <f>+Actuals!U204</f>
        <v>0</v>
      </c>
      <c r="Y11" s="130">
        <f>+Actuals!V204</f>
        <v>0</v>
      </c>
      <c r="Z11" s="129">
        <f>+Actuals!W204</f>
        <v>0</v>
      </c>
      <c r="AA11" s="130">
        <f>+Actuals!X204</f>
        <v>0</v>
      </c>
      <c r="AB11" s="129">
        <f>+Actuals!Y204</f>
        <v>0</v>
      </c>
      <c r="AC11" s="130">
        <f>+Actuals!Z204</f>
        <v>0</v>
      </c>
      <c r="AD11" s="129">
        <f>+Actuals!AA204</f>
        <v>0</v>
      </c>
      <c r="AE11" s="130">
        <f>+Actuals!AB204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9">
        <f>+Actuals!E205</f>
        <v>0</v>
      </c>
      <c r="I12" s="130">
        <f>+Actuals!F205</f>
        <v>0</v>
      </c>
      <c r="J12" s="129">
        <f>+Actuals!G205</f>
        <v>0</v>
      </c>
      <c r="K12" s="130">
        <f>+Actuals!H205</f>
        <v>0</v>
      </c>
      <c r="L12" s="129">
        <f>+Actuals!I205</f>
        <v>0</v>
      </c>
      <c r="M12" s="130">
        <f>+Actuals!J205</f>
        <v>0</v>
      </c>
      <c r="N12" s="129">
        <f>+Actuals!K205</f>
        <v>0</v>
      </c>
      <c r="O12" s="130">
        <f>+Actuals!L205</f>
        <v>0</v>
      </c>
      <c r="P12" s="129">
        <f>+Actuals!M205</f>
        <v>0</v>
      </c>
      <c r="Q12" s="130">
        <f>+Actuals!N205</f>
        <v>0</v>
      </c>
      <c r="R12" s="129">
        <f>+Actuals!O205</f>
        <v>0</v>
      </c>
      <c r="S12" s="130">
        <f>+Actuals!P205</f>
        <v>0</v>
      </c>
      <c r="T12" s="129">
        <f>+Actuals!Q205</f>
        <v>0</v>
      </c>
      <c r="U12" s="130">
        <f>+Actuals!R205</f>
        <v>0</v>
      </c>
      <c r="V12" s="129">
        <f>+Actuals!S205</f>
        <v>0</v>
      </c>
      <c r="W12" s="130">
        <f>+Actuals!T205</f>
        <v>0</v>
      </c>
      <c r="X12" s="129">
        <f>+Actuals!U205</f>
        <v>0</v>
      </c>
      <c r="Y12" s="130">
        <f>+Actuals!V205</f>
        <v>0</v>
      </c>
      <c r="Z12" s="129">
        <f>+Actuals!W205</f>
        <v>0</v>
      </c>
      <c r="AA12" s="130">
        <f>+Actuals!X205</f>
        <v>0</v>
      </c>
      <c r="AB12" s="129">
        <f>+Actuals!Y205</f>
        <v>0</v>
      </c>
      <c r="AC12" s="130">
        <f>+Actuals!Z205</f>
        <v>0</v>
      </c>
      <c r="AD12" s="129">
        <f>+Actuals!AA205</f>
        <v>0</v>
      </c>
      <c r="AE12" s="130">
        <f>+Actuals!AB205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9">
        <f>+Actuals!E206</f>
        <v>0</v>
      </c>
      <c r="I13" s="130">
        <f>+Actuals!F206</f>
        <v>0</v>
      </c>
      <c r="J13" s="129">
        <f>+Actuals!G206</f>
        <v>0</v>
      </c>
      <c r="K13" s="130">
        <f>+Actuals!H206</f>
        <v>0</v>
      </c>
      <c r="L13" s="129">
        <f>+Actuals!I206</f>
        <v>0</v>
      </c>
      <c r="M13" s="130">
        <f>+Actuals!J206</f>
        <v>0</v>
      </c>
      <c r="N13" s="129">
        <f>+Actuals!K206</f>
        <v>0</v>
      </c>
      <c r="O13" s="130">
        <f>+Actuals!L206</f>
        <v>0</v>
      </c>
      <c r="P13" s="129">
        <f>+Actuals!M206</f>
        <v>0</v>
      </c>
      <c r="Q13" s="130">
        <f>+Actuals!N206</f>
        <v>0</v>
      </c>
      <c r="R13" s="129">
        <f>+Actuals!O206</f>
        <v>0</v>
      </c>
      <c r="S13" s="130">
        <f>+Actuals!P206</f>
        <v>0</v>
      </c>
      <c r="T13" s="129">
        <f>+Actuals!Q206</f>
        <v>0</v>
      </c>
      <c r="U13" s="130">
        <f>+Actuals!R206</f>
        <v>0</v>
      </c>
      <c r="V13" s="129">
        <f>+Actuals!S206</f>
        <v>0</v>
      </c>
      <c r="W13" s="130">
        <f>+Actuals!T206</f>
        <v>0</v>
      </c>
      <c r="X13" s="129">
        <f>+Actuals!U206</f>
        <v>0</v>
      </c>
      <c r="Y13" s="130">
        <f>+Actuals!V206</f>
        <v>0</v>
      </c>
      <c r="Z13" s="129">
        <f>+Actuals!W206</f>
        <v>0</v>
      </c>
      <c r="AA13" s="130">
        <f>+Actuals!X206</f>
        <v>0</v>
      </c>
      <c r="AB13" s="129">
        <f>+Actuals!Y206</f>
        <v>0</v>
      </c>
      <c r="AC13" s="130">
        <f>+Actuals!Z206</f>
        <v>0</v>
      </c>
      <c r="AD13" s="129">
        <f>+Actuals!AA206</f>
        <v>0</v>
      </c>
      <c r="AE13" s="130">
        <f>+Actuals!AB206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9">
        <f>+Actuals!E207</f>
        <v>0</v>
      </c>
      <c r="I14" s="130">
        <f>+Actuals!F207</f>
        <v>0</v>
      </c>
      <c r="J14" s="129">
        <f>+Actuals!G207</f>
        <v>0</v>
      </c>
      <c r="K14" s="130">
        <f>+Actuals!H207</f>
        <v>0</v>
      </c>
      <c r="L14" s="129">
        <f>+Actuals!I207</f>
        <v>0</v>
      </c>
      <c r="M14" s="130">
        <f>+Actuals!J207</f>
        <v>0</v>
      </c>
      <c r="N14" s="129">
        <f>+Actuals!K207</f>
        <v>0</v>
      </c>
      <c r="O14" s="130">
        <f>+Actuals!L207</f>
        <v>0</v>
      </c>
      <c r="P14" s="129">
        <f>+Actuals!M207</f>
        <v>0</v>
      </c>
      <c r="Q14" s="130">
        <f>+Actuals!N207</f>
        <v>0</v>
      </c>
      <c r="R14" s="129">
        <f>+Actuals!O207</f>
        <v>0</v>
      </c>
      <c r="S14" s="130">
        <f>+Actuals!P207</f>
        <v>0</v>
      </c>
      <c r="T14" s="129">
        <f>+Actuals!Q207</f>
        <v>0</v>
      </c>
      <c r="U14" s="130">
        <f>+Actuals!R207</f>
        <v>0</v>
      </c>
      <c r="V14" s="129">
        <f>+Actuals!S207</f>
        <v>0</v>
      </c>
      <c r="W14" s="130">
        <f>+Actuals!T207</f>
        <v>0</v>
      </c>
      <c r="X14" s="129">
        <f>+Actuals!U207</f>
        <v>0</v>
      </c>
      <c r="Y14" s="130">
        <f>+Actuals!V207</f>
        <v>0</v>
      </c>
      <c r="Z14" s="129">
        <f>+Actuals!W207</f>
        <v>0</v>
      </c>
      <c r="AA14" s="130">
        <f>+Actuals!X207</f>
        <v>0</v>
      </c>
      <c r="AB14" s="129">
        <f>+Actuals!Y207</f>
        <v>0</v>
      </c>
      <c r="AC14" s="130">
        <f>+Actuals!Z207</f>
        <v>0</v>
      </c>
      <c r="AD14" s="129">
        <f>+Actuals!AA207</f>
        <v>0</v>
      </c>
      <c r="AE14" s="130">
        <f>+Actuals!AB207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9">
        <f>+Actuals!E208</f>
        <v>0</v>
      </c>
      <c r="I15" s="130">
        <f>+Actuals!F208</f>
        <v>0</v>
      </c>
      <c r="J15" s="129">
        <f>+Actuals!G208</f>
        <v>0</v>
      </c>
      <c r="K15" s="130">
        <f>+Actuals!H208</f>
        <v>0</v>
      </c>
      <c r="L15" s="129">
        <f>+Actuals!I208</f>
        <v>0</v>
      </c>
      <c r="M15" s="130">
        <f>+Actuals!J208</f>
        <v>0</v>
      </c>
      <c r="N15" s="129">
        <f>+Actuals!K208</f>
        <v>0</v>
      </c>
      <c r="O15" s="130">
        <f>+Actuals!L208</f>
        <v>0</v>
      </c>
      <c r="P15" s="129">
        <f>+Actuals!M208</f>
        <v>0</v>
      </c>
      <c r="Q15" s="130">
        <f>+Actuals!N208</f>
        <v>0</v>
      </c>
      <c r="R15" s="129">
        <f>+Actuals!O208</f>
        <v>0</v>
      </c>
      <c r="S15" s="130">
        <f>+Actuals!P208</f>
        <v>0</v>
      </c>
      <c r="T15" s="129">
        <f>+Actuals!Q208</f>
        <v>0</v>
      </c>
      <c r="U15" s="130">
        <f>+Actuals!R208</f>
        <v>0</v>
      </c>
      <c r="V15" s="129">
        <f>+Actuals!S208</f>
        <v>0</v>
      </c>
      <c r="W15" s="130">
        <f>+Actuals!T208</f>
        <v>0</v>
      </c>
      <c r="X15" s="129">
        <f>+Actuals!U208</f>
        <v>0</v>
      </c>
      <c r="Y15" s="130">
        <f>+Actuals!V208</f>
        <v>0</v>
      </c>
      <c r="Z15" s="129">
        <f>+Actuals!W208</f>
        <v>0</v>
      </c>
      <c r="AA15" s="130">
        <f>+Actuals!X208</f>
        <v>0</v>
      </c>
      <c r="AB15" s="129">
        <f>+Actuals!Y208</f>
        <v>0</v>
      </c>
      <c r="AC15" s="130">
        <f>+Actuals!Z208</f>
        <v>0</v>
      </c>
      <c r="AD15" s="129">
        <f>+Actuals!AA208</f>
        <v>0</v>
      </c>
      <c r="AE15" s="130">
        <f>+Actuals!AB208</f>
        <v>0</v>
      </c>
    </row>
    <row r="16" spans="1:31" x14ac:dyDescent="0.2">
      <c r="A16" s="9"/>
      <c r="B16" s="7" t="s">
        <v>33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9">
        <f>+Actuals!E209</f>
        <v>0</v>
      </c>
      <c r="I19" s="130">
        <f>+Actuals!F209</f>
        <v>0</v>
      </c>
      <c r="J19" s="129">
        <f>+Actuals!G209</f>
        <v>0</v>
      </c>
      <c r="K19" s="130">
        <f>+Actuals!H209</f>
        <v>0</v>
      </c>
      <c r="L19" s="129">
        <f>+Actuals!I209</f>
        <v>0</v>
      </c>
      <c r="M19" s="130">
        <f>+Actuals!J209</f>
        <v>0</v>
      </c>
      <c r="N19" s="129">
        <f>+Actuals!K209</f>
        <v>0</v>
      </c>
      <c r="O19" s="130">
        <f>+Actuals!L209</f>
        <v>0</v>
      </c>
      <c r="P19" s="129">
        <f>+Actuals!M209</f>
        <v>0</v>
      </c>
      <c r="Q19" s="130">
        <f>+Actuals!N209</f>
        <v>0</v>
      </c>
      <c r="R19" s="129">
        <f>+Actuals!O209</f>
        <v>0</v>
      </c>
      <c r="S19" s="130">
        <f>+Actuals!P209</f>
        <v>0</v>
      </c>
      <c r="T19" s="129">
        <f>+Actuals!Q209</f>
        <v>0</v>
      </c>
      <c r="U19" s="130">
        <f>+Actuals!R209</f>
        <v>0</v>
      </c>
      <c r="V19" s="129">
        <f>+Actuals!S209</f>
        <v>0</v>
      </c>
      <c r="W19" s="130">
        <f>+Actuals!T209</f>
        <v>0</v>
      </c>
      <c r="X19" s="129">
        <f>+Actuals!U209</f>
        <v>0</v>
      </c>
      <c r="Y19" s="130">
        <f>+Actuals!V209</f>
        <v>0</v>
      </c>
      <c r="Z19" s="129">
        <f>+Actuals!W209</f>
        <v>0</v>
      </c>
      <c r="AA19" s="130">
        <f>+Actuals!X209</f>
        <v>0</v>
      </c>
      <c r="AB19" s="129">
        <f>+Actuals!Y209</f>
        <v>0</v>
      </c>
      <c r="AC19" s="130">
        <f>+Actuals!Z209</f>
        <v>0</v>
      </c>
      <c r="AD19" s="129">
        <f>+Actuals!AA209</f>
        <v>0</v>
      </c>
      <c r="AE19" s="130">
        <f>+Actuals!AB209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9">
        <f>+Actuals!E210</f>
        <v>0</v>
      </c>
      <c r="I20" s="130">
        <f>+Actuals!F210</f>
        <v>0</v>
      </c>
      <c r="J20" s="129">
        <f>+Actuals!G210</f>
        <v>0</v>
      </c>
      <c r="K20" s="130">
        <f>+Actuals!H210</f>
        <v>0</v>
      </c>
      <c r="L20" s="129">
        <f>+Actuals!I210</f>
        <v>0</v>
      </c>
      <c r="M20" s="130">
        <f>+Actuals!J210</f>
        <v>0</v>
      </c>
      <c r="N20" s="129">
        <f>+Actuals!K210</f>
        <v>0</v>
      </c>
      <c r="O20" s="130">
        <f>+Actuals!L210</f>
        <v>0</v>
      </c>
      <c r="P20" s="129">
        <f>+Actuals!M210</f>
        <v>0</v>
      </c>
      <c r="Q20" s="130">
        <f>+Actuals!N210</f>
        <v>0</v>
      </c>
      <c r="R20" s="129">
        <f>+Actuals!O210</f>
        <v>0</v>
      </c>
      <c r="S20" s="130">
        <f>+Actuals!P210</f>
        <v>0</v>
      </c>
      <c r="T20" s="129">
        <f>+Actuals!Q210</f>
        <v>0</v>
      </c>
      <c r="U20" s="130">
        <f>+Actuals!R210</f>
        <v>0</v>
      </c>
      <c r="V20" s="129">
        <f>+Actuals!S210</f>
        <v>0</v>
      </c>
      <c r="W20" s="130">
        <f>+Actuals!T210</f>
        <v>0</v>
      </c>
      <c r="X20" s="129">
        <f>+Actuals!U210</f>
        <v>0</v>
      </c>
      <c r="Y20" s="130">
        <f>+Actuals!V210</f>
        <v>0</v>
      </c>
      <c r="Z20" s="129">
        <f>+Actuals!W210</f>
        <v>0</v>
      </c>
      <c r="AA20" s="130">
        <f>+Actuals!X210</f>
        <v>0</v>
      </c>
      <c r="AB20" s="129">
        <f>+Actuals!Y210</f>
        <v>0</v>
      </c>
      <c r="AC20" s="130">
        <f>+Actuals!Z210</f>
        <v>0</v>
      </c>
      <c r="AD20" s="129">
        <f>+Actuals!AA210</f>
        <v>0</v>
      </c>
      <c r="AE20" s="130">
        <f>+Actuals!AB210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9">
        <f>+Actuals!E211</f>
        <v>0</v>
      </c>
      <c r="I21" s="130">
        <f>+Actuals!F211</f>
        <v>0</v>
      </c>
      <c r="J21" s="129">
        <f>+Actuals!G211</f>
        <v>0</v>
      </c>
      <c r="K21" s="130">
        <f>+Actuals!H211</f>
        <v>0</v>
      </c>
      <c r="L21" s="129">
        <f>+Actuals!I211</f>
        <v>0</v>
      </c>
      <c r="M21" s="130">
        <f>+Actuals!J211</f>
        <v>0</v>
      </c>
      <c r="N21" s="129">
        <f>+Actuals!K211</f>
        <v>0</v>
      </c>
      <c r="O21" s="130">
        <f>+Actuals!L211</f>
        <v>0</v>
      </c>
      <c r="P21" s="129">
        <f>+Actuals!M211</f>
        <v>0</v>
      </c>
      <c r="Q21" s="130">
        <f>+Actuals!N211</f>
        <v>0</v>
      </c>
      <c r="R21" s="129">
        <f>+Actuals!O211</f>
        <v>0</v>
      </c>
      <c r="S21" s="130">
        <f>+Actuals!P211</f>
        <v>0</v>
      </c>
      <c r="T21" s="129">
        <f>+Actuals!Q211</f>
        <v>0</v>
      </c>
      <c r="U21" s="130">
        <f>+Actuals!R211</f>
        <v>0</v>
      </c>
      <c r="V21" s="129">
        <f>+Actuals!S211</f>
        <v>0</v>
      </c>
      <c r="W21" s="130">
        <f>+Actuals!T211</f>
        <v>0</v>
      </c>
      <c r="X21" s="129">
        <f>+Actuals!U211</f>
        <v>0</v>
      </c>
      <c r="Y21" s="130">
        <f>+Actuals!V211</f>
        <v>0</v>
      </c>
      <c r="Z21" s="129">
        <f>+Actuals!W211</f>
        <v>0</v>
      </c>
      <c r="AA21" s="130">
        <f>+Actuals!X211</f>
        <v>0</v>
      </c>
      <c r="AB21" s="129">
        <f>+Actuals!Y211</f>
        <v>0</v>
      </c>
      <c r="AC21" s="130">
        <f>+Actuals!Z211</f>
        <v>0</v>
      </c>
      <c r="AD21" s="129">
        <f>+Actuals!AA211</f>
        <v>0</v>
      </c>
      <c r="AE21" s="130">
        <f>+Actuals!AB211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9">
        <f>+Actuals!E212</f>
        <v>0</v>
      </c>
      <c r="I22" s="130">
        <f>+Actuals!F212</f>
        <v>0</v>
      </c>
      <c r="J22" s="129">
        <f>+Actuals!G212</f>
        <v>0</v>
      </c>
      <c r="K22" s="130">
        <f>+Actuals!H212</f>
        <v>0</v>
      </c>
      <c r="L22" s="129">
        <f>+Actuals!I212</f>
        <v>0</v>
      </c>
      <c r="M22" s="130">
        <f>+Actuals!J212</f>
        <v>0</v>
      </c>
      <c r="N22" s="129">
        <f>+Actuals!K212</f>
        <v>0</v>
      </c>
      <c r="O22" s="130">
        <f>+Actuals!L212</f>
        <v>0</v>
      </c>
      <c r="P22" s="129">
        <f>+Actuals!M212</f>
        <v>0</v>
      </c>
      <c r="Q22" s="130">
        <f>+Actuals!N212</f>
        <v>0</v>
      </c>
      <c r="R22" s="129">
        <f>+Actuals!O212</f>
        <v>0</v>
      </c>
      <c r="S22" s="130">
        <f>+Actuals!P212</f>
        <v>0</v>
      </c>
      <c r="T22" s="129">
        <f>+Actuals!Q212</f>
        <v>0</v>
      </c>
      <c r="U22" s="130">
        <f>+Actuals!R212</f>
        <v>0</v>
      </c>
      <c r="V22" s="129">
        <f>+Actuals!S212</f>
        <v>0</v>
      </c>
      <c r="W22" s="130">
        <f>+Actuals!T212</f>
        <v>0</v>
      </c>
      <c r="X22" s="129">
        <f>+Actuals!U212</f>
        <v>0</v>
      </c>
      <c r="Y22" s="130">
        <f>+Actuals!V212</f>
        <v>0</v>
      </c>
      <c r="Z22" s="129">
        <f>+Actuals!W212</f>
        <v>0</v>
      </c>
      <c r="AA22" s="130">
        <f>+Actuals!X212</f>
        <v>0</v>
      </c>
      <c r="AB22" s="129">
        <f>+Actuals!Y212</f>
        <v>0</v>
      </c>
      <c r="AC22" s="130">
        <f>+Actuals!Z212</f>
        <v>0</v>
      </c>
      <c r="AD22" s="129">
        <f>+Actuals!AA212</f>
        <v>0</v>
      </c>
      <c r="AE22" s="130">
        <f>+Actuals!AB212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9">
        <f>+Actuals!E213</f>
        <v>0</v>
      </c>
      <c r="I23" s="130">
        <f>+Actuals!F213</f>
        <v>0</v>
      </c>
      <c r="J23" s="129">
        <f>+Actuals!G213</f>
        <v>0</v>
      </c>
      <c r="K23" s="130">
        <f>+Actuals!H213</f>
        <v>0</v>
      </c>
      <c r="L23" s="129">
        <f>+Actuals!I213</f>
        <v>0</v>
      </c>
      <c r="M23" s="130">
        <f>+Actuals!J213</f>
        <v>0</v>
      </c>
      <c r="N23" s="129">
        <f>+Actuals!K213</f>
        <v>0</v>
      </c>
      <c r="O23" s="130">
        <f>+Actuals!L213</f>
        <v>0</v>
      </c>
      <c r="P23" s="129">
        <f>+Actuals!M213</f>
        <v>0</v>
      </c>
      <c r="Q23" s="130">
        <f>+Actuals!N213</f>
        <v>0</v>
      </c>
      <c r="R23" s="129">
        <f>+Actuals!O213</f>
        <v>0</v>
      </c>
      <c r="S23" s="130">
        <f>+Actuals!P213</f>
        <v>0</v>
      </c>
      <c r="T23" s="129">
        <f>+Actuals!Q213</f>
        <v>0</v>
      </c>
      <c r="U23" s="130">
        <f>+Actuals!R213</f>
        <v>0</v>
      </c>
      <c r="V23" s="129">
        <f>+Actuals!S213</f>
        <v>0</v>
      </c>
      <c r="W23" s="130">
        <f>+Actuals!T213</f>
        <v>0</v>
      </c>
      <c r="X23" s="129">
        <f>+Actuals!U213</f>
        <v>0</v>
      </c>
      <c r="Y23" s="130">
        <f>+Actuals!V213</f>
        <v>0</v>
      </c>
      <c r="Z23" s="129">
        <f>+Actuals!W213</f>
        <v>0</v>
      </c>
      <c r="AA23" s="130">
        <f>+Actuals!X213</f>
        <v>0</v>
      </c>
      <c r="AB23" s="129">
        <f>+Actuals!Y213</f>
        <v>0</v>
      </c>
      <c r="AC23" s="130">
        <f>+Actuals!Z213</f>
        <v>0</v>
      </c>
      <c r="AD23" s="129">
        <f>+Actuals!AA213</f>
        <v>0</v>
      </c>
      <c r="AE23" s="130">
        <f>+Actuals!AB213</f>
        <v>0</v>
      </c>
    </row>
    <row r="24" spans="1:31" x14ac:dyDescent="0.2">
      <c r="A24" s="9"/>
      <c r="B24" s="7" t="s">
        <v>36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9">
        <f>+Actuals!E214</f>
        <v>0</v>
      </c>
      <c r="I27" s="130">
        <f>+Actuals!F214</f>
        <v>0</v>
      </c>
      <c r="J27" s="129">
        <f>+Actuals!G214</f>
        <v>0</v>
      </c>
      <c r="K27" s="130">
        <f>+Actuals!H214</f>
        <v>0</v>
      </c>
      <c r="L27" s="129">
        <f>+Actuals!I214</f>
        <v>0</v>
      </c>
      <c r="M27" s="130">
        <f>+Actuals!J214</f>
        <v>0</v>
      </c>
      <c r="N27" s="129">
        <f>+Actuals!K214</f>
        <v>0</v>
      </c>
      <c r="O27" s="130">
        <f>+Actuals!L214</f>
        <v>0</v>
      </c>
      <c r="P27" s="129">
        <f>+Actuals!M214</f>
        <v>0</v>
      </c>
      <c r="Q27" s="130">
        <f>+Actuals!N214</f>
        <v>0</v>
      </c>
      <c r="R27" s="129">
        <f>+Actuals!O214</f>
        <v>0</v>
      </c>
      <c r="S27" s="130">
        <f>+Actuals!P214</f>
        <v>0</v>
      </c>
      <c r="T27" s="129">
        <f>+Actuals!Q214</f>
        <v>0</v>
      </c>
      <c r="U27" s="130">
        <f>+Actuals!R214</f>
        <v>0</v>
      </c>
      <c r="V27" s="129">
        <f>+Actuals!S214</f>
        <v>0</v>
      </c>
      <c r="W27" s="130">
        <f>+Actuals!T214</f>
        <v>0</v>
      </c>
      <c r="X27" s="129">
        <f>+Actuals!U214</f>
        <v>0</v>
      </c>
      <c r="Y27" s="130">
        <f>+Actuals!V214</f>
        <v>0</v>
      </c>
      <c r="Z27" s="129">
        <f>+Actuals!W214</f>
        <v>0</v>
      </c>
      <c r="AA27" s="130">
        <f>+Actuals!X214</f>
        <v>0</v>
      </c>
      <c r="AB27" s="129">
        <f>+Actuals!Y214</f>
        <v>0</v>
      </c>
      <c r="AC27" s="130">
        <f>+Actuals!Z214</f>
        <v>0</v>
      </c>
      <c r="AD27" s="129">
        <f>+Actuals!AA214</f>
        <v>0</v>
      </c>
      <c r="AE27" s="130">
        <f>+Actuals!AB214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9">
        <f>+Actuals!E215</f>
        <v>0</v>
      </c>
      <c r="I28" s="130">
        <f>+Actuals!F215</f>
        <v>0</v>
      </c>
      <c r="J28" s="129">
        <f>+Actuals!G215</f>
        <v>0</v>
      </c>
      <c r="K28" s="130">
        <f>+Actuals!H215</f>
        <v>0</v>
      </c>
      <c r="L28" s="129">
        <f>+Actuals!I215</f>
        <v>0</v>
      </c>
      <c r="M28" s="130">
        <f>+Actuals!J215</f>
        <v>0</v>
      </c>
      <c r="N28" s="129">
        <f>+Actuals!K215</f>
        <v>0</v>
      </c>
      <c r="O28" s="130">
        <f>+Actuals!L215</f>
        <v>0</v>
      </c>
      <c r="P28" s="129">
        <f>+Actuals!M215</f>
        <v>0</v>
      </c>
      <c r="Q28" s="130">
        <f>+Actuals!N215</f>
        <v>0</v>
      </c>
      <c r="R28" s="129">
        <f>+Actuals!O215</f>
        <v>0</v>
      </c>
      <c r="S28" s="130">
        <f>+Actuals!P215</f>
        <v>0</v>
      </c>
      <c r="T28" s="129">
        <f>+Actuals!Q215</f>
        <v>0</v>
      </c>
      <c r="U28" s="130">
        <f>+Actuals!R215</f>
        <v>0</v>
      </c>
      <c r="V28" s="129">
        <f>+Actuals!S215</f>
        <v>0</v>
      </c>
      <c r="W28" s="130">
        <f>+Actuals!T215</f>
        <v>0</v>
      </c>
      <c r="X28" s="129">
        <f>+Actuals!U215</f>
        <v>0</v>
      </c>
      <c r="Y28" s="130">
        <f>+Actuals!V215</f>
        <v>0</v>
      </c>
      <c r="Z28" s="129">
        <f>+Actuals!W215</f>
        <v>0</v>
      </c>
      <c r="AA28" s="130">
        <f>+Actuals!X215</f>
        <v>0</v>
      </c>
      <c r="AB28" s="129">
        <f>+Actuals!Y215</f>
        <v>0</v>
      </c>
      <c r="AC28" s="130">
        <f>+Actuals!Z215</f>
        <v>0</v>
      </c>
      <c r="AD28" s="129">
        <f>+Actuals!AA215</f>
        <v>0</v>
      </c>
      <c r="AE28" s="130">
        <f>+Actuals!AB215</f>
        <v>0</v>
      </c>
    </row>
    <row r="29" spans="1:31" x14ac:dyDescent="0.2">
      <c r="A29" s="9"/>
      <c r="B29" s="7" t="s">
        <v>40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ref="X29:AC29" si="7">SUM(X27:X28)</f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9">
        <f>+Actuals!E216</f>
        <v>0</v>
      </c>
      <c r="I32" s="130">
        <f>+Actuals!F216</f>
        <v>0</v>
      </c>
      <c r="J32" s="129">
        <f>+Actuals!G216</f>
        <v>0</v>
      </c>
      <c r="K32" s="130">
        <f>+Actuals!H216</f>
        <v>0</v>
      </c>
      <c r="L32" s="129">
        <f>+Actuals!I216</f>
        <v>0</v>
      </c>
      <c r="M32" s="130">
        <f>+Actuals!J216</f>
        <v>0</v>
      </c>
      <c r="N32" s="129">
        <f>+Actuals!K216</f>
        <v>0</v>
      </c>
      <c r="O32" s="130">
        <f>+Actuals!L216</f>
        <v>0</v>
      </c>
      <c r="P32" s="129">
        <f>+Actuals!M216</f>
        <v>0</v>
      </c>
      <c r="Q32" s="130">
        <f>+Actuals!N216</f>
        <v>0</v>
      </c>
      <c r="R32" s="129">
        <f>+Actuals!O216</f>
        <v>0</v>
      </c>
      <c r="S32" s="130">
        <f>+Actuals!P216</f>
        <v>0</v>
      </c>
      <c r="T32" s="129">
        <f>+Actuals!Q216</f>
        <v>0</v>
      </c>
      <c r="U32" s="130">
        <f>+Actuals!R216</f>
        <v>0</v>
      </c>
      <c r="V32" s="129">
        <f>+Actuals!S216</f>
        <v>0</v>
      </c>
      <c r="W32" s="130">
        <f>+Actuals!T216</f>
        <v>0</v>
      </c>
      <c r="X32" s="129">
        <f>+Actuals!U216</f>
        <v>0</v>
      </c>
      <c r="Y32" s="130">
        <f>+Actuals!V216</f>
        <v>0</v>
      </c>
      <c r="Z32" s="129">
        <f>+Actuals!W216</f>
        <v>0</v>
      </c>
      <c r="AA32" s="130">
        <f>+Actuals!X216</f>
        <v>0</v>
      </c>
      <c r="AB32" s="129">
        <f>+Actuals!Y216</f>
        <v>0</v>
      </c>
      <c r="AC32" s="130">
        <f>+Actuals!Z216</f>
        <v>0</v>
      </c>
      <c r="AD32" s="129">
        <f>+Actuals!AA216</f>
        <v>0</v>
      </c>
      <c r="AE32" s="130">
        <f>+Actuals!AB216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9">
        <f>+Actuals!E217</f>
        <v>0</v>
      </c>
      <c r="I33" s="130">
        <f>+Actuals!F217</f>
        <v>0</v>
      </c>
      <c r="J33" s="129">
        <f>+Actuals!G217</f>
        <v>0</v>
      </c>
      <c r="K33" s="130">
        <f>+Actuals!H217</f>
        <v>0</v>
      </c>
      <c r="L33" s="129">
        <f>+Actuals!I217</f>
        <v>0</v>
      </c>
      <c r="M33" s="130">
        <f>+Actuals!J217</f>
        <v>0</v>
      </c>
      <c r="N33" s="129">
        <f>+Actuals!K217</f>
        <v>0</v>
      </c>
      <c r="O33" s="130">
        <f>+Actuals!L217</f>
        <v>0</v>
      </c>
      <c r="P33" s="129">
        <f>+Actuals!M217</f>
        <v>0</v>
      </c>
      <c r="Q33" s="130">
        <f>+Actuals!N217</f>
        <v>0</v>
      </c>
      <c r="R33" s="129">
        <f>+Actuals!O217</f>
        <v>0</v>
      </c>
      <c r="S33" s="130">
        <f>+Actuals!P217</f>
        <v>0</v>
      </c>
      <c r="T33" s="129">
        <f>+Actuals!Q217</f>
        <v>0</v>
      </c>
      <c r="U33" s="130">
        <f>+Actuals!R217</f>
        <v>0</v>
      </c>
      <c r="V33" s="129">
        <f>+Actuals!S217</f>
        <v>0</v>
      </c>
      <c r="W33" s="130">
        <f>+Actuals!T217</f>
        <v>0</v>
      </c>
      <c r="X33" s="129">
        <f>+Actuals!U217</f>
        <v>0</v>
      </c>
      <c r="Y33" s="130">
        <f>+Actuals!V217</f>
        <v>0</v>
      </c>
      <c r="Z33" s="129">
        <f>+Actuals!W217</f>
        <v>0</v>
      </c>
      <c r="AA33" s="130">
        <f>+Actuals!X217</f>
        <v>0</v>
      </c>
      <c r="AB33" s="129">
        <f>+Actuals!Y217</f>
        <v>0</v>
      </c>
      <c r="AC33" s="130">
        <f>+Actuals!Z217</f>
        <v>0</v>
      </c>
      <c r="AD33" s="129">
        <f>+Actuals!AA217</f>
        <v>0</v>
      </c>
      <c r="AE33" s="130">
        <f>+Actuals!AB217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9">
        <f>+Actuals!E218</f>
        <v>0</v>
      </c>
      <c r="I34" s="130">
        <f>+Actuals!F218</f>
        <v>0</v>
      </c>
      <c r="J34" s="129">
        <f>+Actuals!G218</f>
        <v>0</v>
      </c>
      <c r="K34" s="130">
        <f>+Actuals!H218</f>
        <v>0</v>
      </c>
      <c r="L34" s="129">
        <f>+Actuals!I218</f>
        <v>0</v>
      </c>
      <c r="M34" s="130">
        <f>+Actuals!J218</f>
        <v>0</v>
      </c>
      <c r="N34" s="129">
        <f>+Actuals!K218</f>
        <v>0</v>
      </c>
      <c r="O34" s="130">
        <f>+Actuals!L218</f>
        <v>0</v>
      </c>
      <c r="P34" s="129">
        <f>+Actuals!M218</f>
        <v>0</v>
      </c>
      <c r="Q34" s="130">
        <f>+Actuals!N218</f>
        <v>0</v>
      </c>
      <c r="R34" s="129">
        <f>+Actuals!O218</f>
        <v>0</v>
      </c>
      <c r="S34" s="130">
        <f>+Actuals!P218</f>
        <v>0</v>
      </c>
      <c r="T34" s="129">
        <f>+Actuals!Q218</f>
        <v>0</v>
      </c>
      <c r="U34" s="130">
        <f>+Actuals!R218</f>
        <v>0</v>
      </c>
      <c r="V34" s="129">
        <f>+Actuals!S218</f>
        <v>0</v>
      </c>
      <c r="W34" s="130">
        <f>+Actuals!T218</f>
        <v>0</v>
      </c>
      <c r="X34" s="129">
        <f>+Actuals!U218</f>
        <v>0</v>
      </c>
      <c r="Y34" s="130">
        <f>+Actuals!V218</f>
        <v>0</v>
      </c>
      <c r="Z34" s="129">
        <f>+Actuals!W218</f>
        <v>0</v>
      </c>
      <c r="AA34" s="130">
        <f>+Actuals!X218</f>
        <v>0</v>
      </c>
      <c r="AB34" s="129">
        <f>+Actuals!Y218</f>
        <v>0</v>
      </c>
      <c r="AC34" s="130">
        <f>+Actuals!Z218</f>
        <v>0</v>
      </c>
      <c r="AD34" s="129">
        <f>+Actuals!AA218</f>
        <v>0</v>
      </c>
      <c r="AE34" s="130">
        <f>+Actuals!AB218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9">
        <f>+Actuals!E219</f>
        <v>0</v>
      </c>
      <c r="I35" s="130">
        <f>+Actuals!F219</f>
        <v>0</v>
      </c>
      <c r="J35" s="129">
        <f>+Actuals!G219</f>
        <v>0</v>
      </c>
      <c r="K35" s="130">
        <f>+Actuals!H219</f>
        <v>0</v>
      </c>
      <c r="L35" s="129">
        <f>+Actuals!I219</f>
        <v>0</v>
      </c>
      <c r="M35" s="130">
        <f>+Actuals!J219</f>
        <v>0</v>
      </c>
      <c r="N35" s="129">
        <f>+Actuals!K219</f>
        <v>0</v>
      </c>
      <c r="O35" s="130">
        <f>+Actuals!L219</f>
        <v>0</v>
      </c>
      <c r="P35" s="129">
        <f>+Actuals!M219</f>
        <v>0</v>
      </c>
      <c r="Q35" s="130">
        <f>+Actuals!N219</f>
        <v>0</v>
      </c>
      <c r="R35" s="129">
        <f>+Actuals!O219</f>
        <v>0</v>
      </c>
      <c r="S35" s="130">
        <f>+Actuals!P219</f>
        <v>0</v>
      </c>
      <c r="T35" s="129">
        <f>+Actuals!Q219</f>
        <v>0</v>
      </c>
      <c r="U35" s="130">
        <f>+Actuals!R219</f>
        <v>0</v>
      </c>
      <c r="V35" s="129">
        <f>+Actuals!S219</f>
        <v>0</v>
      </c>
      <c r="W35" s="130">
        <f>+Actuals!T219</f>
        <v>0</v>
      </c>
      <c r="X35" s="129">
        <f>+Actuals!U219</f>
        <v>0</v>
      </c>
      <c r="Y35" s="130">
        <f>+Actuals!V219</f>
        <v>0</v>
      </c>
      <c r="Z35" s="129">
        <f>+Actuals!W219</f>
        <v>0</v>
      </c>
      <c r="AA35" s="130">
        <f>+Actuals!X219</f>
        <v>0</v>
      </c>
      <c r="AB35" s="129">
        <f>+Actuals!Y219</f>
        <v>0</v>
      </c>
      <c r="AC35" s="130">
        <f>+Actuals!Z219</f>
        <v>0</v>
      </c>
      <c r="AD35" s="129">
        <f>+Actuals!AA219</f>
        <v>0</v>
      </c>
      <c r="AE35" s="130">
        <f>+Actuals!AB219</f>
        <v>0</v>
      </c>
    </row>
    <row r="36" spans="1:31" x14ac:dyDescent="0.2">
      <c r="A36" s="9"/>
      <c r="B36" s="7" t="s">
        <v>46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9">
        <f>+Actuals!E220</f>
        <v>0</v>
      </c>
      <c r="I39" s="130">
        <f>+Actuals!F220</f>
        <v>0</v>
      </c>
      <c r="J39" s="129">
        <f>+Actuals!G220</f>
        <v>0</v>
      </c>
      <c r="K39" s="130">
        <f>+Actuals!H220</f>
        <v>0</v>
      </c>
      <c r="L39" s="129">
        <f>+Actuals!I220</f>
        <v>0</v>
      </c>
      <c r="M39" s="130">
        <f>+Actuals!J220</f>
        <v>0</v>
      </c>
      <c r="N39" s="129">
        <f>+Actuals!K220</f>
        <v>0</v>
      </c>
      <c r="O39" s="130">
        <f>+Actuals!L220</f>
        <v>0</v>
      </c>
      <c r="P39" s="129">
        <f>+Actuals!M220</f>
        <v>0</v>
      </c>
      <c r="Q39" s="130">
        <f>+Actuals!N220</f>
        <v>0</v>
      </c>
      <c r="R39" s="129">
        <f>+Actuals!O220</f>
        <v>0</v>
      </c>
      <c r="S39" s="130">
        <f>+Actuals!P220</f>
        <v>0</v>
      </c>
      <c r="T39" s="129">
        <f>+Actuals!Q220</f>
        <v>0</v>
      </c>
      <c r="U39" s="130">
        <f>+Actuals!R220</f>
        <v>0</v>
      </c>
      <c r="V39" s="129">
        <f>+Actuals!S220</f>
        <v>0</v>
      </c>
      <c r="W39" s="130">
        <f>+Actuals!T220</f>
        <v>0</v>
      </c>
      <c r="X39" s="129">
        <f>+Actuals!U220</f>
        <v>0</v>
      </c>
      <c r="Y39" s="130">
        <f>+Actuals!V220</f>
        <v>0</v>
      </c>
      <c r="Z39" s="129">
        <f>+Actuals!W220</f>
        <v>0</v>
      </c>
      <c r="AA39" s="130">
        <f>+Actuals!X220</f>
        <v>0</v>
      </c>
      <c r="AB39" s="129">
        <f>+Actuals!Y220</f>
        <v>0</v>
      </c>
      <c r="AC39" s="130">
        <f>+Actuals!Z220</f>
        <v>0</v>
      </c>
      <c r="AD39" s="129">
        <f>+Actuals!AA220</f>
        <v>0</v>
      </c>
      <c r="AE39" s="130">
        <f>+Actuals!AB220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9">
        <f>+Actuals!E221</f>
        <v>0</v>
      </c>
      <c r="I40" s="130">
        <f>+Actuals!F221</f>
        <v>0</v>
      </c>
      <c r="J40" s="129">
        <f>+Actuals!G221</f>
        <v>0</v>
      </c>
      <c r="K40" s="130">
        <f>+Actuals!H221</f>
        <v>0</v>
      </c>
      <c r="L40" s="129">
        <f>+Actuals!I221</f>
        <v>0</v>
      </c>
      <c r="M40" s="130">
        <f>+Actuals!J221</f>
        <v>0</v>
      </c>
      <c r="N40" s="129">
        <f>+Actuals!K221</f>
        <v>0</v>
      </c>
      <c r="O40" s="130">
        <f>+Actuals!L221</f>
        <v>0</v>
      </c>
      <c r="P40" s="129">
        <f>+Actuals!M221</f>
        <v>0</v>
      </c>
      <c r="Q40" s="130">
        <f>+Actuals!N221</f>
        <v>0</v>
      </c>
      <c r="R40" s="129">
        <f>+Actuals!O221</f>
        <v>0</v>
      </c>
      <c r="S40" s="130">
        <f>+Actuals!P221</f>
        <v>0</v>
      </c>
      <c r="T40" s="129">
        <f>+Actuals!Q221</f>
        <v>0</v>
      </c>
      <c r="U40" s="130">
        <f>+Actuals!R221</f>
        <v>0</v>
      </c>
      <c r="V40" s="129">
        <f>+Actuals!S221</f>
        <v>0</v>
      </c>
      <c r="W40" s="130">
        <f>+Actuals!T221</f>
        <v>0</v>
      </c>
      <c r="X40" s="129">
        <f>+Actuals!U221</f>
        <v>0</v>
      </c>
      <c r="Y40" s="130">
        <f>+Actuals!V221</f>
        <v>0</v>
      </c>
      <c r="Z40" s="129">
        <f>+Actuals!W221</f>
        <v>0</v>
      </c>
      <c r="AA40" s="130">
        <f>+Actuals!X221</f>
        <v>0</v>
      </c>
      <c r="AB40" s="129">
        <f>+Actuals!Y221</f>
        <v>0</v>
      </c>
      <c r="AC40" s="130">
        <f>+Actuals!Z221</f>
        <v>0</v>
      </c>
      <c r="AD40" s="129">
        <f>+Actuals!AA221</f>
        <v>0</v>
      </c>
      <c r="AE40" s="130">
        <f>+Actuals!AB221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9">
        <f>+Actuals!E222</f>
        <v>0</v>
      </c>
      <c r="I41" s="130">
        <f>+Actuals!F222</f>
        <v>0</v>
      </c>
      <c r="J41" s="129">
        <f>+Actuals!G222</f>
        <v>0</v>
      </c>
      <c r="K41" s="130">
        <f>+Actuals!H222</f>
        <v>0</v>
      </c>
      <c r="L41" s="129">
        <f>+Actuals!I222</f>
        <v>0</v>
      </c>
      <c r="M41" s="130">
        <f>+Actuals!J222</f>
        <v>0</v>
      </c>
      <c r="N41" s="129">
        <f>+Actuals!K222</f>
        <v>0</v>
      </c>
      <c r="O41" s="130">
        <f>+Actuals!L222</f>
        <v>0</v>
      </c>
      <c r="P41" s="129">
        <f>+Actuals!M222</f>
        <v>0</v>
      </c>
      <c r="Q41" s="130">
        <f>+Actuals!N222</f>
        <v>0</v>
      </c>
      <c r="R41" s="129">
        <f>+Actuals!O222</f>
        <v>0</v>
      </c>
      <c r="S41" s="130">
        <f>+Actuals!P222</f>
        <v>0</v>
      </c>
      <c r="T41" s="129">
        <f>+Actuals!Q222</f>
        <v>0</v>
      </c>
      <c r="U41" s="130">
        <f>+Actuals!R222</f>
        <v>0</v>
      </c>
      <c r="V41" s="129">
        <f>+Actuals!S222</f>
        <v>0</v>
      </c>
      <c r="W41" s="130">
        <f>+Actuals!T222</f>
        <v>0</v>
      </c>
      <c r="X41" s="129">
        <f>+Actuals!U222</f>
        <v>0</v>
      </c>
      <c r="Y41" s="130">
        <f>+Actuals!V222</f>
        <v>0</v>
      </c>
      <c r="Z41" s="129">
        <f>+Actuals!W222</f>
        <v>0</v>
      </c>
      <c r="AA41" s="130">
        <f>+Actuals!X222</f>
        <v>0</v>
      </c>
      <c r="AB41" s="129">
        <f>+Actuals!Y222</f>
        <v>0</v>
      </c>
      <c r="AC41" s="130">
        <f>+Actuals!Z222</f>
        <v>0</v>
      </c>
      <c r="AD41" s="129">
        <f>+Actuals!AA222</f>
        <v>0</v>
      </c>
      <c r="AE41" s="130">
        <f>+Actuals!AB222</f>
        <v>0</v>
      </c>
    </row>
    <row r="42" spans="1:31" x14ac:dyDescent="0.2">
      <c r="A42" s="9"/>
      <c r="B42" s="7"/>
      <c r="C42" s="53" t="s">
        <v>51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9">
        <f>+Actuals!E223</f>
        <v>0</v>
      </c>
      <c r="I45" s="130">
        <f>+Actuals!F223</f>
        <v>0</v>
      </c>
      <c r="J45" s="129">
        <f>+Actuals!G223</f>
        <v>0</v>
      </c>
      <c r="K45" s="130">
        <f>+Actuals!H223</f>
        <v>0</v>
      </c>
      <c r="L45" s="129">
        <f>+Actuals!I223</f>
        <v>0</v>
      </c>
      <c r="M45" s="130">
        <f>+Actuals!J223</f>
        <v>0</v>
      </c>
      <c r="N45" s="129">
        <f>+Actuals!K223</f>
        <v>0</v>
      </c>
      <c r="O45" s="130">
        <f>+Actuals!L223</f>
        <v>0</v>
      </c>
      <c r="P45" s="129">
        <f>+Actuals!M223</f>
        <v>0</v>
      </c>
      <c r="Q45" s="130">
        <f>+Actuals!N223</f>
        <v>0</v>
      </c>
      <c r="R45" s="129">
        <f>+Actuals!O223</f>
        <v>0</v>
      </c>
      <c r="S45" s="130">
        <f>+Actuals!P223</f>
        <v>0</v>
      </c>
      <c r="T45" s="129">
        <f>+Actuals!Q223</f>
        <v>0</v>
      </c>
      <c r="U45" s="130">
        <f>+Actuals!R223</f>
        <v>0</v>
      </c>
      <c r="V45" s="129">
        <f>+Actuals!S223</f>
        <v>0</v>
      </c>
      <c r="W45" s="130">
        <f>+Actuals!T223</f>
        <v>0</v>
      </c>
      <c r="X45" s="129">
        <f>+Actuals!U223</f>
        <v>0</v>
      </c>
      <c r="Y45" s="130">
        <f>+Actuals!V223</f>
        <v>0</v>
      </c>
      <c r="Z45" s="129">
        <f>+Actuals!W223</f>
        <v>0</v>
      </c>
      <c r="AA45" s="130">
        <f>+Actuals!X223</f>
        <v>0</v>
      </c>
      <c r="AB45" s="129">
        <f>+Actuals!Y223</f>
        <v>0</v>
      </c>
      <c r="AC45" s="130">
        <f>+Actuals!Z223</f>
        <v>0</v>
      </c>
      <c r="AD45" s="129">
        <f>+Actuals!AA223</f>
        <v>0</v>
      </c>
      <c r="AE45" s="130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9">
        <f>+Actuals!E224</f>
        <v>0</v>
      </c>
      <c r="I47" s="130">
        <f>+Actuals!F224</f>
        <v>0</v>
      </c>
      <c r="J47" s="129">
        <f>+Actuals!G224</f>
        <v>0</v>
      </c>
      <c r="K47" s="130">
        <f>+Actuals!H224</f>
        <v>0</v>
      </c>
      <c r="L47" s="129">
        <f>+Actuals!I224</f>
        <v>0</v>
      </c>
      <c r="M47" s="130">
        <f>+Actuals!J224</f>
        <v>0</v>
      </c>
      <c r="N47" s="129">
        <f>+Actuals!K224</f>
        <v>0</v>
      </c>
      <c r="O47" s="130">
        <f>+Actuals!L224</f>
        <v>0</v>
      </c>
      <c r="P47" s="129">
        <f>+Actuals!M224</f>
        <v>0</v>
      </c>
      <c r="Q47" s="130">
        <f>+Actuals!N224</f>
        <v>0</v>
      </c>
      <c r="R47" s="129">
        <f>+Actuals!O224</f>
        <v>0</v>
      </c>
      <c r="S47" s="130">
        <f>+Actuals!P224</f>
        <v>0</v>
      </c>
      <c r="T47" s="129">
        <f>+Actuals!Q224</f>
        <v>0</v>
      </c>
      <c r="U47" s="130">
        <f>+Actuals!R224</f>
        <v>0</v>
      </c>
      <c r="V47" s="129">
        <f>+Actuals!S224</f>
        <v>0</v>
      </c>
      <c r="W47" s="130">
        <f>+Actuals!T224</f>
        <v>0</v>
      </c>
      <c r="X47" s="129">
        <f>+Actuals!U224</f>
        <v>0</v>
      </c>
      <c r="Y47" s="130">
        <f>+Actuals!V224</f>
        <v>0</v>
      </c>
      <c r="Z47" s="129">
        <f>+Actuals!W224</f>
        <v>0</v>
      </c>
      <c r="AA47" s="130">
        <f>+Actuals!X224</f>
        <v>0</v>
      </c>
      <c r="AB47" s="129">
        <f>+Actuals!Y224</f>
        <v>0</v>
      </c>
      <c r="AC47" s="130">
        <f>+Actuals!Z224</f>
        <v>0</v>
      </c>
      <c r="AD47" s="129">
        <f>+Actuals!AA224</f>
        <v>0</v>
      </c>
      <c r="AE47" s="130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9">
        <f>+Actuals!E225</f>
        <v>0</v>
      </c>
      <c r="I49" s="130">
        <f>+Actuals!F225</f>
        <v>0</v>
      </c>
      <c r="J49" s="129">
        <f>+Actuals!G225</f>
        <v>0</v>
      </c>
      <c r="K49" s="130">
        <f>+Actuals!H225</f>
        <v>0</v>
      </c>
      <c r="L49" s="129">
        <f>+Actuals!I225</f>
        <v>0</v>
      </c>
      <c r="M49" s="130">
        <f>+Actuals!J225</f>
        <v>0</v>
      </c>
      <c r="N49" s="129">
        <f>+Actuals!K225</f>
        <v>0</v>
      </c>
      <c r="O49" s="130">
        <f>+Actuals!L225</f>
        <v>0</v>
      </c>
      <c r="P49" s="129">
        <f>+Actuals!M225</f>
        <v>0</v>
      </c>
      <c r="Q49" s="130">
        <f>+Actuals!N225</f>
        <v>0</v>
      </c>
      <c r="R49" s="129">
        <f>+Actuals!O225</f>
        <v>0</v>
      </c>
      <c r="S49" s="130">
        <f>+Actuals!P225</f>
        <v>0</v>
      </c>
      <c r="T49" s="129">
        <f>+Actuals!Q225</f>
        <v>0</v>
      </c>
      <c r="U49" s="130">
        <f>+Actuals!R225</f>
        <v>0</v>
      </c>
      <c r="V49" s="129">
        <f>+Actuals!S225</f>
        <v>0</v>
      </c>
      <c r="W49" s="130">
        <f>+Actuals!T225</f>
        <v>0</v>
      </c>
      <c r="X49" s="129">
        <f>+Actuals!U225</f>
        <v>0</v>
      </c>
      <c r="Y49" s="130">
        <f>+Actuals!V225</f>
        <v>0</v>
      </c>
      <c r="Z49" s="129">
        <f>+Actuals!W225</f>
        <v>0</v>
      </c>
      <c r="AA49" s="130">
        <f>+Actuals!X225</f>
        <v>0</v>
      </c>
      <c r="AB49" s="129">
        <f>+Actuals!Y225</f>
        <v>0</v>
      </c>
      <c r="AC49" s="130">
        <f>+Actuals!Z225</f>
        <v>0</v>
      </c>
      <c r="AD49" s="129">
        <f>+Actuals!AA225</f>
        <v>0</v>
      </c>
      <c r="AE49" s="130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9">
        <f>+Actuals!E226</f>
        <v>0</v>
      </c>
      <c r="I51" s="130">
        <f>+Actuals!F226</f>
        <v>0</v>
      </c>
      <c r="J51" s="129">
        <f>+Actuals!G226</f>
        <v>0</v>
      </c>
      <c r="K51" s="130">
        <f>+Actuals!H226</f>
        <v>0</v>
      </c>
      <c r="L51" s="129">
        <f>+Actuals!I226</f>
        <v>0</v>
      </c>
      <c r="M51" s="130">
        <f>+Actuals!J226</f>
        <v>0</v>
      </c>
      <c r="N51" s="129">
        <f>+Actuals!K226</f>
        <v>0</v>
      </c>
      <c r="O51" s="130">
        <f>+Actuals!L226</f>
        <v>0</v>
      </c>
      <c r="P51" s="129">
        <f>+Actuals!M226</f>
        <v>0</v>
      </c>
      <c r="Q51" s="130">
        <f>+Actuals!N226</f>
        <v>0</v>
      </c>
      <c r="R51" s="129">
        <f>+Actuals!O226</f>
        <v>0</v>
      </c>
      <c r="S51" s="130">
        <f>+Actuals!P226</f>
        <v>0</v>
      </c>
      <c r="T51" s="129">
        <f>+Actuals!Q226</f>
        <v>0</v>
      </c>
      <c r="U51" s="130">
        <f>+Actuals!R226</f>
        <v>0</v>
      </c>
      <c r="V51" s="129">
        <f>+Actuals!S226</f>
        <v>0</v>
      </c>
      <c r="W51" s="130">
        <f>+Actuals!T226</f>
        <v>0</v>
      </c>
      <c r="X51" s="129">
        <f>+Actuals!U226</f>
        <v>0</v>
      </c>
      <c r="Y51" s="130">
        <f>+Actuals!V226</f>
        <v>0</v>
      </c>
      <c r="Z51" s="129">
        <f>+Actuals!W226</f>
        <v>0</v>
      </c>
      <c r="AA51" s="130">
        <f>+Actuals!X226</f>
        <v>0</v>
      </c>
      <c r="AB51" s="129">
        <f>+Actuals!Y226</f>
        <v>0</v>
      </c>
      <c r="AC51" s="130">
        <f>+Actuals!Z226</f>
        <v>0</v>
      </c>
      <c r="AD51" s="129">
        <f>+Actuals!AA226</f>
        <v>0</v>
      </c>
      <c r="AE51" s="130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9">
        <f>+Actuals!E227</f>
        <v>0</v>
      </c>
      <c r="I54" s="130">
        <f>+Actuals!F227</f>
        <v>0</v>
      </c>
      <c r="J54" s="129">
        <f>+Actuals!G227</f>
        <v>0</v>
      </c>
      <c r="K54" s="130">
        <f>+Actuals!H227</f>
        <v>0</v>
      </c>
      <c r="L54" s="129">
        <f>+Actuals!I227</f>
        <v>0</v>
      </c>
      <c r="M54" s="130">
        <f>+Actuals!J227</f>
        <v>0</v>
      </c>
      <c r="N54" s="129">
        <f>+Actuals!K227</f>
        <v>0</v>
      </c>
      <c r="O54" s="130">
        <f>+Actuals!L227</f>
        <v>0</v>
      </c>
      <c r="P54" s="129">
        <f>+Actuals!M227</f>
        <v>0</v>
      </c>
      <c r="Q54" s="130">
        <f>+Actuals!N227</f>
        <v>0</v>
      </c>
      <c r="R54" s="129">
        <f>+Actuals!O227</f>
        <v>0</v>
      </c>
      <c r="S54" s="130">
        <f>+Actuals!P227</f>
        <v>0</v>
      </c>
      <c r="T54" s="129">
        <f>+Actuals!Q227</f>
        <v>0</v>
      </c>
      <c r="U54" s="130">
        <f>+Actuals!R227</f>
        <v>0</v>
      </c>
      <c r="V54" s="129">
        <f>+Actuals!S227</f>
        <v>0</v>
      </c>
      <c r="W54" s="130">
        <f>+Actuals!T227</f>
        <v>0</v>
      </c>
      <c r="X54" s="129">
        <f>+Actuals!U227</f>
        <v>0</v>
      </c>
      <c r="Y54" s="130">
        <f>+Actuals!V227</f>
        <v>0</v>
      </c>
      <c r="Z54" s="129">
        <f>+Actuals!W227</f>
        <v>0</v>
      </c>
      <c r="AA54" s="130">
        <f>+Actuals!X227</f>
        <v>0</v>
      </c>
      <c r="AB54" s="129">
        <f>+Actuals!Y227</f>
        <v>0</v>
      </c>
      <c r="AC54" s="130">
        <f>+Actuals!Z227</f>
        <v>0</v>
      </c>
      <c r="AD54" s="129">
        <f>+Actuals!AA227</f>
        <v>0</v>
      </c>
      <c r="AE54" s="130">
        <f>+Actuals!AB227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9">
        <f>+Actuals!E228</f>
        <v>0</v>
      </c>
      <c r="I55" s="130">
        <f>+Actuals!F228</f>
        <v>0</v>
      </c>
      <c r="J55" s="129">
        <f>+Actuals!G228</f>
        <v>0</v>
      </c>
      <c r="K55" s="130">
        <f>+Actuals!H228</f>
        <v>0</v>
      </c>
      <c r="L55" s="129">
        <f>+Actuals!I228</f>
        <v>0</v>
      </c>
      <c r="M55" s="130">
        <f>+Actuals!J228</f>
        <v>0</v>
      </c>
      <c r="N55" s="129">
        <f>+Actuals!K228</f>
        <v>0</v>
      </c>
      <c r="O55" s="130">
        <f>+Actuals!L228</f>
        <v>0</v>
      </c>
      <c r="P55" s="129">
        <f>+Actuals!M228</f>
        <v>0</v>
      </c>
      <c r="Q55" s="130">
        <f>+Actuals!N228</f>
        <v>0</v>
      </c>
      <c r="R55" s="129">
        <f>+Actuals!O228</f>
        <v>0</v>
      </c>
      <c r="S55" s="130">
        <f>+Actuals!P228</f>
        <v>0</v>
      </c>
      <c r="T55" s="129">
        <f>+Actuals!Q228</f>
        <v>0</v>
      </c>
      <c r="U55" s="130">
        <f>+Actuals!R228</f>
        <v>0</v>
      </c>
      <c r="V55" s="129">
        <f>+Actuals!S228</f>
        <v>0</v>
      </c>
      <c r="W55" s="130">
        <f>+Actuals!T228</f>
        <v>0</v>
      </c>
      <c r="X55" s="129">
        <f>+Actuals!U228</f>
        <v>0</v>
      </c>
      <c r="Y55" s="130">
        <f>+Actuals!V228</f>
        <v>0</v>
      </c>
      <c r="Z55" s="129">
        <f>+Actuals!W228</f>
        <v>0</v>
      </c>
      <c r="AA55" s="130">
        <f>+Actuals!X228</f>
        <v>0</v>
      </c>
      <c r="AB55" s="129">
        <f>+Actuals!Y228</f>
        <v>0</v>
      </c>
      <c r="AC55" s="130">
        <f>+Actuals!Z228</f>
        <v>0</v>
      </c>
      <c r="AD55" s="129">
        <f>+Actuals!AA228</f>
        <v>0</v>
      </c>
      <c r="AE55" s="130">
        <f>+Actuals!AB228</f>
        <v>0</v>
      </c>
    </row>
    <row r="56" spans="1:31" x14ac:dyDescent="0.2">
      <c r="A56" s="9"/>
      <c r="B56" s="7" t="s">
        <v>60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ref="X56:AC56" si="17">SUM(X54:X55)</f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9">
        <f>+Actuals!E229</f>
        <v>0</v>
      </c>
      <c r="I59" s="130">
        <f>+Actuals!F229</f>
        <v>0</v>
      </c>
      <c r="J59" s="129">
        <f>+Actuals!G229</f>
        <v>0</v>
      </c>
      <c r="K59" s="130">
        <f>+Actuals!H229</f>
        <v>0</v>
      </c>
      <c r="L59" s="129">
        <f>+Actuals!I229</f>
        <v>0</v>
      </c>
      <c r="M59" s="130">
        <f>+Actuals!J229</f>
        <v>0</v>
      </c>
      <c r="N59" s="129">
        <f>+Actuals!K229</f>
        <v>0</v>
      </c>
      <c r="O59" s="130">
        <f>+Actuals!L229</f>
        <v>0</v>
      </c>
      <c r="P59" s="129">
        <f>+Actuals!M229</f>
        <v>0</v>
      </c>
      <c r="Q59" s="130">
        <f>+Actuals!N229</f>
        <v>0</v>
      </c>
      <c r="R59" s="129">
        <f>+Actuals!O229</f>
        <v>0</v>
      </c>
      <c r="S59" s="130">
        <f>+Actuals!P229</f>
        <v>0</v>
      </c>
      <c r="T59" s="129">
        <f>+Actuals!Q229</f>
        <v>0</v>
      </c>
      <c r="U59" s="130">
        <f>+Actuals!R229</f>
        <v>0</v>
      </c>
      <c r="V59" s="129">
        <f>+Actuals!S229</f>
        <v>0</v>
      </c>
      <c r="W59" s="130">
        <f>+Actuals!T229</f>
        <v>0</v>
      </c>
      <c r="X59" s="129">
        <f>+Actuals!U229</f>
        <v>0</v>
      </c>
      <c r="Y59" s="130">
        <f>+Actuals!V229</f>
        <v>0</v>
      </c>
      <c r="Z59" s="129">
        <f>+Actuals!W229</f>
        <v>0</v>
      </c>
      <c r="AA59" s="130">
        <f>+Actuals!X229</f>
        <v>0</v>
      </c>
      <c r="AB59" s="129">
        <f>+Actuals!Y229</f>
        <v>0</v>
      </c>
      <c r="AC59" s="130">
        <f>+Actuals!Z229</f>
        <v>0</v>
      </c>
      <c r="AD59" s="129">
        <f>+Actuals!AA229</f>
        <v>0</v>
      </c>
      <c r="AE59" s="130">
        <f>+Actuals!AB229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9">
        <f>+Actuals!E230</f>
        <v>0</v>
      </c>
      <c r="I60" s="130">
        <f>+Actuals!F230</f>
        <v>0</v>
      </c>
      <c r="J60" s="129">
        <f>+Actuals!G230</f>
        <v>0</v>
      </c>
      <c r="K60" s="130">
        <f>+Actuals!H230</f>
        <v>0</v>
      </c>
      <c r="L60" s="129">
        <f>+Actuals!I230</f>
        <v>0</v>
      </c>
      <c r="M60" s="130">
        <f>+Actuals!J230</f>
        <v>0</v>
      </c>
      <c r="N60" s="129">
        <f>+Actuals!K230</f>
        <v>0</v>
      </c>
      <c r="O60" s="130">
        <f>+Actuals!L230</f>
        <v>0</v>
      </c>
      <c r="P60" s="129">
        <f>+Actuals!M230</f>
        <v>0</v>
      </c>
      <c r="Q60" s="130">
        <f>+Actuals!N230</f>
        <v>0</v>
      </c>
      <c r="R60" s="129">
        <f>+Actuals!O230</f>
        <v>0</v>
      </c>
      <c r="S60" s="130">
        <f>+Actuals!P230</f>
        <v>0</v>
      </c>
      <c r="T60" s="129">
        <f>+Actuals!Q230</f>
        <v>0</v>
      </c>
      <c r="U60" s="130">
        <f>+Actuals!R230</f>
        <v>0</v>
      </c>
      <c r="V60" s="129">
        <f>+Actuals!S230</f>
        <v>0</v>
      </c>
      <c r="W60" s="130">
        <f>+Actuals!T230</f>
        <v>0</v>
      </c>
      <c r="X60" s="129">
        <f>+Actuals!U230</f>
        <v>0</v>
      </c>
      <c r="Y60" s="130">
        <f>+Actuals!V230</f>
        <v>0</v>
      </c>
      <c r="Z60" s="129">
        <f>+Actuals!W230</f>
        <v>0</v>
      </c>
      <c r="AA60" s="130">
        <f>+Actuals!X230</f>
        <v>0</v>
      </c>
      <c r="AB60" s="129">
        <f>+Actuals!Y230</f>
        <v>0</v>
      </c>
      <c r="AC60" s="130">
        <f>+Actuals!Z230</f>
        <v>0</v>
      </c>
      <c r="AD60" s="129">
        <f>+Actuals!AA230</f>
        <v>0</v>
      </c>
      <c r="AE60" s="130">
        <f>+Actuals!AB230</f>
        <v>0</v>
      </c>
    </row>
    <row r="61" spans="1:31" x14ac:dyDescent="0.2">
      <c r="A61" s="9"/>
      <c r="B61" s="62" t="s">
        <v>64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9">
        <f>+Actuals!E231</f>
        <v>0</v>
      </c>
      <c r="I64" s="130">
        <f>+Actuals!F231</f>
        <v>0</v>
      </c>
      <c r="J64" s="129">
        <f>+Actuals!G231</f>
        <v>0</v>
      </c>
      <c r="K64" s="130">
        <f>+Actuals!H231</f>
        <v>0</v>
      </c>
      <c r="L64" s="129">
        <f>+Actuals!I231</f>
        <v>0</v>
      </c>
      <c r="M64" s="130">
        <f>+Actuals!J231</f>
        <v>0</v>
      </c>
      <c r="N64" s="129">
        <f>+Actuals!K231</f>
        <v>0</v>
      </c>
      <c r="O64" s="130">
        <f>+Actuals!L231</f>
        <v>0</v>
      </c>
      <c r="P64" s="129">
        <f>+Actuals!M231</f>
        <v>0</v>
      </c>
      <c r="Q64" s="130">
        <f>+Actuals!N231</f>
        <v>0</v>
      </c>
      <c r="R64" s="129">
        <f>+Actuals!O231</f>
        <v>0</v>
      </c>
      <c r="S64" s="130">
        <f>+Actuals!P231</f>
        <v>0</v>
      </c>
      <c r="T64" s="129">
        <f>+Actuals!Q231</f>
        <v>0</v>
      </c>
      <c r="U64" s="130">
        <f>+Actuals!R231</f>
        <v>0</v>
      </c>
      <c r="V64" s="129">
        <f>+Actuals!S231</f>
        <v>0</v>
      </c>
      <c r="W64" s="130">
        <f>+Actuals!T231</f>
        <v>0</v>
      </c>
      <c r="X64" s="129">
        <f>+Actuals!U231</f>
        <v>0</v>
      </c>
      <c r="Y64" s="130">
        <f>+Actuals!V231</f>
        <v>0</v>
      </c>
      <c r="Z64" s="129">
        <f>+Actuals!W231</f>
        <v>0</v>
      </c>
      <c r="AA64" s="130">
        <f>+Actuals!X231</f>
        <v>0</v>
      </c>
      <c r="AB64" s="129">
        <f>+Actuals!Y231</f>
        <v>0</v>
      </c>
      <c r="AC64" s="130">
        <f>+Actuals!Z231</f>
        <v>0</v>
      </c>
      <c r="AD64" s="129">
        <f>+Actuals!AA231</f>
        <v>0</v>
      </c>
      <c r="AE64" s="130">
        <f>+Actuals!AB231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9">
        <f>+Actuals!E232</f>
        <v>0</v>
      </c>
      <c r="I65" s="130">
        <f>+Actuals!F232</f>
        <v>0</v>
      </c>
      <c r="J65" s="129">
        <f>+Actuals!G232</f>
        <v>0</v>
      </c>
      <c r="K65" s="130">
        <f>+Actuals!H232</f>
        <v>0</v>
      </c>
      <c r="L65" s="129">
        <f>+Actuals!I232</f>
        <v>0</v>
      </c>
      <c r="M65" s="130">
        <f>+Actuals!J232</f>
        <v>0</v>
      </c>
      <c r="N65" s="129">
        <f>+Actuals!K232</f>
        <v>0</v>
      </c>
      <c r="O65" s="130">
        <f>+Actuals!L232</f>
        <v>0</v>
      </c>
      <c r="P65" s="129">
        <f>+Actuals!M232</f>
        <v>0</v>
      </c>
      <c r="Q65" s="130">
        <f>+Actuals!N232</f>
        <v>0</v>
      </c>
      <c r="R65" s="129">
        <f>+Actuals!O232</f>
        <v>0</v>
      </c>
      <c r="S65" s="130">
        <f>+Actuals!P232</f>
        <v>0</v>
      </c>
      <c r="T65" s="129">
        <f>+Actuals!Q232</f>
        <v>0</v>
      </c>
      <c r="U65" s="130">
        <f>+Actuals!R232</f>
        <v>0</v>
      </c>
      <c r="V65" s="129">
        <f>+Actuals!S232</f>
        <v>0</v>
      </c>
      <c r="W65" s="130">
        <f>+Actuals!T232</f>
        <v>0</v>
      </c>
      <c r="X65" s="129">
        <f>+Actuals!U232</f>
        <v>0</v>
      </c>
      <c r="Y65" s="130">
        <f>+Actuals!V232</f>
        <v>0</v>
      </c>
      <c r="Z65" s="129">
        <f>+Actuals!W232</f>
        <v>0</v>
      </c>
      <c r="AA65" s="130">
        <f>+Actuals!X232</f>
        <v>0</v>
      </c>
      <c r="AB65" s="129">
        <f>+Actuals!Y232</f>
        <v>0</v>
      </c>
      <c r="AC65" s="130">
        <f>+Actuals!Z232</f>
        <v>0</v>
      </c>
      <c r="AD65" s="129">
        <f>+Actuals!AA232</f>
        <v>0</v>
      </c>
      <c r="AE65" s="130">
        <f>+Actuals!AB232</f>
        <v>0</v>
      </c>
    </row>
    <row r="66" spans="1:31" x14ac:dyDescent="0.2">
      <c r="A66" s="9"/>
      <c r="B66" s="7" t="s">
        <v>67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9">
        <f>+Actuals!E233</f>
        <v>0</v>
      </c>
      <c r="I70" s="130">
        <f>+Actuals!F233</f>
        <v>0</v>
      </c>
      <c r="J70" s="129">
        <f>+Actuals!G233</f>
        <v>0</v>
      </c>
      <c r="K70" s="130">
        <f>+Actuals!H233</f>
        <v>0</v>
      </c>
      <c r="L70" s="129">
        <f>+Actuals!I233</f>
        <v>0</v>
      </c>
      <c r="M70" s="130">
        <f>+Actuals!J233</f>
        <v>0</v>
      </c>
      <c r="N70" s="129">
        <f>+Actuals!K233</f>
        <v>0</v>
      </c>
      <c r="O70" s="130">
        <f>+Actuals!L233</f>
        <v>0</v>
      </c>
      <c r="P70" s="129">
        <f>+Actuals!M233</f>
        <v>0</v>
      </c>
      <c r="Q70" s="130">
        <f>+Actuals!N233</f>
        <v>0</v>
      </c>
      <c r="R70" s="129">
        <f>+Actuals!O233</f>
        <v>0</v>
      </c>
      <c r="S70" s="130">
        <f>+Actuals!P233</f>
        <v>0</v>
      </c>
      <c r="T70" s="129">
        <f>+Actuals!Q233</f>
        <v>0</v>
      </c>
      <c r="U70" s="130">
        <f>+Actuals!R233</f>
        <v>0</v>
      </c>
      <c r="V70" s="129">
        <f>+Actuals!S233</f>
        <v>0</v>
      </c>
      <c r="W70" s="130">
        <f>+Actuals!T233</f>
        <v>0</v>
      </c>
      <c r="X70" s="129">
        <f>+Actuals!U233</f>
        <v>0</v>
      </c>
      <c r="Y70" s="130">
        <f>+Actuals!V233</f>
        <v>0</v>
      </c>
      <c r="Z70" s="129">
        <f>+Actuals!W233</f>
        <v>0</v>
      </c>
      <c r="AA70" s="130">
        <f>+Actuals!X233</f>
        <v>0</v>
      </c>
      <c r="AB70" s="129">
        <f>+Actuals!Y233</f>
        <v>0</v>
      </c>
      <c r="AC70" s="130">
        <f>+Actuals!Z233</f>
        <v>0</v>
      </c>
      <c r="AD70" s="129">
        <f>+Actuals!AA233</f>
        <v>0</v>
      </c>
      <c r="AE70" s="130">
        <f>+Actuals!AB233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9">
        <f>+Actuals!E234</f>
        <v>0</v>
      </c>
      <c r="I71" s="130">
        <f>+Actuals!F234</f>
        <v>0</v>
      </c>
      <c r="J71" s="129">
        <f>+Actuals!G234</f>
        <v>0</v>
      </c>
      <c r="K71" s="130">
        <f>+Actuals!H234</f>
        <v>0</v>
      </c>
      <c r="L71" s="129">
        <f>+Actuals!I234</f>
        <v>0</v>
      </c>
      <c r="M71" s="130">
        <f>+Actuals!J234</f>
        <v>0</v>
      </c>
      <c r="N71" s="129">
        <f>+Actuals!K234</f>
        <v>0</v>
      </c>
      <c r="O71" s="130">
        <f>+Actuals!L234</f>
        <v>0</v>
      </c>
      <c r="P71" s="129">
        <f>+Actuals!M234</f>
        <v>0</v>
      </c>
      <c r="Q71" s="130">
        <f>+Actuals!N234</f>
        <v>0</v>
      </c>
      <c r="R71" s="129">
        <f>+Actuals!O234</f>
        <v>0</v>
      </c>
      <c r="S71" s="130">
        <f>+Actuals!P234</f>
        <v>0</v>
      </c>
      <c r="T71" s="129">
        <f>+Actuals!Q234</f>
        <v>0</v>
      </c>
      <c r="U71" s="130">
        <f>+Actuals!R234</f>
        <v>0</v>
      </c>
      <c r="V71" s="129">
        <f>+Actuals!S234</f>
        <v>0</v>
      </c>
      <c r="W71" s="130">
        <f>+Actuals!T234</f>
        <v>0</v>
      </c>
      <c r="X71" s="129">
        <f>+Actuals!U234</f>
        <v>0</v>
      </c>
      <c r="Y71" s="130">
        <f>+Actuals!V234</f>
        <v>0</v>
      </c>
      <c r="Z71" s="129">
        <f>+Actuals!W234</f>
        <v>0</v>
      </c>
      <c r="AA71" s="130">
        <f>+Actuals!X234</f>
        <v>0</v>
      </c>
      <c r="AB71" s="129">
        <f>+Actuals!Y234</f>
        <v>0</v>
      </c>
      <c r="AC71" s="130">
        <f>+Actuals!Z234</f>
        <v>0</v>
      </c>
      <c r="AD71" s="129">
        <f>+Actuals!AA234</f>
        <v>0</v>
      </c>
      <c r="AE71" s="130">
        <f>+Actuals!AB234</f>
        <v>0</v>
      </c>
    </row>
    <row r="72" spans="1:31" x14ac:dyDescent="0.2">
      <c r="A72" s="9"/>
      <c r="B72" s="3"/>
      <c r="C72" s="55" t="s">
        <v>72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9">
        <f>+Actuals!E235</f>
        <v>0</v>
      </c>
      <c r="I73" s="130">
        <f>+Actuals!F235</f>
        <v>0</v>
      </c>
      <c r="J73" s="129">
        <f>+Actuals!G235</f>
        <v>0</v>
      </c>
      <c r="K73" s="130">
        <f>+Actuals!H235</f>
        <v>0</v>
      </c>
      <c r="L73" s="129">
        <f>+Actuals!I235</f>
        <v>0</v>
      </c>
      <c r="M73" s="130">
        <f>+Actuals!J235</f>
        <v>0</v>
      </c>
      <c r="N73" s="129">
        <f>+Actuals!K235</f>
        <v>0</v>
      </c>
      <c r="O73" s="130">
        <f>+Actuals!L235</f>
        <v>0</v>
      </c>
      <c r="P73" s="129">
        <f>+Actuals!M235</f>
        <v>0</v>
      </c>
      <c r="Q73" s="130">
        <f>+Actuals!N235</f>
        <v>0</v>
      </c>
      <c r="R73" s="129">
        <f>+Actuals!O235</f>
        <v>0</v>
      </c>
      <c r="S73" s="130">
        <f>+Actuals!P235</f>
        <v>0</v>
      </c>
      <c r="T73" s="129">
        <f>+Actuals!Q235</f>
        <v>0</v>
      </c>
      <c r="U73" s="130">
        <f>+Actuals!R235</f>
        <v>0</v>
      </c>
      <c r="V73" s="129">
        <f>+Actuals!S235</f>
        <v>0</v>
      </c>
      <c r="W73" s="130">
        <f>+Actuals!T235</f>
        <v>0</v>
      </c>
      <c r="X73" s="129">
        <f>+Actuals!U235</f>
        <v>0</v>
      </c>
      <c r="Y73" s="130">
        <f>+Actuals!V235</f>
        <v>0</v>
      </c>
      <c r="Z73" s="129">
        <f>+Actuals!W235</f>
        <v>0</v>
      </c>
      <c r="AA73" s="130">
        <f>+Actuals!X235</f>
        <v>0</v>
      </c>
      <c r="AB73" s="129">
        <f>+Actuals!Y235</f>
        <v>0</v>
      </c>
      <c r="AC73" s="130">
        <f>+Actuals!Z235</f>
        <v>0</v>
      </c>
      <c r="AD73" s="129">
        <f>+Actuals!AA235</f>
        <v>0</v>
      </c>
      <c r="AE73" s="130">
        <f>+Actuals!AB235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9">
        <f>+Actuals!E236</f>
        <v>0</v>
      </c>
      <c r="I74" s="130">
        <f>+Actuals!F236</f>
        <v>0</v>
      </c>
      <c r="J74" s="129">
        <f>+Actuals!G236</f>
        <v>0</v>
      </c>
      <c r="K74" s="130">
        <f>+Actuals!H236</f>
        <v>0</v>
      </c>
      <c r="L74" s="129">
        <f>+Actuals!I236</f>
        <v>0</v>
      </c>
      <c r="M74" s="130">
        <f>+Actuals!J236</f>
        <v>0</v>
      </c>
      <c r="N74" s="129">
        <f>+Actuals!K236</f>
        <v>0</v>
      </c>
      <c r="O74" s="130">
        <f>+Actuals!L236</f>
        <v>0</v>
      </c>
      <c r="P74" s="129">
        <f>+Actuals!M236</f>
        <v>0</v>
      </c>
      <c r="Q74" s="130">
        <f>+Actuals!N236</f>
        <v>0</v>
      </c>
      <c r="R74" s="129">
        <f>+Actuals!O236</f>
        <v>0</v>
      </c>
      <c r="S74" s="130">
        <f>+Actuals!P236</f>
        <v>0</v>
      </c>
      <c r="T74" s="129">
        <f>+Actuals!Q236</f>
        <v>0</v>
      </c>
      <c r="U74" s="130">
        <f>+Actuals!R236</f>
        <v>0</v>
      </c>
      <c r="V74" s="129">
        <f>+Actuals!S236</f>
        <v>0</v>
      </c>
      <c r="W74" s="130">
        <f>+Actuals!T236</f>
        <v>0</v>
      </c>
      <c r="X74" s="129">
        <f>+Actuals!U236</f>
        <v>0</v>
      </c>
      <c r="Y74" s="130">
        <f>+Actuals!V236</f>
        <v>0</v>
      </c>
      <c r="Z74" s="129">
        <f>+Actuals!W236</f>
        <v>0</v>
      </c>
      <c r="AA74" s="130">
        <f>+Actuals!X236</f>
        <v>0</v>
      </c>
      <c r="AB74" s="129">
        <f>+Actuals!Y236</f>
        <v>0</v>
      </c>
      <c r="AC74" s="130">
        <f>+Actuals!Z236</f>
        <v>0</v>
      </c>
      <c r="AD74" s="129">
        <f>+Actuals!AA236</f>
        <v>0</v>
      </c>
      <c r="AE74" s="130">
        <f>+Actuals!AB236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9">
        <f>+Actuals!E237</f>
        <v>0</v>
      </c>
      <c r="I75" s="130">
        <f>+Actuals!F237</f>
        <v>0</v>
      </c>
      <c r="J75" s="129">
        <f>+Actuals!G237</f>
        <v>0</v>
      </c>
      <c r="K75" s="130">
        <f>+Actuals!H237</f>
        <v>0</v>
      </c>
      <c r="L75" s="129">
        <f>+Actuals!I237</f>
        <v>0</v>
      </c>
      <c r="M75" s="130">
        <f>+Actuals!J237</f>
        <v>0</v>
      </c>
      <c r="N75" s="129">
        <f>+Actuals!K237</f>
        <v>0</v>
      </c>
      <c r="O75" s="130">
        <f>+Actuals!L237</f>
        <v>0</v>
      </c>
      <c r="P75" s="129">
        <f>+Actuals!M237</f>
        <v>0</v>
      </c>
      <c r="Q75" s="130">
        <f>+Actuals!N237</f>
        <v>0</v>
      </c>
      <c r="R75" s="129">
        <f>+Actuals!O237</f>
        <v>0</v>
      </c>
      <c r="S75" s="130">
        <f>+Actuals!P237</f>
        <v>0</v>
      </c>
      <c r="T75" s="129">
        <f>+Actuals!Q237</f>
        <v>0</v>
      </c>
      <c r="U75" s="130">
        <f>+Actuals!R237</f>
        <v>0</v>
      </c>
      <c r="V75" s="129">
        <f>+Actuals!S237</f>
        <v>0</v>
      </c>
      <c r="W75" s="130">
        <f>+Actuals!T237</f>
        <v>0</v>
      </c>
      <c r="X75" s="129">
        <f>+Actuals!U237</f>
        <v>0</v>
      </c>
      <c r="Y75" s="130">
        <f>+Actuals!V237</f>
        <v>0</v>
      </c>
      <c r="Z75" s="129">
        <f>+Actuals!W237</f>
        <v>0</v>
      </c>
      <c r="AA75" s="130">
        <f>+Actuals!X237</f>
        <v>0</v>
      </c>
      <c r="AB75" s="129">
        <f>+Actuals!Y237</f>
        <v>0</v>
      </c>
      <c r="AC75" s="130">
        <f>+Actuals!Z237</f>
        <v>0</v>
      </c>
      <c r="AD75" s="129">
        <f>+Actuals!AA237</f>
        <v>0</v>
      </c>
      <c r="AE75" s="130">
        <f>+Actuals!AB237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9">
        <f>+Actuals!E238</f>
        <v>0</v>
      </c>
      <c r="I76" s="130">
        <f>+Actuals!F238</f>
        <v>0</v>
      </c>
      <c r="J76" s="129">
        <f>+Actuals!G238</f>
        <v>0</v>
      </c>
      <c r="K76" s="130">
        <f>+Actuals!H238</f>
        <v>0</v>
      </c>
      <c r="L76" s="129">
        <f>+Actuals!I238</f>
        <v>0</v>
      </c>
      <c r="M76" s="130">
        <f>+Actuals!J238</f>
        <v>0</v>
      </c>
      <c r="N76" s="129">
        <f>+Actuals!K238</f>
        <v>0</v>
      </c>
      <c r="O76" s="130">
        <f>+Actuals!L238</f>
        <v>0</v>
      </c>
      <c r="P76" s="129">
        <f>+Actuals!M238</f>
        <v>0</v>
      </c>
      <c r="Q76" s="130">
        <f>+Actuals!N238</f>
        <v>0</v>
      </c>
      <c r="R76" s="129">
        <f>+Actuals!O238</f>
        <v>0</v>
      </c>
      <c r="S76" s="130">
        <f>+Actuals!P238</f>
        <v>0</v>
      </c>
      <c r="T76" s="129">
        <f>+Actuals!Q238</f>
        <v>0</v>
      </c>
      <c r="U76" s="130">
        <f>+Actuals!R238</f>
        <v>0</v>
      </c>
      <c r="V76" s="129">
        <f>+Actuals!S238</f>
        <v>0</v>
      </c>
      <c r="W76" s="130">
        <f>+Actuals!T238</f>
        <v>0</v>
      </c>
      <c r="X76" s="129">
        <f>+Actuals!U238</f>
        <v>0</v>
      </c>
      <c r="Y76" s="130">
        <f>+Actuals!V238</f>
        <v>0</v>
      </c>
      <c r="Z76" s="129">
        <f>+Actuals!W238</f>
        <v>0</v>
      </c>
      <c r="AA76" s="130">
        <f>+Actuals!X238</f>
        <v>0</v>
      </c>
      <c r="AB76" s="129">
        <f>+Actuals!Y238</f>
        <v>0</v>
      </c>
      <c r="AC76" s="130">
        <f>+Actuals!Z238</f>
        <v>0</v>
      </c>
      <c r="AD76" s="129">
        <f>+Actuals!AA238</f>
        <v>0</v>
      </c>
      <c r="AE76" s="130">
        <f>+Actuals!AB238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9">
        <f>+Actuals!E239</f>
        <v>0</v>
      </c>
      <c r="I77" s="130">
        <f>+Actuals!F239</f>
        <v>0</v>
      </c>
      <c r="J77" s="129">
        <f>+Actuals!G239</f>
        <v>0</v>
      </c>
      <c r="K77" s="130">
        <f>+Actuals!H239</f>
        <v>0</v>
      </c>
      <c r="L77" s="129">
        <f>+Actuals!I239</f>
        <v>0</v>
      </c>
      <c r="M77" s="130">
        <f>+Actuals!J239</f>
        <v>0</v>
      </c>
      <c r="N77" s="129">
        <f>+Actuals!K239</f>
        <v>0</v>
      </c>
      <c r="O77" s="130">
        <f>+Actuals!L239</f>
        <v>0</v>
      </c>
      <c r="P77" s="129">
        <f>+Actuals!M239</f>
        <v>0</v>
      </c>
      <c r="Q77" s="130">
        <f>+Actuals!N239</f>
        <v>0</v>
      </c>
      <c r="R77" s="129">
        <f>+Actuals!O239</f>
        <v>0</v>
      </c>
      <c r="S77" s="130">
        <f>+Actuals!P239</f>
        <v>0</v>
      </c>
      <c r="T77" s="129">
        <f>+Actuals!Q239</f>
        <v>0</v>
      </c>
      <c r="U77" s="130">
        <f>+Actuals!R239</f>
        <v>0</v>
      </c>
      <c r="V77" s="129">
        <f>+Actuals!S239</f>
        <v>0</v>
      </c>
      <c r="W77" s="130">
        <f>+Actuals!T239</f>
        <v>0</v>
      </c>
      <c r="X77" s="129">
        <f>+Actuals!U239</f>
        <v>0</v>
      </c>
      <c r="Y77" s="130">
        <f>+Actuals!V239</f>
        <v>0</v>
      </c>
      <c r="Z77" s="129">
        <f>+Actuals!W239</f>
        <v>0</v>
      </c>
      <c r="AA77" s="130">
        <f>+Actuals!X239</f>
        <v>0</v>
      </c>
      <c r="AB77" s="129">
        <f>+Actuals!Y239</f>
        <v>0</v>
      </c>
      <c r="AC77" s="130">
        <f>+Actuals!Z239</f>
        <v>0</v>
      </c>
      <c r="AD77" s="129">
        <f>+Actuals!AA239</f>
        <v>0</v>
      </c>
      <c r="AE77" s="130">
        <f>+Actuals!AB239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9">
        <f>+Actuals!E240</f>
        <v>0</v>
      </c>
      <c r="I78" s="130">
        <f>+Actuals!F240</f>
        <v>0</v>
      </c>
      <c r="J78" s="129">
        <f>+Actuals!G240</f>
        <v>0</v>
      </c>
      <c r="K78" s="130">
        <f>+Actuals!H240</f>
        <v>0</v>
      </c>
      <c r="L78" s="129">
        <f>+Actuals!I240</f>
        <v>0</v>
      </c>
      <c r="M78" s="130">
        <f>+Actuals!J240</f>
        <v>0</v>
      </c>
      <c r="N78" s="129">
        <f>+Actuals!K240</f>
        <v>0</v>
      </c>
      <c r="O78" s="130">
        <f>+Actuals!L240</f>
        <v>0</v>
      </c>
      <c r="P78" s="129">
        <f>+Actuals!M240</f>
        <v>0</v>
      </c>
      <c r="Q78" s="130">
        <f>+Actuals!N240</f>
        <v>0</v>
      </c>
      <c r="R78" s="129">
        <f>+Actuals!O240</f>
        <v>0</v>
      </c>
      <c r="S78" s="130">
        <f>+Actuals!P240</f>
        <v>0</v>
      </c>
      <c r="T78" s="129">
        <f>+Actuals!Q240</f>
        <v>0</v>
      </c>
      <c r="U78" s="130">
        <f>+Actuals!R240</f>
        <v>0</v>
      </c>
      <c r="V78" s="129">
        <f>+Actuals!S240</f>
        <v>0</v>
      </c>
      <c r="W78" s="130">
        <f>+Actuals!T240</f>
        <v>0</v>
      </c>
      <c r="X78" s="129">
        <f>+Actuals!U240</f>
        <v>0</v>
      </c>
      <c r="Y78" s="130">
        <f>+Actuals!V240</f>
        <v>0</v>
      </c>
      <c r="Z78" s="129">
        <f>+Actuals!W240</f>
        <v>0</v>
      </c>
      <c r="AA78" s="130">
        <f>+Actuals!X240</f>
        <v>0</v>
      </c>
      <c r="AB78" s="129">
        <f>+Actuals!Y240</f>
        <v>0</v>
      </c>
      <c r="AC78" s="130">
        <f>+Actuals!Z240</f>
        <v>0</v>
      </c>
      <c r="AD78" s="129">
        <f>+Actuals!AA240</f>
        <v>0</v>
      </c>
      <c r="AE78" s="130">
        <f>+Actuals!AB240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9">
        <f>+Actuals!E241</f>
        <v>0</v>
      </c>
      <c r="I79" s="130">
        <f>+Actuals!F241</f>
        <v>0</v>
      </c>
      <c r="J79" s="129">
        <f>+Actuals!G241</f>
        <v>0</v>
      </c>
      <c r="K79" s="130">
        <f>+Actuals!H241</f>
        <v>0</v>
      </c>
      <c r="L79" s="129">
        <f>+Actuals!I241</f>
        <v>0</v>
      </c>
      <c r="M79" s="130">
        <f>+Actuals!J241</f>
        <v>0</v>
      </c>
      <c r="N79" s="129">
        <f>+Actuals!K241</f>
        <v>0</v>
      </c>
      <c r="O79" s="130">
        <f>+Actuals!L241</f>
        <v>0</v>
      </c>
      <c r="P79" s="129">
        <f>+Actuals!M241</f>
        <v>0</v>
      </c>
      <c r="Q79" s="130">
        <f>+Actuals!N241</f>
        <v>0</v>
      </c>
      <c r="R79" s="129">
        <f>+Actuals!O241</f>
        <v>0</v>
      </c>
      <c r="S79" s="130">
        <f>+Actuals!P241</f>
        <v>0</v>
      </c>
      <c r="T79" s="129">
        <f>+Actuals!Q241</f>
        <v>0</v>
      </c>
      <c r="U79" s="130">
        <f>+Actuals!R241</f>
        <v>0</v>
      </c>
      <c r="V79" s="129">
        <f>+Actuals!S241</f>
        <v>0</v>
      </c>
      <c r="W79" s="130">
        <f>+Actuals!T241</f>
        <v>0</v>
      </c>
      <c r="X79" s="129">
        <f>+Actuals!U241</f>
        <v>0</v>
      </c>
      <c r="Y79" s="130">
        <f>+Actuals!V241</f>
        <v>0</v>
      </c>
      <c r="Z79" s="129">
        <f>+Actuals!W241</f>
        <v>0</v>
      </c>
      <c r="AA79" s="130">
        <f>+Actuals!X241</f>
        <v>0</v>
      </c>
      <c r="AB79" s="129">
        <f>+Actuals!Y241</f>
        <v>0</v>
      </c>
      <c r="AC79" s="130">
        <f>+Actuals!Z241</f>
        <v>0</v>
      </c>
      <c r="AD79" s="129">
        <f>+Actuals!AA241</f>
        <v>0</v>
      </c>
      <c r="AE79" s="130">
        <f>+Actuals!AB241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9">
        <f>+Actuals!E242</f>
        <v>0</v>
      </c>
      <c r="I80" s="130">
        <f>+Actuals!F242</f>
        <v>0</v>
      </c>
      <c r="J80" s="129">
        <f>+Actuals!G242</f>
        <v>0</v>
      </c>
      <c r="K80" s="130">
        <f>+Actuals!H242</f>
        <v>0</v>
      </c>
      <c r="L80" s="129">
        <f>+Actuals!I242</f>
        <v>0</v>
      </c>
      <c r="M80" s="130">
        <f>+Actuals!J242</f>
        <v>0</v>
      </c>
      <c r="N80" s="129">
        <f>+Actuals!K242</f>
        <v>0</v>
      </c>
      <c r="O80" s="130">
        <f>+Actuals!L242</f>
        <v>0</v>
      </c>
      <c r="P80" s="129">
        <f>+Actuals!M242</f>
        <v>0</v>
      </c>
      <c r="Q80" s="130">
        <f>+Actuals!N242</f>
        <v>0</v>
      </c>
      <c r="R80" s="129">
        <f>+Actuals!O242</f>
        <v>0</v>
      </c>
      <c r="S80" s="130">
        <f>+Actuals!P242</f>
        <v>0</v>
      </c>
      <c r="T80" s="129">
        <f>+Actuals!Q242</f>
        <v>0</v>
      </c>
      <c r="U80" s="130">
        <f>+Actuals!R242</f>
        <v>0</v>
      </c>
      <c r="V80" s="129">
        <f>+Actuals!S242</f>
        <v>0</v>
      </c>
      <c r="W80" s="130">
        <f>+Actuals!T242</f>
        <v>0</v>
      </c>
      <c r="X80" s="129">
        <f>+Actuals!U242</f>
        <v>0</v>
      </c>
      <c r="Y80" s="130">
        <f>+Actuals!V242</f>
        <v>0</v>
      </c>
      <c r="Z80" s="129">
        <f>+Actuals!W242</f>
        <v>0</v>
      </c>
      <c r="AA80" s="130">
        <f>+Actuals!X242</f>
        <v>0</v>
      </c>
      <c r="AB80" s="129">
        <f>+Actuals!Y242</f>
        <v>0</v>
      </c>
      <c r="AC80" s="130">
        <f>+Actuals!Z242</f>
        <v>0</v>
      </c>
      <c r="AD80" s="129">
        <f>+Actuals!AA242</f>
        <v>0</v>
      </c>
      <c r="AE80" s="130">
        <f>+Actuals!AB242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9">
        <f>+Actuals!E243</f>
        <v>0</v>
      </c>
      <c r="I81" s="130">
        <f>+Actuals!F243</f>
        <v>0</v>
      </c>
      <c r="J81" s="129">
        <f>+Actuals!G243</f>
        <v>0</v>
      </c>
      <c r="K81" s="130">
        <f>+Actuals!H243</f>
        <v>0</v>
      </c>
      <c r="L81" s="129">
        <f>+Actuals!I243</f>
        <v>0</v>
      </c>
      <c r="M81" s="130">
        <f>+Actuals!J243</f>
        <v>0</v>
      </c>
      <c r="N81" s="129">
        <f>+Actuals!K243</f>
        <v>0</v>
      </c>
      <c r="O81" s="130">
        <f>+Actuals!L243</f>
        <v>0</v>
      </c>
      <c r="P81" s="129">
        <f>+Actuals!M243</f>
        <v>0</v>
      </c>
      <c r="Q81" s="130">
        <f>+Actuals!N243</f>
        <v>0</v>
      </c>
      <c r="R81" s="129">
        <f>+Actuals!O243</f>
        <v>0</v>
      </c>
      <c r="S81" s="130">
        <f>+Actuals!P243</f>
        <v>0</v>
      </c>
      <c r="T81" s="129">
        <f>+Actuals!Q243</f>
        <v>0</v>
      </c>
      <c r="U81" s="130">
        <f>+Actuals!R243</f>
        <v>0</v>
      </c>
      <c r="V81" s="129">
        <f>+Actuals!S243</f>
        <v>0</v>
      </c>
      <c r="W81" s="130">
        <f>+Actuals!T243</f>
        <v>0</v>
      </c>
      <c r="X81" s="129">
        <f>+Actuals!U243</f>
        <v>0</v>
      </c>
      <c r="Y81" s="130">
        <f>+Actuals!V243</f>
        <v>0</v>
      </c>
      <c r="Z81" s="129">
        <f>+Actuals!W243</f>
        <v>0</v>
      </c>
      <c r="AA81" s="130">
        <f>+Actuals!X243</f>
        <v>0</v>
      </c>
      <c r="AB81" s="129">
        <f>+Actuals!Y243</f>
        <v>0</v>
      </c>
      <c r="AC81" s="130">
        <f>+Actuals!Z243</f>
        <v>0</v>
      </c>
      <c r="AD81" s="129">
        <f>+Actuals!AA243</f>
        <v>0</v>
      </c>
      <c r="AE81" s="130">
        <f>+Actuals!AB243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U10" activePane="bottomRight" state="frozen"/>
      <selection activeCell="U630" sqref="U630"/>
      <selection pane="topRight" activeCell="U630" sqref="U630"/>
      <selection pane="bottomLeft" activeCell="U630" sqref="U630"/>
      <selection pane="bottomRight" activeCell="AC41" sqref="AC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47942909</v>
      </c>
      <c r="E11" s="38">
        <f>SUM(G11,I11,K11,M11,O11,Q11,S11,U11,W11,Y11,AA11,AC11,AE11)</f>
        <v>104524477.68000001</v>
      </c>
      <c r="F11" s="60">
        <f>'TIE-OUT'!R11+RECLASS!R11</f>
        <v>0</v>
      </c>
      <c r="G11" s="38">
        <f>'TIE-OUT'!S11+RECLASS!S11</f>
        <v>1346250</v>
      </c>
      <c r="H11" s="129">
        <f>+Actuals!E244</f>
        <v>48159423</v>
      </c>
      <c r="I11" s="130">
        <f>+Actuals!F244</f>
        <v>109500227.32000001</v>
      </c>
      <c r="J11" s="129">
        <f>+Actuals!G244</f>
        <v>1633872</v>
      </c>
      <c r="K11" s="149">
        <f>+Actuals!H244</f>
        <v>-2224726.25</v>
      </c>
      <c r="L11" s="129">
        <f>+Actuals!I244</f>
        <v>-1308754</v>
      </c>
      <c r="M11" s="130">
        <f>+Actuals!J244</f>
        <v>-2828581.08</v>
      </c>
      <c r="N11" s="129">
        <f>+Actuals!K244</f>
        <v>-22790</v>
      </c>
      <c r="O11" s="130">
        <f>+Actuals!L244</f>
        <v>-58647.72</v>
      </c>
      <c r="P11" s="129">
        <f>+Actuals!M244</f>
        <v>-522399</v>
      </c>
      <c r="Q11" s="130">
        <f>+Actuals!N244</f>
        <v>-1200987.27</v>
      </c>
      <c r="R11" s="129">
        <f>+Actuals!O244</f>
        <v>-20492</v>
      </c>
      <c r="S11" s="130">
        <f>+Actuals!P244</f>
        <v>-55936.83</v>
      </c>
      <c r="T11" s="129">
        <f>+Actuals!Q244</f>
        <v>0</v>
      </c>
      <c r="U11" s="130">
        <f>+Actuals!R244</f>
        <v>-2131.31</v>
      </c>
      <c r="V11" s="129">
        <f>+Actuals!S444</f>
        <v>0</v>
      </c>
      <c r="W11" s="130">
        <f>+Actuals!T444</f>
        <v>-2827.78</v>
      </c>
      <c r="X11" s="129">
        <f>+Actuals!U444</f>
        <v>-2500</v>
      </c>
      <c r="Y11" s="130">
        <f>+Actuals!V444</f>
        <v>-5530.95</v>
      </c>
      <c r="Z11" s="129">
        <f>+Actuals!W444</f>
        <v>-1261</v>
      </c>
      <c r="AA11" s="130">
        <f>+Actuals!X444</f>
        <v>-2867.75</v>
      </c>
      <c r="AB11" s="129">
        <f>+Actuals!Y444</f>
        <v>27810</v>
      </c>
      <c r="AC11" s="130">
        <f>+Actuals!Z444</f>
        <v>60237.3</v>
      </c>
      <c r="AD11" s="129">
        <f>+Actuals!AA244</f>
        <v>0</v>
      </c>
      <c r="AE11" s="130">
        <f>+Actuals!AB244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-3223285.24</v>
      </c>
      <c r="F12" s="60">
        <f>'TIE-OUT'!R12+RECLASS!R12</f>
        <v>0</v>
      </c>
      <c r="G12" s="38">
        <f>'TIE-OUT'!S12+RECLASS!S12</f>
        <v>-3223285.24</v>
      </c>
      <c r="H12" s="129">
        <f>+Actuals!E245</f>
        <v>0</v>
      </c>
      <c r="I12" s="130">
        <f>+Actuals!F245</f>
        <v>0</v>
      </c>
      <c r="J12" s="129">
        <f>+Actuals!G245</f>
        <v>0</v>
      </c>
      <c r="K12" s="162">
        <f>+Actuals!H245</f>
        <v>0</v>
      </c>
      <c r="L12" s="129">
        <f>+Actuals!I245</f>
        <v>0</v>
      </c>
      <c r="M12" s="130">
        <f>+Actuals!J245</f>
        <v>0</v>
      </c>
      <c r="N12" s="129">
        <f>+Actuals!K245</f>
        <v>0</v>
      </c>
      <c r="O12" s="130">
        <f>+Actuals!L245</f>
        <v>0</v>
      </c>
      <c r="P12" s="129">
        <f>+Actuals!M245</f>
        <v>0</v>
      </c>
      <c r="Q12" s="130">
        <f>+Actuals!N245</f>
        <v>0</v>
      </c>
      <c r="R12" s="129">
        <f>+Actuals!O245</f>
        <v>0</v>
      </c>
      <c r="S12" s="130">
        <f>+Actuals!P245</f>
        <v>0</v>
      </c>
      <c r="T12" s="129">
        <f>+Actuals!Q245</f>
        <v>0</v>
      </c>
      <c r="U12" s="130">
        <f>+Actuals!R245</f>
        <v>0</v>
      </c>
      <c r="V12" s="129">
        <f>+Actuals!S445</f>
        <v>0</v>
      </c>
      <c r="W12" s="130">
        <f>+Actuals!T445</f>
        <v>0</v>
      </c>
      <c r="X12" s="129">
        <f>+Actuals!U445</f>
        <v>0</v>
      </c>
      <c r="Y12" s="130">
        <f>+Actuals!V445</f>
        <v>0</v>
      </c>
      <c r="Z12" s="129">
        <f>+Actuals!W445</f>
        <v>0</v>
      </c>
      <c r="AA12" s="130">
        <f>+Actuals!X445</f>
        <v>0</v>
      </c>
      <c r="AB12" s="129">
        <f>+Actuals!Y445</f>
        <v>0</v>
      </c>
      <c r="AC12" s="130">
        <f>+Actuals!Z445</f>
        <v>0</v>
      </c>
      <c r="AD12" s="129">
        <f>+Actuals!AA245</f>
        <v>0</v>
      </c>
      <c r="AE12" s="130">
        <f>+Actuals!AB245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28708483</v>
      </c>
      <c r="E13" s="38">
        <f t="shared" si="0"/>
        <v>65345130</v>
      </c>
      <c r="F13" s="60">
        <f>'TIE-OUT'!R13+RECLASS!R13</f>
        <v>0</v>
      </c>
      <c r="G13" s="38">
        <f>'TIE-OUT'!S13+RECLASS!S13</f>
        <v>0</v>
      </c>
      <c r="H13" s="129">
        <f>+Actuals!E246</f>
        <v>28708483</v>
      </c>
      <c r="I13" s="130">
        <f>+Actuals!F246</f>
        <v>65345130</v>
      </c>
      <c r="J13" s="129">
        <f>+Actuals!G246</f>
        <v>0</v>
      </c>
      <c r="K13" s="149">
        <f>+Actuals!H246</f>
        <v>0</v>
      </c>
      <c r="L13" s="129">
        <f>+Actuals!I246</f>
        <v>0</v>
      </c>
      <c r="M13" s="130">
        <f>+Actuals!J246</f>
        <v>0</v>
      </c>
      <c r="N13" s="129">
        <f>+Actuals!K246</f>
        <v>0</v>
      </c>
      <c r="O13" s="130">
        <f>+Actuals!L246</f>
        <v>0</v>
      </c>
      <c r="P13" s="129">
        <f>+Actuals!M246</f>
        <v>1457527</v>
      </c>
      <c r="Q13" s="130">
        <f>+Actuals!N246</f>
        <v>3236246</v>
      </c>
      <c r="R13" s="129">
        <f>+Actuals!O246</f>
        <v>1457527</v>
      </c>
      <c r="S13" s="130">
        <f>+Actuals!P246</f>
        <v>3236246</v>
      </c>
      <c r="T13" s="129">
        <f>+Actuals!Q246</f>
        <v>-2915054</v>
      </c>
      <c r="U13" s="130">
        <f>+Actuals!R246</f>
        <v>-6472492</v>
      </c>
      <c r="V13" s="129">
        <f>+Actuals!S446</f>
        <v>2915054</v>
      </c>
      <c r="W13" s="130">
        <f>+Actuals!T446</f>
        <v>6472492</v>
      </c>
      <c r="X13" s="129">
        <f>+Actuals!U446</f>
        <v>0</v>
      </c>
      <c r="Y13" s="130">
        <f>+Actuals!V446</f>
        <v>0</v>
      </c>
      <c r="Z13" s="129">
        <f>+Actuals!W446</f>
        <v>-2915054</v>
      </c>
      <c r="AA13" s="130">
        <f>+Actuals!X446</f>
        <v>-6472492</v>
      </c>
      <c r="AB13" s="129">
        <f>+Actuals!Y446</f>
        <v>0</v>
      </c>
      <c r="AC13" s="130">
        <f>+Actuals!Z446</f>
        <v>0</v>
      </c>
      <c r="AD13" s="129">
        <f>+Actuals!AA246</f>
        <v>0</v>
      </c>
      <c r="AE13" s="130">
        <f>+Actuals!AB246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9">
        <f>+Actuals!E247</f>
        <v>0</v>
      </c>
      <c r="I14" s="130">
        <f>+Actuals!F247</f>
        <v>0</v>
      </c>
      <c r="J14" s="129">
        <f>+Actuals!G247</f>
        <v>0</v>
      </c>
      <c r="K14" s="149">
        <f>+Actuals!H247</f>
        <v>0</v>
      </c>
      <c r="L14" s="129">
        <f>+Actuals!I247</f>
        <v>0</v>
      </c>
      <c r="M14" s="130">
        <f>+Actuals!J247</f>
        <v>0</v>
      </c>
      <c r="N14" s="129">
        <f>+Actuals!K247</f>
        <v>0</v>
      </c>
      <c r="O14" s="130">
        <f>+Actuals!L247</f>
        <v>0</v>
      </c>
      <c r="P14" s="129">
        <f>+Actuals!M247</f>
        <v>0</v>
      </c>
      <c r="Q14" s="130">
        <f>+Actuals!N247</f>
        <v>0</v>
      </c>
      <c r="R14" s="129">
        <f>+Actuals!O247</f>
        <v>0</v>
      </c>
      <c r="S14" s="130">
        <f>+Actuals!P247</f>
        <v>0</v>
      </c>
      <c r="T14" s="129">
        <f>+Actuals!Q247</f>
        <v>0</v>
      </c>
      <c r="U14" s="130">
        <f>+Actuals!R247</f>
        <v>0</v>
      </c>
      <c r="V14" s="129">
        <f>+Actuals!S447</f>
        <v>0</v>
      </c>
      <c r="W14" s="130">
        <f>+Actuals!T447</f>
        <v>0</v>
      </c>
      <c r="X14" s="129">
        <f>+Actuals!U447</f>
        <v>0</v>
      </c>
      <c r="Y14" s="130">
        <f>+Actuals!V447</f>
        <v>0</v>
      </c>
      <c r="Z14" s="129">
        <f>+Actuals!W447</f>
        <v>0</v>
      </c>
      <c r="AA14" s="130">
        <f>+Actuals!X447</f>
        <v>0</v>
      </c>
      <c r="AB14" s="129">
        <f>+Actuals!Y447</f>
        <v>0</v>
      </c>
      <c r="AC14" s="130">
        <f>+Actuals!Z447</f>
        <v>0</v>
      </c>
      <c r="AD14" s="129">
        <f>+Actuals!AA247</f>
        <v>0</v>
      </c>
      <c r="AE14" s="130">
        <f>+Actuals!AB247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9">
        <f>+Actuals!E248</f>
        <v>0</v>
      </c>
      <c r="I15" s="130">
        <f>+Actuals!F248</f>
        <v>0</v>
      </c>
      <c r="J15" s="129">
        <f>+Actuals!G248</f>
        <v>0</v>
      </c>
      <c r="K15" s="149">
        <f>+Actuals!H248</f>
        <v>0</v>
      </c>
      <c r="L15" s="129">
        <f>+Actuals!I248</f>
        <v>0</v>
      </c>
      <c r="M15" s="130">
        <f>+Actuals!J248</f>
        <v>0</v>
      </c>
      <c r="N15" s="129">
        <f>+Actuals!K248</f>
        <v>0</v>
      </c>
      <c r="O15" s="130">
        <f>+Actuals!L248</f>
        <v>0</v>
      </c>
      <c r="P15" s="129">
        <f>+Actuals!M248</f>
        <v>0</v>
      </c>
      <c r="Q15" s="130">
        <f>+Actuals!N248</f>
        <v>0</v>
      </c>
      <c r="R15" s="129">
        <f>+Actuals!O248</f>
        <v>0</v>
      </c>
      <c r="S15" s="130">
        <f>+Actuals!P248</f>
        <v>0</v>
      </c>
      <c r="T15" s="129">
        <f>+Actuals!Q248</f>
        <v>0</v>
      </c>
      <c r="U15" s="130">
        <f>+Actuals!R248</f>
        <v>0</v>
      </c>
      <c r="V15" s="129">
        <f>+Actuals!S448</f>
        <v>0</v>
      </c>
      <c r="W15" s="130">
        <f>+Actuals!T448</f>
        <v>0</v>
      </c>
      <c r="X15" s="129">
        <f>+Actuals!U448</f>
        <v>0</v>
      </c>
      <c r="Y15" s="130">
        <f>+Actuals!V448</f>
        <v>0</v>
      </c>
      <c r="Z15" s="129">
        <f>+Actuals!W448</f>
        <v>0</v>
      </c>
      <c r="AA15" s="130">
        <f>+Actuals!X448</f>
        <v>0</v>
      </c>
      <c r="AB15" s="129">
        <f>+Actuals!Y448</f>
        <v>0</v>
      </c>
      <c r="AC15" s="130">
        <f>+Actuals!Z448</f>
        <v>0</v>
      </c>
      <c r="AD15" s="129">
        <f>+Actuals!AA248</f>
        <v>0</v>
      </c>
      <c r="AE15" s="130">
        <f>+Actuals!AB248</f>
        <v>0</v>
      </c>
    </row>
    <row r="16" spans="1:31" x14ac:dyDescent="0.2">
      <c r="A16" s="9"/>
      <c r="B16" s="7" t="s">
        <v>33</v>
      </c>
      <c r="C16" s="6"/>
      <c r="D16" s="61">
        <f t="shared" ref="D16:AE16" si="1">SUM(D11:D15)</f>
        <v>76651392</v>
      </c>
      <c r="E16" s="39">
        <f t="shared" si="1"/>
        <v>166646322.44</v>
      </c>
      <c r="F16" s="61">
        <f t="shared" si="1"/>
        <v>0</v>
      </c>
      <c r="G16" s="39">
        <f t="shared" si="1"/>
        <v>-1877035.2400000002</v>
      </c>
      <c r="H16" s="61">
        <f t="shared" si="1"/>
        <v>76867906</v>
      </c>
      <c r="I16" s="39">
        <f t="shared" si="1"/>
        <v>174845357.31999999</v>
      </c>
      <c r="J16" s="61">
        <f t="shared" si="1"/>
        <v>1633872</v>
      </c>
      <c r="K16" s="150">
        <f t="shared" si="1"/>
        <v>-2224726.25</v>
      </c>
      <c r="L16" s="61">
        <f t="shared" si="1"/>
        <v>-1308754</v>
      </c>
      <c r="M16" s="39">
        <f t="shared" si="1"/>
        <v>-2828581.08</v>
      </c>
      <c r="N16" s="61">
        <f t="shared" si="1"/>
        <v>-22790</v>
      </c>
      <c r="O16" s="39">
        <f t="shared" si="1"/>
        <v>-58647.72</v>
      </c>
      <c r="P16" s="61">
        <f t="shared" si="1"/>
        <v>935128</v>
      </c>
      <c r="Q16" s="39">
        <f t="shared" si="1"/>
        <v>2035258.73</v>
      </c>
      <c r="R16" s="61">
        <f t="shared" si="1"/>
        <v>1437035</v>
      </c>
      <c r="S16" s="39">
        <f t="shared" si="1"/>
        <v>3180309.17</v>
      </c>
      <c r="T16" s="61">
        <f t="shared" si="1"/>
        <v>-2915054</v>
      </c>
      <c r="U16" s="39">
        <f t="shared" si="1"/>
        <v>-6474623.3099999996</v>
      </c>
      <c r="V16" s="61">
        <f t="shared" si="1"/>
        <v>2915054</v>
      </c>
      <c r="W16" s="39">
        <f t="shared" si="1"/>
        <v>6469664.2199999997</v>
      </c>
      <c r="X16" s="61">
        <f t="shared" ref="X16:AC16" si="2">SUM(X11:X15)</f>
        <v>-2500</v>
      </c>
      <c r="Y16" s="39">
        <f t="shared" si="2"/>
        <v>-5530.95</v>
      </c>
      <c r="Z16" s="61">
        <f t="shared" si="2"/>
        <v>-2916315</v>
      </c>
      <c r="AA16" s="39">
        <f t="shared" si="2"/>
        <v>-6475359.75</v>
      </c>
      <c r="AB16" s="61">
        <f t="shared" si="2"/>
        <v>27810</v>
      </c>
      <c r="AC16" s="39">
        <f t="shared" si="2"/>
        <v>60237.3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-33281285</v>
      </c>
      <c r="E19" s="38">
        <f t="shared" si="3"/>
        <v>-72447312.490000024</v>
      </c>
      <c r="F19" s="64">
        <f>'TIE-OUT'!R19+RECLASS!R19</f>
        <v>0</v>
      </c>
      <c r="G19" s="68">
        <f>'TIE-OUT'!S19+RECLASS!S19</f>
        <v>0</v>
      </c>
      <c r="H19" s="129">
        <f>+Actuals!E249</f>
        <v>-33064835</v>
      </c>
      <c r="I19" s="130">
        <f>+Actuals!F249</f>
        <v>-71967617.620000005</v>
      </c>
      <c r="J19" s="129">
        <f>+Actuals!G249</f>
        <v>-351128</v>
      </c>
      <c r="K19" s="149">
        <f>+Actuals!H249</f>
        <v>-786601.65</v>
      </c>
      <c r="L19" s="129">
        <f>+Actuals!I249</f>
        <v>158900</v>
      </c>
      <c r="M19" s="130">
        <f>+Actuals!J249</f>
        <v>357534.6</v>
      </c>
      <c r="N19" s="129">
        <f>+Actuals!K249</f>
        <v>-2649</v>
      </c>
      <c r="O19" s="130">
        <f>+Actuals!L249</f>
        <v>-5476.77</v>
      </c>
      <c r="P19" s="129">
        <f>+Actuals!M249</f>
        <v>17202</v>
      </c>
      <c r="Q19" s="130">
        <f>+Actuals!N249</f>
        <v>37236.22</v>
      </c>
      <c r="R19" s="129">
        <f>+Actuals!O249</f>
        <v>-8719</v>
      </c>
      <c r="S19" s="130">
        <f>+Actuals!P249</f>
        <v>-17400.810000000001</v>
      </c>
      <c r="T19" s="129">
        <f>+Actuals!Q249</f>
        <v>0</v>
      </c>
      <c r="U19" s="130">
        <f>+Actuals!R249</f>
        <v>828.66</v>
      </c>
      <c r="V19" s="129">
        <f>+Actuals!S449</f>
        <v>0</v>
      </c>
      <c r="W19" s="130">
        <f>+Actuals!T449</f>
        <v>581.16999999999996</v>
      </c>
      <c r="X19" s="129">
        <f>+Actuals!U449</f>
        <v>8346</v>
      </c>
      <c r="Y19" s="130">
        <f>+Actuals!V449</f>
        <v>17860.439999999999</v>
      </c>
      <c r="Z19" s="129">
        <f>+Actuals!W449</f>
        <v>1261</v>
      </c>
      <c r="AA19" s="130">
        <f>+Actuals!X449</f>
        <v>1590.19</v>
      </c>
      <c r="AB19" s="129">
        <f>+Actuals!Y449</f>
        <v>-39663</v>
      </c>
      <c r="AC19" s="130">
        <f>+Actuals!Z449</f>
        <v>-85846.92</v>
      </c>
      <c r="AD19" s="129">
        <f>+Actuals!AA249</f>
        <v>0</v>
      </c>
      <c r="AE19" s="130">
        <f>+Actuals!AB249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5455023.3499999996</v>
      </c>
      <c r="F20" s="60">
        <f>'TIE-OUT'!R20+RECLASS!R20</f>
        <v>0</v>
      </c>
      <c r="G20" s="38">
        <f>'TIE-OUT'!S20+RECLASS!S20</f>
        <v>5455023.3499999996</v>
      </c>
      <c r="H20" s="129">
        <f>+Actuals!E250</f>
        <v>0</v>
      </c>
      <c r="I20" s="130">
        <f>+Actuals!F250</f>
        <v>0</v>
      </c>
      <c r="J20" s="129">
        <f>+Actuals!G250</f>
        <v>0</v>
      </c>
      <c r="K20" s="149">
        <f>+Actuals!H250</f>
        <v>0</v>
      </c>
      <c r="L20" s="129">
        <f>+Actuals!I250</f>
        <v>0</v>
      </c>
      <c r="M20" s="130">
        <f>+Actuals!J250</f>
        <v>0</v>
      </c>
      <c r="N20" s="129">
        <f>+Actuals!K250</f>
        <v>0</v>
      </c>
      <c r="O20" s="130">
        <f>+Actuals!L250</f>
        <v>0</v>
      </c>
      <c r="P20" s="129">
        <f>+Actuals!M250</f>
        <v>0</v>
      </c>
      <c r="Q20" s="130">
        <f>+Actuals!N250</f>
        <v>0</v>
      </c>
      <c r="R20" s="129">
        <f>+Actuals!O250</f>
        <v>0</v>
      </c>
      <c r="S20" s="130">
        <f>+Actuals!P250</f>
        <v>0</v>
      </c>
      <c r="T20" s="129">
        <f>+Actuals!Q250</f>
        <v>0</v>
      </c>
      <c r="U20" s="130">
        <f>+Actuals!R250</f>
        <v>0</v>
      </c>
      <c r="V20" s="129">
        <f>+Actuals!S450</f>
        <v>0</v>
      </c>
      <c r="W20" s="159">
        <v>0</v>
      </c>
      <c r="X20" s="129">
        <f>+Actuals!U450</f>
        <v>0</v>
      </c>
      <c r="Y20" s="130">
        <v>0</v>
      </c>
      <c r="Z20" s="129">
        <f>+Actuals!W450</f>
        <v>0</v>
      </c>
      <c r="AA20" s="130">
        <v>0</v>
      </c>
      <c r="AB20" s="129">
        <f>+Actuals!Y450</f>
        <v>0</v>
      </c>
      <c r="AC20" s="130">
        <v>0</v>
      </c>
      <c r="AD20" s="129">
        <f>+Actuals!AA250</f>
        <v>0</v>
      </c>
      <c r="AE20" s="130">
        <f>+Actuals!AB250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-30437214</v>
      </c>
      <c r="E21" s="38">
        <f t="shared" si="3"/>
        <v>-69190550</v>
      </c>
      <c r="F21" s="60">
        <f>'TIE-OUT'!R21+RECLASS!R21</f>
        <v>0</v>
      </c>
      <c r="G21" s="38">
        <f>'TIE-OUT'!S21+RECLASS!S21</f>
        <v>0</v>
      </c>
      <c r="H21" s="129">
        <f>+Actuals!E251</f>
        <v>-30437214</v>
      </c>
      <c r="I21" s="130">
        <f>+Actuals!F251</f>
        <v>-69190550</v>
      </c>
      <c r="J21" s="129">
        <f>+Actuals!G251</f>
        <v>0</v>
      </c>
      <c r="K21" s="149">
        <f>+Actuals!H251</f>
        <v>0</v>
      </c>
      <c r="L21" s="129">
        <f>+Actuals!I251</f>
        <v>271205</v>
      </c>
      <c r="M21" s="130">
        <f>+Actuals!J251</f>
        <v>609175</v>
      </c>
      <c r="N21" s="129">
        <f>+Actuals!K251</f>
        <v>0</v>
      </c>
      <c r="O21" s="130">
        <f>+Actuals!L251</f>
        <v>0</v>
      </c>
      <c r="P21" s="129">
        <f>+Actuals!M251</f>
        <v>-1457527</v>
      </c>
      <c r="Q21" s="130">
        <f>+Actuals!N251</f>
        <v>-3236246</v>
      </c>
      <c r="R21" s="129">
        <f>+Actuals!O251</f>
        <v>-1457527</v>
      </c>
      <c r="S21" s="130">
        <f>+Actuals!P251</f>
        <v>-3236246</v>
      </c>
      <c r="T21" s="129">
        <f>+Actuals!Q251</f>
        <v>2643849</v>
      </c>
      <c r="U21" s="130">
        <f>+Actuals!R251</f>
        <v>5863317</v>
      </c>
      <c r="V21" s="129">
        <f>+Actuals!S451</f>
        <v>-2643849</v>
      </c>
      <c r="W21" s="130">
        <f>+Actuals!T451</f>
        <v>-5863317</v>
      </c>
      <c r="X21" s="129">
        <f>+Actuals!U451</f>
        <v>0</v>
      </c>
      <c r="Y21" s="130">
        <f>+Actuals!V451</f>
        <v>0</v>
      </c>
      <c r="Z21" s="129">
        <f>+Actuals!W451</f>
        <v>2643849</v>
      </c>
      <c r="AA21" s="130">
        <f>+Actuals!X451</f>
        <v>5863317</v>
      </c>
      <c r="AB21" s="129">
        <f>+Actuals!Y451</f>
        <v>0</v>
      </c>
      <c r="AC21" s="130">
        <f>+Actuals!Z451</f>
        <v>0</v>
      </c>
      <c r="AD21" s="129">
        <f>+Actuals!AA251</f>
        <v>0</v>
      </c>
      <c r="AE21" s="130">
        <f>+Actuals!AB251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9">
        <f>+Actuals!E252</f>
        <v>0</v>
      </c>
      <c r="I22" s="130">
        <f>+Actuals!F252</f>
        <v>0</v>
      </c>
      <c r="J22" s="129">
        <f>+Actuals!G252</f>
        <v>0</v>
      </c>
      <c r="K22" s="149">
        <f>+Actuals!H252</f>
        <v>0</v>
      </c>
      <c r="L22" s="129">
        <f>+Actuals!I252</f>
        <v>0</v>
      </c>
      <c r="M22" s="130">
        <f>+Actuals!J252</f>
        <v>0</v>
      </c>
      <c r="N22" s="129">
        <f>+Actuals!K252</f>
        <v>0</v>
      </c>
      <c r="O22" s="130">
        <f>+Actuals!L252</f>
        <v>0</v>
      </c>
      <c r="P22" s="129">
        <f>+Actuals!M252</f>
        <v>0</v>
      </c>
      <c r="Q22" s="130">
        <f>+Actuals!N252</f>
        <v>0</v>
      </c>
      <c r="R22" s="129">
        <f>+Actuals!O252</f>
        <v>0</v>
      </c>
      <c r="S22" s="130">
        <f>+Actuals!P252</f>
        <v>0</v>
      </c>
      <c r="T22" s="129">
        <f>+Actuals!Q252</f>
        <v>0</v>
      </c>
      <c r="U22" s="130">
        <f>+Actuals!R252</f>
        <v>0</v>
      </c>
      <c r="V22" s="129">
        <f>+Actuals!S452</f>
        <v>0</v>
      </c>
      <c r="W22" s="130">
        <f>+Actuals!T452</f>
        <v>0</v>
      </c>
      <c r="X22" s="129">
        <f>+Actuals!U452</f>
        <v>0</v>
      </c>
      <c r="Y22" s="130">
        <f>+Actuals!V452</f>
        <v>0</v>
      </c>
      <c r="Z22" s="129">
        <f>+Actuals!W452</f>
        <v>0</v>
      </c>
      <c r="AA22" s="130">
        <f>+Actuals!X452</f>
        <v>0</v>
      </c>
      <c r="AB22" s="129">
        <f>+Actuals!Y452</f>
        <v>0</v>
      </c>
      <c r="AC22" s="130">
        <f>+Actuals!Z452</f>
        <v>0</v>
      </c>
      <c r="AD22" s="129">
        <f>+Actuals!AA252</f>
        <v>0</v>
      </c>
      <c r="AE22" s="130">
        <f>+Actuals!AB252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2980</v>
      </c>
      <c r="E23" s="38">
        <f t="shared" si="3"/>
        <v>6499.38</v>
      </c>
      <c r="F23" s="81">
        <f>'TIE-OUT'!R23+RECLASS!R23</f>
        <v>0</v>
      </c>
      <c r="G23" s="82">
        <f>'TIE-OUT'!S23+RECLASS!S23</f>
        <v>0</v>
      </c>
      <c r="H23" s="129">
        <f>+Actuals!E253</f>
        <v>60</v>
      </c>
      <c r="I23" s="130">
        <f>+Actuals!F253</f>
        <v>130.86000000000001</v>
      </c>
      <c r="J23" s="129">
        <f>+Actuals!G253</f>
        <v>2920</v>
      </c>
      <c r="K23" s="149">
        <f>+Actuals!H253</f>
        <v>6368.52</v>
      </c>
      <c r="L23" s="129">
        <f>+Actuals!I253</f>
        <v>0</v>
      </c>
      <c r="M23" s="130">
        <f>+Actuals!J253</f>
        <v>0</v>
      </c>
      <c r="N23" s="129">
        <f>+Actuals!K253</f>
        <v>0</v>
      </c>
      <c r="O23" s="130">
        <f>+Actuals!L253</f>
        <v>0</v>
      </c>
      <c r="P23" s="129">
        <f>+Actuals!M253</f>
        <v>0</v>
      </c>
      <c r="Q23" s="130">
        <f>+Actuals!N253</f>
        <v>0</v>
      </c>
      <c r="R23" s="129">
        <f>+Actuals!O253</f>
        <v>0</v>
      </c>
      <c r="S23" s="130">
        <f>+Actuals!P253</f>
        <v>0</v>
      </c>
      <c r="T23" s="129">
        <f>+Actuals!Q253</f>
        <v>0</v>
      </c>
      <c r="U23" s="130">
        <f>+Actuals!R253</f>
        <v>0</v>
      </c>
      <c r="V23" s="129">
        <f>+Actuals!S453</f>
        <v>0</v>
      </c>
      <c r="W23" s="130">
        <f>+Actuals!T453</f>
        <v>0</v>
      </c>
      <c r="X23" s="129">
        <f>+Actuals!U453</f>
        <v>0</v>
      </c>
      <c r="Y23" s="130">
        <f>+Actuals!V453</f>
        <v>0</v>
      </c>
      <c r="Z23" s="129">
        <f>+Actuals!W453</f>
        <v>0</v>
      </c>
      <c r="AA23" s="130">
        <f>+Actuals!X453</f>
        <v>0</v>
      </c>
      <c r="AB23" s="129">
        <f>+Actuals!Y453</f>
        <v>0</v>
      </c>
      <c r="AC23" s="130">
        <f>+Actuals!Z453</f>
        <v>0</v>
      </c>
      <c r="AD23" s="129">
        <f>+Actuals!AA253</f>
        <v>0</v>
      </c>
      <c r="AE23" s="130">
        <f>+Actuals!AB253</f>
        <v>0</v>
      </c>
    </row>
    <row r="24" spans="1:31" x14ac:dyDescent="0.2">
      <c r="A24" s="9"/>
      <c r="B24" s="7" t="s">
        <v>36</v>
      </c>
      <c r="C24" s="6"/>
      <c r="D24" s="61">
        <f t="shared" ref="D24:AE24" si="4">SUM(D19:D23)</f>
        <v>-63715519</v>
      </c>
      <c r="E24" s="39">
        <f t="shared" si="4"/>
        <v>-136176339.76000002</v>
      </c>
      <c r="F24" s="61">
        <f t="shared" si="4"/>
        <v>0</v>
      </c>
      <c r="G24" s="39">
        <f t="shared" si="4"/>
        <v>5455023.3499999996</v>
      </c>
      <c r="H24" s="61">
        <f t="shared" si="4"/>
        <v>-63501989</v>
      </c>
      <c r="I24" s="39">
        <f t="shared" si="4"/>
        <v>-141158036.75999999</v>
      </c>
      <c r="J24" s="61">
        <f t="shared" si="4"/>
        <v>-348208</v>
      </c>
      <c r="K24" s="150">
        <f t="shared" si="4"/>
        <v>-780233.13</v>
      </c>
      <c r="L24" s="61">
        <f t="shared" si="4"/>
        <v>430105</v>
      </c>
      <c r="M24" s="39">
        <f t="shared" si="4"/>
        <v>966709.6</v>
      </c>
      <c r="N24" s="61">
        <f t="shared" si="4"/>
        <v>-2649</v>
      </c>
      <c r="O24" s="39">
        <f t="shared" si="4"/>
        <v>-5476.77</v>
      </c>
      <c r="P24" s="61">
        <f t="shared" si="4"/>
        <v>-1440325</v>
      </c>
      <c r="Q24" s="39">
        <f t="shared" si="4"/>
        <v>-3199009.78</v>
      </c>
      <c r="R24" s="61">
        <f t="shared" si="4"/>
        <v>-1466246</v>
      </c>
      <c r="S24" s="39">
        <f t="shared" si="4"/>
        <v>-3253646.81</v>
      </c>
      <c r="T24" s="61">
        <f t="shared" si="4"/>
        <v>2643849</v>
      </c>
      <c r="U24" s="39">
        <f t="shared" si="4"/>
        <v>5864145.6600000001</v>
      </c>
      <c r="V24" s="61">
        <f t="shared" si="4"/>
        <v>-2643849</v>
      </c>
      <c r="W24" s="39">
        <f t="shared" si="4"/>
        <v>-5862735.8300000001</v>
      </c>
      <c r="X24" s="61">
        <f t="shared" ref="X24:AC24" si="5">SUM(X19:X23)</f>
        <v>8346</v>
      </c>
      <c r="Y24" s="39">
        <f t="shared" si="5"/>
        <v>17860.439999999999</v>
      </c>
      <c r="Z24" s="61">
        <f t="shared" si="5"/>
        <v>2645110</v>
      </c>
      <c r="AA24" s="39">
        <f t="shared" si="5"/>
        <v>5864907.1900000004</v>
      </c>
      <c r="AB24" s="61">
        <f t="shared" si="5"/>
        <v>-39663</v>
      </c>
      <c r="AC24" s="39">
        <f t="shared" si="5"/>
        <v>-85846.92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142846</v>
      </c>
      <c r="E27" s="38">
        <f>SUM(G27,I27,K27,M27,O27,Q27,S27,U27,W27,Y27,AA27,AC27,AE27)</f>
        <v>319974.40000000002</v>
      </c>
      <c r="F27" s="64">
        <f>'TIE-OUT'!R27+RECLASS!R27</f>
        <v>0</v>
      </c>
      <c r="G27" s="68">
        <f>'TIE-OUT'!S27+RECLASS!S27</f>
        <v>0</v>
      </c>
      <c r="H27" s="129">
        <f>+Actuals!E254</f>
        <v>145650</v>
      </c>
      <c r="I27" s="130">
        <f>+Actuals!F254</f>
        <v>326256</v>
      </c>
      <c r="J27" s="129">
        <f>+Actuals!G254</f>
        <v>8086</v>
      </c>
      <c r="K27" s="149">
        <f>+Actuals!H254</f>
        <v>18112</v>
      </c>
      <c r="L27" s="129">
        <f>+Actuals!I254</f>
        <v>0</v>
      </c>
      <c r="M27" s="130">
        <f>+Actuals!J254</f>
        <v>0</v>
      </c>
      <c r="N27" s="129">
        <f>+Actuals!K254</f>
        <v>0</v>
      </c>
      <c r="O27" s="130">
        <f>+Actuals!L254</f>
        <v>0</v>
      </c>
      <c r="P27" s="129">
        <f>+Actuals!M254</f>
        <v>0</v>
      </c>
      <c r="Q27" s="130">
        <f>+Actuals!N254</f>
        <v>0</v>
      </c>
      <c r="R27" s="129">
        <f>+Actuals!O254</f>
        <v>-10890</v>
      </c>
      <c r="S27" s="130">
        <f>+Actuals!P254</f>
        <v>-24393.599999999999</v>
      </c>
      <c r="T27" s="129">
        <f>+Actuals!Q254</f>
        <v>0</v>
      </c>
      <c r="U27" s="130">
        <f>+Actuals!R254</f>
        <v>0</v>
      </c>
      <c r="V27" s="129">
        <f>+Actuals!S454</f>
        <v>0</v>
      </c>
      <c r="W27" s="130">
        <f>+Actuals!T454</f>
        <v>0</v>
      </c>
      <c r="X27" s="129">
        <f>+Actuals!U454</f>
        <v>0</v>
      </c>
      <c r="Y27" s="130">
        <f>+Actuals!V454</f>
        <v>0</v>
      </c>
      <c r="Z27" s="129">
        <f>+Actuals!W454</f>
        <v>0</v>
      </c>
      <c r="AA27" s="130">
        <f>+Actuals!X454</f>
        <v>0</v>
      </c>
      <c r="AB27" s="129">
        <f>+Actuals!Y454</f>
        <v>0</v>
      </c>
      <c r="AC27" s="130">
        <f>+Actuals!Z454</f>
        <v>0</v>
      </c>
      <c r="AD27" s="129">
        <f>+Actuals!AA254</f>
        <v>0</v>
      </c>
      <c r="AE27" s="130">
        <f>+Actuals!AB254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-14777237</v>
      </c>
      <c r="E28" s="38">
        <f>SUM(G28,I28,K28,M28,O28,Q28,S28,U28,W28,Y28,AA28,AC28,AE28)</f>
        <v>-32972986.809999995</v>
      </c>
      <c r="F28" s="81">
        <f>'TIE-OUT'!R28+RECLASS!R28</f>
        <v>0</v>
      </c>
      <c r="G28" s="82">
        <f>'TIE-OUT'!S28+RECLASS!S28</f>
        <v>0</v>
      </c>
      <c r="H28" s="129">
        <f>+Actuals!E255</f>
        <v>-14769361</v>
      </c>
      <c r="I28" s="130">
        <f>+Actuals!F255</f>
        <v>-32954915.649999999</v>
      </c>
      <c r="J28" s="129">
        <f>+Actuals!G255</f>
        <v>-1051471</v>
      </c>
      <c r="K28" s="149">
        <f>+Actuals!H255</f>
        <v>-748386.51</v>
      </c>
      <c r="L28" s="129">
        <f>+Actuals!I255</f>
        <v>1015204</v>
      </c>
      <c r="M28" s="130">
        <f>+Actuals!J255</f>
        <v>666719.51</v>
      </c>
      <c r="N28" s="129">
        <f>+Actuals!K255</f>
        <v>0</v>
      </c>
      <c r="O28" s="130">
        <f>+Actuals!L255</f>
        <v>0</v>
      </c>
      <c r="P28" s="129">
        <f>+Actuals!M255</f>
        <v>12899</v>
      </c>
      <c r="Q28" s="130">
        <f>+Actuals!N255</f>
        <v>28893.759999999998</v>
      </c>
      <c r="R28" s="129">
        <f>+Actuals!O255</f>
        <v>15492</v>
      </c>
      <c r="S28" s="130">
        <f>+Actuals!P255</f>
        <v>34702.080000000002</v>
      </c>
      <c r="T28" s="129">
        <f>+Actuals!Q255</f>
        <v>0</v>
      </c>
      <c r="U28" s="130">
        <f>+Actuals!R255</f>
        <v>0</v>
      </c>
      <c r="V28" s="129">
        <f>+Actuals!S455</f>
        <v>0</v>
      </c>
      <c r="W28" s="130">
        <f>+Actuals!T455</f>
        <v>0</v>
      </c>
      <c r="X28" s="129">
        <f>+Actuals!U455</f>
        <v>0</v>
      </c>
      <c r="Y28" s="130">
        <f>+Actuals!V455</f>
        <v>0</v>
      </c>
      <c r="Z28" s="129">
        <f>+Actuals!W455</f>
        <v>0</v>
      </c>
      <c r="AA28" s="130">
        <f>+Actuals!X455</f>
        <v>0</v>
      </c>
      <c r="AB28" s="129">
        <f>+Actuals!Y455</f>
        <v>0</v>
      </c>
      <c r="AC28" s="130">
        <f>+Actuals!Z455</f>
        <v>0</v>
      </c>
      <c r="AD28" s="129">
        <f>+Actuals!AA255</f>
        <v>0</v>
      </c>
      <c r="AE28" s="130">
        <f>+Actuals!AB255</f>
        <v>0</v>
      </c>
    </row>
    <row r="29" spans="1:31" x14ac:dyDescent="0.2">
      <c r="A29" s="9"/>
      <c r="B29" s="7" t="s">
        <v>40</v>
      </c>
      <c r="C29" s="18"/>
      <c r="D29" s="61">
        <f t="shared" ref="D29:AE29" si="6">SUM(D27:D28)</f>
        <v>-14634391</v>
      </c>
      <c r="E29" s="39">
        <f t="shared" si="6"/>
        <v>-32653012.409999996</v>
      </c>
      <c r="F29" s="61">
        <f t="shared" si="6"/>
        <v>0</v>
      </c>
      <c r="G29" s="39">
        <f t="shared" si="6"/>
        <v>0</v>
      </c>
      <c r="H29" s="61">
        <f t="shared" si="6"/>
        <v>-14623711</v>
      </c>
      <c r="I29" s="39">
        <f t="shared" si="6"/>
        <v>-32628659.649999999</v>
      </c>
      <c r="J29" s="61">
        <f t="shared" si="6"/>
        <v>-1043385</v>
      </c>
      <c r="K29" s="150">
        <f t="shared" si="6"/>
        <v>-730274.51</v>
      </c>
      <c r="L29" s="61">
        <f t="shared" si="6"/>
        <v>1015204</v>
      </c>
      <c r="M29" s="39">
        <f t="shared" si="6"/>
        <v>666719.51</v>
      </c>
      <c r="N29" s="61">
        <f t="shared" si="6"/>
        <v>0</v>
      </c>
      <c r="O29" s="39">
        <f t="shared" si="6"/>
        <v>0</v>
      </c>
      <c r="P29" s="61">
        <f t="shared" si="6"/>
        <v>12899</v>
      </c>
      <c r="Q29" s="39">
        <f t="shared" si="6"/>
        <v>28893.759999999998</v>
      </c>
      <c r="R29" s="61">
        <f t="shared" si="6"/>
        <v>4602</v>
      </c>
      <c r="S29" s="39">
        <f t="shared" si="6"/>
        <v>10308.480000000003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ref="X29:AC29" si="7">SUM(X27:X28)</f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-498612</v>
      </c>
      <c r="E32" s="38">
        <f t="shared" si="8"/>
        <v>-1087473.0540000002</v>
      </c>
      <c r="F32" s="64">
        <f>'TIE-OUT'!R32+RECLASS!R32</f>
        <v>0</v>
      </c>
      <c r="G32" s="68">
        <f>'TIE-OUT'!S32+RECLASS!S32</f>
        <v>0</v>
      </c>
      <c r="H32" s="129">
        <f>+Actuals!E256</f>
        <v>783989</v>
      </c>
      <c r="I32" s="130">
        <f>+Actuals!F256</f>
        <v>1709880.01</v>
      </c>
      <c r="J32" s="129">
        <f>+Actuals!G256</f>
        <v>-1076701</v>
      </c>
      <c r="K32" s="149">
        <f>+Actuals!H256</f>
        <v>-2422577.25</v>
      </c>
      <c r="L32" s="129">
        <f>+Actuals!I256</f>
        <v>864790</v>
      </c>
      <c r="M32" s="130">
        <f>+Actuals!J256</f>
        <v>1788550.524</v>
      </c>
      <c r="N32" s="129">
        <f>+Actuals!K256</f>
        <v>240532</v>
      </c>
      <c r="O32" s="130">
        <f>+Actuals!L256</f>
        <v>716297.09</v>
      </c>
      <c r="P32" s="129">
        <f>+Actuals!M256</f>
        <v>-74490</v>
      </c>
      <c r="Q32" s="130">
        <f>+Actuals!N256</f>
        <v>-182331.64</v>
      </c>
      <c r="R32" s="129">
        <f>+Actuals!O256</f>
        <v>-426283</v>
      </c>
      <c r="S32" s="130">
        <f>+Actuals!P256</f>
        <v>-929723.21799999999</v>
      </c>
      <c r="T32" s="129">
        <f>+Actuals!Q256</f>
        <v>0</v>
      </c>
      <c r="U32" s="130">
        <f>+Actuals!R256</f>
        <v>0</v>
      </c>
      <c r="V32" s="129">
        <f>+Actuals!S456</f>
        <v>0</v>
      </c>
      <c r="W32" s="130">
        <f>+Actuals!T456</f>
        <v>0</v>
      </c>
      <c r="X32" s="129">
        <f>+Actuals!U456</f>
        <v>-791964</v>
      </c>
      <c r="Y32" s="130">
        <f>+Actuals!V456</f>
        <v>-1727252.7849999999</v>
      </c>
      <c r="Z32" s="129">
        <f>+Actuals!W456</f>
        <v>0</v>
      </c>
      <c r="AA32" s="130">
        <f>+Actuals!X456</f>
        <v>0</v>
      </c>
      <c r="AB32" s="129">
        <f>+Actuals!Y456</f>
        <v>-18485</v>
      </c>
      <c r="AC32" s="130">
        <f>+Actuals!Z456</f>
        <v>-40315.785000000003</v>
      </c>
      <c r="AD32" s="129">
        <f>+Actuals!AA256</f>
        <v>0</v>
      </c>
      <c r="AE32" s="130">
        <f>+Actuals!AB256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9">
        <f>+Actuals!E257</f>
        <v>0</v>
      </c>
      <c r="I33" s="130">
        <f>+Actuals!F257</f>
        <v>0</v>
      </c>
      <c r="J33" s="129">
        <f>+Actuals!G257</f>
        <v>0</v>
      </c>
      <c r="K33" s="149">
        <f>+Actuals!H257</f>
        <v>0</v>
      </c>
      <c r="L33" s="129">
        <f>+Actuals!I257</f>
        <v>0</v>
      </c>
      <c r="M33" s="130">
        <f>+Actuals!J257</f>
        <v>0</v>
      </c>
      <c r="N33" s="129">
        <f>+Actuals!K257</f>
        <v>0</v>
      </c>
      <c r="O33" s="130">
        <f>+Actuals!L257</f>
        <v>0</v>
      </c>
      <c r="P33" s="129">
        <f>+Actuals!M257</f>
        <v>0</v>
      </c>
      <c r="Q33" s="130">
        <f>+Actuals!N257</f>
        <v>0</v>
      </c>
      <c r="R33" s="129">
        <f>+Actuals!O257</f>
        <v>0</v>
      </c>
      <c r="S33" s="130">
        <f>+Actuals!P257</f>
        <v>0</v>
      </c>
      <c r="T33" s="129">
        <f>+Actuals!Q257</f>
        <v>0</v>
      </c>
      <c r="U33" s="130">
        <f>+Actuals!R257</f>
        <v>0</v>
      </c>
      <c r="V33" s="129">
        <f>+Actuals!S457</f>
        <v>0</v>
      </c>
      <c r="W33" s="130">
        <f>+Actuals!T457</f>
        <v>0</v>
      </c>
      <c r="X33" s="129">
        <f>+Actuals!U457</f>
        <v>0</v>
      </c>
      <c r="Y33" s="130">
        <f>+Actuals!V457</f>
        <v>0</v>
      </c>
      <c r="Z33" s="129">
        <f>+Actuals!W457</f>
        <v>0</v>
      </c>
      <c r="AA33" s="130">
        <f>+Actuals!X457</f>
        <v>0</v>
      </c>
      <c r="AB33" s="129">
        <f>+Actuals!Y457</f>
        <v>0</v>
      </c>
      <c r="AC33" s="130">
        <f>+Actuals!Z457</f>
        <v>0</v>
      </c>
      <c r="AD33" s="129">
        <f>+Actuals!AA257</f>
        <v>0</v>
      </c>
      <c r="AE33" s="130">
        <f>+Actuals!AB257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9">
        <f>+Actuals!E258</f>
        <v>0</v>
      </c>
      <c r="I34" s="130">
        <f>+Actuals!F258</f>
        <v>0</v>
      </c>
      <c r="J34" s="129">
        <f>+Actuals!G258</f>
        <v>0</v>
      </c>
      <c r="K34" s="149">
        <f>+Actuals!H258</f>
        <v>0</v>
      </c>
      <c r="L34" s="129">
        <f>+Actuals!I258</f>
        <v>0</v>
      </c>
      <c r="M34" s="130">
        <f>+Actuals!J258</f>
        <v>0</v>
      </c>
      <c r="N34" s="129">
        <f>+Actuals!K258</f>
        <v>0</v>
      </c>
      <c r="O34" s="130">
        <f>+Actuals!L258</f>
        <v>0</v>
      </c>
      <c r="P34" s="129">
        <f>+Actuals!M258</f>
        <v>0</v>
      </c>
      <c r="Q34" s="130">
        <f>+Actuals!N258</f>
        <v>0</v>
      </c>
      <c r="R34" s="129">
        <f>+Actuals!O258</f>
        <v>0</v>
      </c>
      <c r="S34" s="130">
        <f>+Actuals!P258</f>
        <v>0</v>
      </c>
      <c r="T34" s="129">
        <f>+Actuals!Q258</f>
        <v>0</v>
      </c>
      <c r="U34" s="130">
        <f>+Actuals!R258</f>
        <v>0</v>
      </c>
      <c r="V34" s="129">
        <f>+Actuals!S458</f>
        <v>0</v>
      </c>
      <c r="W34" s="130">
        <f>+Actuals!T458</f>
        <v>0</v>
      </c>
      <c r="X34" s="129">
        <f>+Actuals!U458</f>
        <v>0</v>
      </c>
      <c r="Y34" s="130">
        <f>+Actuals!V458</f>
        <v>0</v>
      </c>
      <c r="Z34" s="129">
        <f>+Actuals!W458</f>
        <v>0</v>
      </c>
      <c r="AA34" s="130">
        <f>+Actuals!X458</f>
        <v>0</v>
      </c>
      <c r="AB34" s="129">
        <f>+Actuals!Y458</f>
        <v>0</v>
      </c>
      <c r="AC34" s="130">
        <f>+Actuals!Z458</f>
        <v>0</v>
      </c>
      <c r="AD34" s="129">
        <f>+Actuals!AA258</f>
        <v>0</v>
      </c>
      <c r="AE34" s="130">
        <f>+Actuals!AB258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29">
        <f>+Actuals!E259</f>
        <v>0</v>
      </c>
      <c r="I35" s="130">
        <f>+Actuals!F259</f>
        <v>0.01</v>
      </c>
      <c r="J35" s="129">
        <f>+Actuals!G259</f>
        <v>0</v>
      </c>
      <c r="K35" s="149">
        <f>+Actuals!H259</f>
        <v>0</v>
      </c>
      <c r="L35" s="129">
        <f>+Actuals!I259</f>
        <v>0</v>
      </c>
      <c r="M35" s="130">
        <f>+Actuals!J259</f>
        <v>0</v>
      </c>
      <c r="N35" s="129">
        <f>+Actuals!K259</f>
        <v>0</v>
      </c>
      <c r="O35" s="130">
        <f>+Actuals!L259</f>
        <v>0</v>
      </c>
      <c r="P35" s="129">
        <f>+Actuals!M259</f>
        <v>0</v>
      </c>
      <c r="Q35" s="130">
        <f>+Actuals!N259</f>
        <v>0</v>
      </c>
      <c r="R35" s="129">
        <f>+Actuals!O259</f>
        <v>0</v>
      </c>
      <c r="S35" s="130">
        <f>+Actuals!P259</f>
        <v>0</v>
      </c>
      <c r="T35" s="129">
        <f>+Actuals!Q259</f>
        <v>0</v>
      </c>
      <c r="U35" s="130">
        <f>+Actuals!R259</f>
        <v>0</v>
      </c>
      <c r="V35" s="129">
        <f>+Actuals!S459</f>
        <v>0</v>
      </c>
      <c r="W35" s="130">
        <f>+Actuals!T459</f>
        <v>0</v>
      </c>
      <c r="X35" s="129">
        <f>+Actuals!U459</f>
        <v>0</v>
      </c>
      <c r="Y35" s="130">
        <f>+Actuals!V459</f>
        <v>0</v>
      </c>
      <c r="Z35" s="129">
        <f>+Actuals!W459</f>
        <v>0</v>
      </c>
      <c r="AA35" s="130">
        <f>+Actuals!X459</f>
        <v>0</v>
      </c>
      <c r="AB35" s="129">
        <f>+Actuals!Y459</f>
        <v>0</v>
      </c>
      <c r="AC35" s="130">
        <f>+Actuals!Z459</f>
        <v>0</v>
      </c>
      <c r="AD35" s="129">
        <f>+Actuals!AA259</f>
        <v>0</v>
      </c>
      <c r="AE35" s="130">
        <f>+Actuals!AB259</f>
        <v>0</v>
      </c>
    </row>
    <row r="36" spans="1:31" x14ac:dyDescent="0.2">
      <c r="A36" s="9"/>
      <c r="B36" s="7" t="s">
        <v>46</v>
      </c>
      <c r="C36" s="6"/>
      <c r="D36" s="61">
        <f t="shared" ref="D36:AE36" si="9">SUM(D32:D35)</f>
        <v>-498612</v>
      </c>
      <c r="E36" s="39">
        <f t="shared" si="9"/>
        <v>-1087473.0440000002</v>
      </c>
      <c r="F36" s="61">
        <f t="shared" si="9"/>
        <v>0</v>
      </c>
      <c r="G36" s="39">
        <f t="shared" si="9"/>
        <v>0</v>
      </c>
      <c r="H36" s="61">
        <f t="shared" si="9"/>
        <v>783989</v>
      </c>
      <c r="I36" s="39">
        <f t="shared" si="9"/>
        <v>1709880.02</v>
      </c>
      <c r="J36" s="61">
        <f t="shared" si="9"/>
        <v>-1076701</v>
      </c>
      <c r="K36" s="150">
        <f t="shared" si="9"/>
        <v>-2422577.25</v>
      </c>
      <c r="L36" s="61">
        <f t="shared" si="9"/>
        <v>864790</v>
      </c>
      <c r="M36" s="39">
        <f t="shared" si="9"/>
        <v>1788550.524</v>
      </c>
      <c r="N36" s="61">
        <f t="shared" si="9"/>
        <v>240532</v>
      </c>
      <c r="O36" s="39">
        <f t="shared" si="9"/>
        <v>716297.09</v>
      </c>
      <c r="P36" s="61">
        <f t="shared" si="9"/>
        <v>-74490</v>
      </c>
      <c r="Q36" s="39">
        <f t="shared" si="9"/>
        <v>-182331.64</v>
      </c>
      <c r="R36" s="61">
        <f t="shared" si="9"/>
        <v>-426283</v>
      </c>
      <c r="S36" s="39">
        <f t="shared" si="9"/>
        <v>-929723.21799999999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-791964</v>
      </c>
      <c r="Y36" s="39">
        <f t="shared" si="10"/>
        <v>-1727252.7849999999</v>
      </c>
      <c r="Z36" s="61">
        <f t="shared" si="10"/>
        <v>0</v>
      </c>
      <c r="AA36" s="39">
        <f t="shared" si="10"/>
        <v>0</v>
      </c>
      <c r="AB36" s="61">
        <f t="shared" si="10"/>
        <v>-18485</v>
      </c>
      <c r="AC36" s="39">
        <f t="shared" si="10"/>
        <v>-40315.785000000003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1867848</v>
      </c>
      <c r="E39" s="38">
        <f t="shared" si="11"/>
        <v>4453136.4200000009</v>
      </c>
      <c r="F39" s="64">
        <f>'TIE-OUT'!R39+RECLASS!R39</f>
        <v>0</v>
      </c>
      <c r="G39" s="68">
        <f>'TIE-OUT'!S39+RECLASS!S39</f>
        <v>0</v>
      </c>
      <c r="H39" s="129">
        <f>+Actuals!E260</f>
        <v>0</v>
      </c>
      <c r="I39" s="130">
        <f>+Actuals!F260</f>
        <v>0</v>
      </c>
      <c r="J39" s="129">
        <f>+Actuals!G260</f>
        <v>2006264</v>
      </c>
      <c r="K39" s="149">
        <f>+Actuals!H260</f>
        <v>4473968.72</v>
      </c>
      <c r="L39" s="129">
        <f>+Actuals!I260</f>
        <v>-100803</v>
      </c>
      <c r="M39" s="130">
        <f>+Actuals!J260</f>
        <v>67448.86</v>
      </c>
      <c r="N39" s="129">
        <f>+Actuals!K260</f>
        <v>-28760</v>
      </c>
      <c r="O39" s="130">
        <f>+Actuals!L260</f>
        <v>-69409.38</v>
      </c>
      <c r="P39" s="129">
        <f>+Actuals!M260</f>
        <v>-10353</v>
      </c>
      <c r="Q39" s="130">
        <f>+Actuals!N260</f>
        <v>-24985.93</v>
      </c>
      <c r="R39" s="129">
        <f>+Actuals!O260</f>
        <v>0</v>
      </c>
      <c r="S39" s="130">
        <f>+Actuals!P260</f>
        <v>0</v>
      </c>
      <c r="T39" s="129">
        <f>+Actuals!Q260</f>
        <v>0</v>
      </c>
      <c r="U39" s="130">
        <f>+Actuals!R260</f>
        <v>-45015</v>
      </c>
      <c r="V39" s="129">
        <f>+Actuals!S460</f>
        <v>0</v>
      </c>
      <c r="W39" s="130">
        <f>+Actuals!T460</f>
        <v>0</v>
      </c>
      <c r="X39" s="129">
        <f>+Actuals!U460</f>
        <v>0</v>
      </c>
      <c r="Y39" s="130">
        <f>+Actuals!V460</f>
        <v>0</v>
      </c>
      <c r="Z39" s="129">
        <f>+Actuals!W460</f>
        <v>0</v>
      </c>
      <c r="AA39" s="130">
        <f>+Actuals!X460</f>
        <v>0</v>
      </c>
      <c r="AB39" s="129">
        <f>+Actuals!Y460</f>
        <v>1500</v>
      </c>
      <c r="AC39" s="130">
        <f>+Actuals!Z460</f>
        <v>51129.15</v>
      </c>
      <c r="AD39" s="129">
        <f>+Actuals!AA260</f>
        <v>0</v>
      </c>
      <c r="AE39" s="130">
        <f>+Actuals!AB260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-31648</v>
      </c>
      <c r="E40" s="38">
        <f t="shared" si="11"/>
        <v>-70575.040000000008</v>
      </c>
      <c r="F40" s="60">
        <f>'TIE-OUT'!R40+RECLASS!R40</f>
        <v>0</v>
      </c>
      <c r="G40" s="38">
        <f>'TIE-OUT'!S40+RECLASS!S40</f>
        <v>0</v>
      </c>
      <c r="H40" s="129">
        <f>+Actuals!E261</f>
        <v>-30000</v>
      </c>
      <c r="I40" s="130">
        <f>+Actuals!F261</f>
        <v>-60534.6</v>
      </c>
      <c r="J40" s="129">
        <f>+Actuals!G261</f>
        <v>-1648</v>
      </c>
      <c r="K40" s="149">
        <f>+Actuals!H261</f>
        <v>-3325.37</v>
      </c>
      <c r="L40" s="129">
        <f>+Actuals!I261</f>
        <v>0</v>
      </c>
      <c r="M40" s="130">
        <f>+Actuals!J261</f>
        <v>-6715.07</v>
      </c>
      <c r="N40" s="129">
        <f>+Actuals!K261</f>
        <v>0</v>
      </c>
      <c r="O40" s="130">
        <f>+Actuals!L261</f>
        <v>0</v>
      </c>
      <c r="P40" s="129">
        <f>+Actuals!M261</f>
        <v>0</v>
      </c>
      <c r="Q40" s="130">
        <f>+Actuals!N261</f>
        <v>0</v>
      </c>
      <c r="R40" s="129">
        <f>+Actuals!O261</f>
        <v>0</v>
      </c>
      <c r="S40" s="130">
        <f>+Actuals!P261</f>
        <v>0</v>
      </c>
      <c r="T40" s="129">
        <f>+Actuals!Q261</f>
        <v>0</v>
      </c>
      <c r="U40" s="130">
        <f>+Actuals!R261</f>
        <v>0</v>
      </c>
      <c r="V40" s="129">
        <f>+Actuals!S461</f>
        <v>0</v>
      </c>
      <c r="W40" s="130">
        <f>+Actuals!T461</f>
        <v>0</v>
      </c>
      <c r="X40" s="129">
        <f>+Actuals!U461</f>
        <v>0</v>
      </c>
      <c r="Y40" s="130">
        <f>+Actuals!V461</f>
        <v>0</v>
      </c>
      <c r="Z40" s="129">
        <f>+Actuals!W461</f>
        <v>0</v>
      </c>
      <c r="AA40" s="130">
        <f>+Actuals!X461</f>
        <v>0</v>
      </c>
      <c r="AB40" s="129">
        <f>+Actuals!Y461</f>
        <v>0</v>
      </c>
      <c r="AC40" s="130">
        <f>+Actuals!Z461</f>
        <v>0</v>
      </c>
      <c r="AD40" s="129">
        <f>+Actuals!AA261</f>
        <v>0</v>
      </c>
      <c r="AE40" s="130">
        <f>+Actuals!AB261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78532</v>
      </c>
      <c r="F41" s="81">
        <f>'TIE-OUT'!R41+RECLASS!R41</f>
        <v>0</v>
      </c>
      <c r="G41" s="82">
        <f>'TIE-OUT'!S41+RECLASS!S41</f>
        <v>-6483</v>
      </c>
      <c r="H41" s="129">
        <f>+Actuals!E262</f>
        <v>0</v>
      </c>
      <c r="I41" s="130">
        <f>+Actuals!F262</f>
        <v>0</v>
      </c>
      <c r="J41" s="129">
        <f>+Actuals!G262</f>
        <v>0</v>
      </c>
      <c r="K41" s="149">
        <f>+Actuals!H262</f>
        <v>0</v>
      </c>
      <c r="L41" s="129">
        <f>+Actuals!I262</f>
        <v>0</v>
      </c>
      <c r="M41" s="130">
        <f>+Actuals!J262</f>
        <v>0</v>
      </c>
      <c r="N41" s="129">
        <f>+Actuals!K262</f>
        <v>0</v>
      </c>
      <c r="O41" s="130">
        <f>+Actuals!L262</f>
        <v>0</v>
      </c>
      <c r="P41" s="129">
        <f>+Actuals!M262</f>
        <v>0</v>
      </c>
      <c r="Q41" s="130">
        <f>+Actuals!N262</f>
        <v>0</v>
      </c>
      <c r="R41" s="129">
        <f>+Actuals!O262</f>
        <v>0</v>
      </c>
      <c r="S41" s="130">
        <f>+Actuals!P262</f>
        <v>0</v>
      </c>
      <c r="T41" s="129">
        <f>+Actuals!Q262</f>
        <v>0</v>
      </c>
      <c r="U41" s="130">
        <f>+Actuals!R262</f>
        <v>0</v>
      </c>
      <c r="V41" s="129">
        <f>+Actuals!S462</f>
        <v>0</v>
      </c>
      <c r="W41" s="130">
        <f>+Actuals!T462</f>
        <v>0</v>
      </c>
      <c r="X41" s="129">
        <f>+Actuals!U462</f>
        <v>0</v>
      </c>
      <c r="Y41" s="130">
        <f>+Actuals!V462</f>
        <v>0</v>
      </c>
      <c r="Z41" s="129">
        <f>+Actuals!W462</f>
        <v>0</v>
      </c>
      <c r="AA41" s="162">
        <v>85015</v>
      </c>
      <c r="AB41" s="129">
        <f>+Actuals!Y462</f>
        <v>0</v>
      </c>
      <c r="AC41" s="130"/>
      <c r="AD41" s="129">
        <f>+Actuals!AA262</f>
        <v>0</v>
      </c>
      <c r="AE41" s="130">
        <f>+Actuals!AB262</f>
        <v>0</v>
      </c>
    </row>
    <row r="42" spans="1:31" x14ac:dyDescent="0.2">
      <c r="A42" s="9"/>
      <c r="B42" s="7"/>
      <c r="C42" s="53" t="s">
        <v>51</v>
      </c>
      <c r="D42" s="61">
        <f t="shared" ref="D42:AE42" si="12">SUM(D40:D41)</f>
        <v>-31648</v>
      </c>
      <c r="E42" s="39">
        <f t="shared" si="12"/>
        <v>7956.9599999999919</v>
      </c>
      <c r="F42" s="61">
        <f t="shared" si="12"/>
        <v>0</v>
      </c>
      <c r="G42" s="39">
        <f t="shared" si="12"/>
        <v>-6483</v>
      </c>
      <c r="H42" s="61">
        <f t="shared" si="12"/>
        <v>-30000</v>
      </c>
      <c r="I42" s="39">
        <f t="shared" si="12"/>
        <v>-60534.6</v>
      </c>
      <c r="J42" s="61">
        <f t="shared" si="12"/>
        <v>-1648</v>
      </c>
      <c r="K42" s="150">
        <f t="shared" si="12"/>
        <v>-3325.37</v>
      </c>
      <c r="L42" s="61">
        <f t="shared" si="12"/>
        <v>0</v>
      </c>
      <c r="M42" s="39">
        <f t="shared" si="12"/>
        <v>-6715.07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85015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 t="shared" ref="D43:AE43" si="14">D42+D39</f>
        <v>1836200</v>
      </c>
      <c r="E43" s="39">
        <f t="shared" si="14"/>
        <v>4461093.3800000008</v>
      </c>
      <c r="F43" s="61">
        <f t="shared" si="14"/>
        <v>0</v>
      </c>
      <c r="G43" s="39">
        <f t="shared" si="14"/>
        <v>-6483</v>
      </c>
      <c r="H43" s="61">
        <f t="shared" si="14"/>
        <v>-30000</v>
      </c>
      <c r="I43" s="39">
        <f t="shared" si="14"/>
        <v>-60534.6</v>
      </c>
      <c r="J43" s="61">
        <f t="shared" si="14"/>
        <v>2004616</v>
      </c>
      <c r="K43" s="150">
        <f t="shared" si="14"/>
        <v>4470643.3499999996</v>
      </c>
      <c r="L43" s="61">
        <f t="shared" si="14"/>
        <v>-100803</v>
      </c>
      <c r="M43" s="39">
        <f t="shared" si="14"/>
        <v>60733.79</v>
      </c>
      <c r="N43" s="61">
        <f t="shared" si="14"/>
        <v>-28760</v>
      </c>
      <c r="O43" s="39">
        <f t="shared" si="14"/>
        <v>-69409.38</v>
      </c>
      <c r="P43" s="61">
        <f t="shared" si="14"/>
        <v>-10353</v>
      </c>
      <c r="Q43" s="39">
        <f t="shared" si="14"/>
        <v>-24985.93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-45015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85015</v>
      </c>
      <c r="AB43" s="61">
        <f t="shared" si="15"/>
        <v>1500</v>
      </c>
      <c r="AC43" s="39">
        <f t="shared" si="15"/>
        <v>51129.15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9">
        <f>+Actuals!E263</f>
        <v>0</v>
      </c>
      <c r="I45" s="130">
        <f>+Actuals!F263</f>
        <v>0</v>
      </c>
      <c r="J45" s="129">
        <f>+Actuals!G263</f>
        <v>0</v>
      </c>
      <c r="K45" s="149">
        <f>+Actuals!H263</f>
        <v>0</v>
      </c>
      <c r="L45" s="129">
        <f>+Actuals!I263</f>
        <v>0</v>
      </c>
      <c r="M45" s="130">
        <f>+Actuals!J263</f>
        <v>0</v>
      </c>
      <c r="N45" s="129">
        <f>+Actuals!K263</f>
        <v>0</v>
      </c>
      <c r="O45" s="130">
        <f>+Actuals!L263</f>
        <v>0</v>
      </c>
      <c r="P45" s="129">
        <f>+Actuals!M263</f>
        <v>0</v>
      </c>
      <c r="Q45" s="130">
        <f>+Actuals!N263</f>
        <v>0</v>
      </c>
      <c r="R45" s="129">
        <f>+Actuals!O263</f>
        <v>0</v>
      </c>
      <c r="S45" s="130">
        <f>+Actuals!P263</f>
        <v>0</v>
      </c>
      <c r="T45" s="129">
        <f>+Actuals!Q263</f>
        <v>0</v>
      </c>
      <c r="U45" s="130">
        <f>+Actuals!R263</f>
        <v>0</v>
      </c>
      <c r="V45" s="129">
        <f>+Actuals!S463</f>
        <v>0</v>
      </c>
      <c r="W45" s="130">
        <f>+Actuals!T463</f>
        <v>0</v>
      </c>
      <c r="X45" s="129">
        <f>+Actuals!U463</f>
        <v>0</v>
      </c>
      <c r="Y45" s="130">
        <f>+Actuals!V463</f>
        <v>0</v>
      </c>
      <c r="Z45" s="129">
        <f>+Actuals!W463</f>
        <v>0</v>
      </c>
      <c r="AA45" s="130">
        <f>+Actuals!X463</f>
        <v>0</v>
      </c>
      <c r="AB45" s="129">
        <f>+Actuals!Y463</f>
        <v>0</v>
      </c>
      <c r="AC45" s="130">
        <f>+Actuals!Z463</f>
        <v>0</v>
      </c>
      <c r="AD45" s="129">
        <f>+Actuals!AA263</f>
        <v>0</v>
      </c>
      <c r="AE45" s="130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9">
        <f>+Actuals!E264</f>
        <v>0</v>
      </c>
      <c r="I47" s="130">
        <f>+Actuals!F264</f>
        <v>0</v>
      </c>
      <c r="J47" s="129">
        <f>+Actuals!G264</f>
        <v>0</v>
      </c>
      <c r="K47" s="149">
        <f>+Actuals!H264</f>
        <v>0</v>
      </c>
      <c r="L47" s="129">
        <f>+Actuals!I264</f>
        <v>0</v>
      </c>
      <c r="M47" s="130">
        <f>+Actuals!J264</f>
        <v>0</v>
      </c>
      <c r="N47" s="129">
        <f>+Actuals!K264</f>
        <v>0</v>
      </c>
      <c r="O47" s="130">
        <f>+Actuals!L264</f>
        <v>0</v>
      </c>
      <c r="P47" s="129">
        <f>+Actuals!M264</f>
        <v>0</v>
      </c>
      <c r="Q47" s="130">
        <f>+Actuals!N264</f>
        <v>0</v>
      </c>
      <c r="R47" s="129">
        <f>+Actuals!O264</f>
        <v>0</v>
      </c>
      <c r="S47" s="130">
        <f>+Actuals!P264</f>
        <v>0</v>
      </c>
      <c r="T47" s="129">
        <f>+Actuals!Q264</f>
        <v>0</v>
      </c>
      <c r="U47" s="130">
        <f>+Actuals!R264</f>
        <v>0</v>
      </c>
      <c r="V47" s="129">
        <f>+Actuals!S464</f>
        <v>0</v>
      </c>
      <c r="W47" s="130">
        <f>+Actuals!T464</f>
        <v>0</v>
      </c>
      <c r="X47" s="129">
        <f>+Actuals!U464</f>
        <v>0</v>
      </c>
      <c r="Y47" s="130">
        <f>+Actuals!V464</f>
        <v>0</v>
      </c>
      <c r="Z47" s="129">
        <f>+Actuals!W464</f>
        <v>0</v>
      </c>
      <c r="AA47" s="130">
        <f>+Actuals!X464</f>
        <v>0</v>
      </c>
      <c r="AB47" s="129">
        <f>+Actuals!Y464</f>
        <v>0</v>
      </c>
      <c r="AC47" s="130">
        <f>+Actuals!Z464</f>
        <v>0</v>
      </c>
      <c r="AD47" s="129">
        <f>+Actuals!AA264</f>
        <v>0</v>
      </c>
      <c r="AE47" s="130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360930</v>
      </c>
      <c r="E49" s="38">
        <f>SUM(G49,I49,K49,M49,O49,Q49,S49,U49,W49,Y49,AA49,AC49,AE49)</f>
        <v>787188.32999999973</v>
      </c>
      <c r="F49" s="60">
        <f>'TIE-OUT'!R49+RECLASS!R49</f>
        <v>0</v>
      </c>
      <c r="G49" s="38">
        <f>'TIE-OUT'!S49+RECLASS!S49</f>
        <v>0</v>
      </c>
      <c r="H49" s="129">
        <f>+Actuals!E265</f>
        <v>503805</v>
      </c>
      <c r="I49" s="130">
        <f>+Actuals!F265</f>
        <v>1098798.7050000001</v>
      </c>
      <c r="J49" s="129">
        <f>+Actuals!G265</f>
        <v>-1170194</v>
      </c>
      <c r="K49" s="149">
        <f>+Actuals!H265</f>
        <v>-2552193.1140000001</v>
      </c>
      <c r="L49" s="129">
        <f>+Actuals!I265</f>
        <v>-900542</v>
      </c>
      <c r="M49" s="130">
        <f>+Actuals!J265</f>
        <v>-1964082.102</v>
      </c>
      <c r="N49" s="129">
        <f>+Actuals!K265</f>
        <v>-186333</v>
      </c>
      <c r="O49" s="130">
        <f>+Actuals!L265</f>
        <v>-406392.27299999999</v>
      </c>
      <c r="P49" s="129">
        <f>+Actuals!M265</f>
        <v>577141</v>
      </c>
      <c r="Q49" s="130">
        <f>+Actuals!N265</f>
        <v>1258744.5209999999</v>
      </c>
      <c r="R49" s="129">
        <f>+Actuals!O265</f>
        <v>450892</v>
      </c>
      <c r="S49" s="130">
        <f>+Actuals!P265</f>
        <v>983395.45200000005</v>
      </c>
      <c r="T49" s="129">
        <f>+Actuals!Q265</f>
        <v>271205</v>
      </c>
      <c r="U49" s="130">
        <f>+Actuals!R265</f>
        <v>591498.10499999998</v>
      </c>
      <c r="V49" s="129">
        <f>+Actuals!S465</f>
        <v>-271205</v>
      </c>
      <c r="W49" s="130">
        <f>+Actuals!T465</f>
        <v>-591498.10499999998</v>
      </c>
      <c r="X49" s="129">
        <f>+Actuals!U465</f>
        <v>786118</v>
      </c>
      <c r="Y49" s="130">
        <f>+Actuals!V465</f>
        <v>1714523.358</v>
      </c>
      <c r="Z49" s="129">
        <f>+Actuals!W465</f>
        <v>271205</v>
      </c>
      <c r="AA49" s="130">
        <f>+Actuals!X465</f>
        <v>591498.10499999998</v>
      </c>
      <c r="AB49" s="129">
        <f>+Actuals!Y465</f>
        <v>28838</v>
      </c>
      <c r="AC49" s="130">
        <f>+Actuals!Z465</f>
        <v>62895.678</v>
      </c>
      <c r="AD49" s="129">
        <f>+Actuals!AA265</f>
        <v>0</v>
      </c>
      <c r="AE49" s="130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-2980</v>
      </c>
      <c r="E51" s="38">
        <f>SUM(G51,I51,K51,M51,O51,Q51,S51,U51,W51,Y51,AA51,AC51,AE51)</f>
        <v>-6499.38</v>
      </c>
      <c r="F51" s="60">
        <f>'TIE-OUT'!R51+RECLASS!R51</f>
        <v>0</v>
      </c>
      <c r="G51" s="38">
        <f>'TIE-OUT'!S51+RECLASS!S51</f>
        <v>0</v>
      </c>
      <c r="H51" s="129">
        <f>+Actuals!E266</f>
        <v>-60</v>
      </c>
      <c r="I51" s="130">
        <f>+Actuals!F266</f>
        <v>-130.86000000000001</v>
      </c>
      <c r="J51" s="129">
        <f>+Actuals!G266</f>
        <v>-2920</v>
      </c>
      <c r="K51" s="149">
        <f>+Actuals!H266</f>
        <v>-6368.52</v>
      </c>
      <c r="L51" s="129">
        <f>+Actuals!I266</f>
        <v>0</v>
      </c>
      <c r="M51" s="130">
        <f>+Actuals!J266</f>
        <v>0</v>
      </c>
      <c r="N51" s="129">
        <f>+Actuals!K266</f>
        <v>0</v>
      </c>
      <c r="O51" s="130">
        <f>+Actuals!L266</f>
        <v>0</v>
      </c>
      <c r="P51" s="129">
        <f>+Actuals!M266</f>
        <v>0</v>
      </c>
      <c r="Q51" s="130">
        <f>+Actuals!N266</f>
        <v>0</v>
      </c>
      <c r="R51" s="129">
        <f>+Actuals!O266</f>
        <v>0</v>
      </c>
      <c r="S51" s="130">
        <f>+Actuals!P266</f>
        <v>0</v>
      </c>
      <c r="T51" s="129">
        <f>+Actuals!Q266</f>
        <v>0</v>
      </c>
      <c r="U51" s="130">
        <f>+Actuals!R266</f>
        <v>0</v>
      </c>
      <c r="V51" s="129">
        <f>+Actuals!S466</f>
        <v>0</v>
      </c>
      <c r="W51" s="130">
        <f>+Actuals!T466</f>
        <v>0</v>
      </c>
      <c r="X51" s="129">
        <f>+Actuals!U466</f>
        <v>0</v>
      </c>
      <c r="Y51" s="130">
        <f>+Actuals!V466</f>
        <v>0</v>
      </c>
      <c r="Z51" s="129">
        <f>+Actuals!W466</f>
        <v>0</v>
      </c>
      <c r="AA51" s="130">
        <f>+Actuals!X466</f>
        <v>0</v>
      </c>
      <c r="AB51" s="129">
        <f>+Actuals!Y466</f>
        <v>0</v>
      </c>
      <c r="AC51" s="130">
        <f>+Actuals!Z466</f>
        <v>0</v>
      </c>
      <c r="AD51" s="129">
        <f>+Actuals!AA266</f>
        <v>0</v>
      </c>
      <c r="AE51" s="130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-7066206</v>
      </c>
      <c r="E54" s="38">
        <f>SUM(G54,I54,K54,M54,O54,Q54,S54,U54,W54,Y54,AA54,AC54,AE54)</f>
        <v>-391344.77</v>
      </c>
      <c r="F54" s="64">
        <f>'TIE-OUT'!R54+RECLASS!R54</f>
        <v>0</v>
      </c>
      <c r="G54" s="68">
        <f>'TIE-OUT'!S54+RECLASS!S54</f>
        <v>-1475</v>
      </c>
      <c r="H54" s="129">
        <f>+Actuals!E267</f>
        <v>-6560291</v>
      </c>
      <c r="I54" s="130">
        <f>+Actuals!F267</f>
        <v>-518841.77</v>
      </c>
      <c r="J54" s="129">
        <f>+Actuals!G267</f>
        <v>-516106</v>
      </c>
      <c r="K54" s="149">
        <f>+Actuals!H267</f>
        <v>124435</v>
      </c>
      <c r="L54" s="129">
        <f>+Actuals!I267</f>
        <v>222564</v>
      </c>
      <c r="M54" s="130">
        <f>+Actuals!J267</f>
        <v>7178</v>
      </c>
      <c r="N54" s="129">
        <f>+Actuals!K267</f>
        <v>42868</v>
      </c>
      <c r="O54" s="130">
        <f>+Actuals!L267</f>
        <v>882.6</v>
      </c>
      <c r="P54" s="129">
        <f>+Actuals!M267</f>
        <v>-8457</v>
      </c>
      <c r="Q54" s="130">
        <f>+Actuals!N267</f>
        <v>26680.5</v>
      </c>
      <c r="R54" s="129">
        <f>+Actuals!O267</f>
        <v>-48936</v>
      </c>
      <c r="S54" s="130">
        <f>+Actuals!P267</f>
        <v>-29367.75</v>
      </c>
      <c r="T54" s="129">
        <f>+Actuals!Q267</f>
        <v>-166459</v>
      </c>
      <c r="U54" s="130">
        <f>+Actuals!R267</f>
        <v>-658.85</v>
      </c>
      <c r="V54" s="129">
        <f>+Actuals!S467</f>
        <v>-5143</v>
      </c>
      <c r="W54" s="130">
        <f>+Actuals!T467</f>
        <v>-1027.9100000000001</v>
      </c>
      <c r="X54" s="129">
        <f>+Actuals!U467</f>
        <v>0</v>
      </c>
      <c r="Y54" s="130">
        <f>+Actuals!V467</f>
        <v>-0.01</v>
      </c>
      <c r="Z54" s="129">
        <f>+Actuals!W467</f>
        <v>-18893</v>
      </c>
      <c r="AA54" s="130">
        <f>+Actuals!X467</f>
        <v>638.95000000000005</v>
      </c>
      <c r="AB54" s="129">
        <f>+Actuals!Y467</f>
        <v>-7353</v>
      </c>
      <c r="AC54" s="130">
        <f>+Actuals!Z467</f>
        <v>211.47</v>
      </c>
      <c r="AD54" s="129">
        <f>+Actuals!AA267</f>
        <v>0</v>
      </c>
      <c r="AE54" s="130">
        <f>+Actuals!AB267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9">
        <f>+Actuals!E268</f>
        <v>0</v>
      </c>
      <c r="I55" s="130">
        <f>+Actuals!F268</f>
        <v>0</v>
      </c>
      <c r="J55" s="129">
        <f>+Actuals!G268</f>
        <v>0</v>
      </c>
      <c r="K55" s="149">
        <f>+Actuals!H268</f>
        <v>0</v>
      </c>
      <c r="L55" s="129">
        <f>+Actuals!I268</f>
        <v>0</v>
      </c>
      <c r="M55" s="130">
        <f>+Actuals!J268</f>
        <v>0</v>
      </c>
      <c r="N55" s="129">
        <f>+Actuals!K268</f>
        <v>0</v>
      </c>
      <c r="O55" s="130">
        <f>+Actuals!L268</f>
        <v>0</v>
      </c>
      <c r="P55" s="129">
        <f>+Actuals!M268</f>
        <v>0</v>
      </c>
      <c r="Q55" s="130">
        <f>+Actuals!N268</f>
        <v>0</v>
      </c>
      <c r="R55" s="129">
        <f>+Actuals!O268</f>
        <v>0</v>
      </c>
      <c r="S55" s="130">
        <f>+Actuals!P268</f>
        <v>0</v>
      </c>
      <c r="T55" s="129">
        <f>+Actuals!Q268</f>
        <v>0</v>
      </c>
      <c r="U55" s="130">
        <f>+Actuals!R268</f>
        <v>-93300</v>
      </c>
      <c r="V55" s="129">
        <f>+Actuals!S468</f>
        <v>0</v>
      </c>
      <c r="W55" s="130">
        <f>+Actuals!T468</f>
        <v>93300</v>
      </c>
      <c r="X55" s="129">
        <f>+Actuals!U468</f>
        <v>0</v>
      </c>
      <c r="Y55" s="130">
        <f>+Actuals!V468</f>
        <v>0</v>
      </c>
      <c r="Z55" s="129">
        <f>+Actuals!W468</f>
        <v>0</v>
      </c>
      <c r="AA55" s="130">
        <f>+Actuals!X468</f>
        <v>0</v>
      </c>
      <c r="AB55" s="129">
        <f>+Actuals!Y468</f>
        <v>0</v>
      </c>
      <c r="AC55" s="130">
        <f>+Actuals!Z468</f>
        <v>0</v>
      </c>
      <c r="AD55" s="129">
        <f>+Actuals!AA268</f>
        <v>0</v>
      </c>
      <c r="AE55" s="130">
        <f>+Actuals!AB268</f>
        <v>0</v>
      </c>
    </row>
    <row r="56" spans="1:31" x14ac:dyDescent="0.2">
      <c r="A56" s="9"/>
      <c r="B56" s="7" t="s">
        <v>60</v>
      </c>
      <c r="C56" s="6"/>
      <c r="D56" s="61">
        <f t="shared" ref="D56:AE56" si="16">SUM(D54:D55)</f>
        <v>-7066206</v>
      </c>
      <c r="E56" s="39">
        <f t="shared" si="16"/>
        <v>-391344.77</v>
      </c>
      <c r="F56" s="61">
        <f t="shared" si="16"/>
        <v>0</v>
      </c>
      <c r="G56" s="39">
        <f t="shared" si="16"/>
        <v>-1475</v>
      </c>
      <c r="H56" s="61">
        <f t="shared" si="16"/>
        <v>-6560291</v>
      </c>
      <c r="I56" s="39">
        <f t="shared" si="16"/>
        <v>-518841.77</v>
      </c>
      <c r="J56" s="61">
        <f t="shared" si="16"/>
        <v>-516106</v>
      </c>
      <c r="K56" s="150">
        <f t="shared" si="16"/>
        <v>124435</v>
      </c>
      <c r="L56" s="61">
        <f t="shared" si="16"/>
        <v>222564</v>
      </c>
      <c r="M56" s="39">
        <f t="shared" si="16"/>
        <v>7178</v>
      </c>
      <c r="N56" s="61">
        <f t="shared" si="16"/>
        <v>42868</v>
      </c>
      <c r="O56" s="39">
        <f t="shared" si="16"/>
        <v>882.6</v>
      </c>
      <c r="P56" s="61">
        <f t="shared" si="16"/>
        <v>-8457</v>
      </c>
      <c r="Q56" s="39">
        <f t="shared" si="16"/>
        <v>26680.5</v>
      </c>
      <c r="R56" s="61">
        <f t="shared" si="16"/>
        <v>-48936</v>
      </c>
      <c r="S56" s="39">
        <f t="shared" si="16"/>
        <v>-29367.75</v>
      </c>
      <c r="T56" s="61">
        <f t="shared" si="16"/>
        <v>-166459</v>
      </c>
      <c r="U56" s="39">
        <f t="shared" si="16"/>
        <v>-93958.85</v>
      </c>
      <c r="V56" s="61">
        <f t="shared" si="16"/>
        <v>-5143</v>
      </c>
      <c r="W56" s="39">
        <f t="shared" si="16"/>
        <v>92272.09</v>
      </c>
      <c r="X56" s="61">
        <f t="shared" ref="X56:AC56" si="17">SUM(X54:X55)</f>
        <v>0</v>
      </c>
      <c r="Y56" s="39">
        <f t="shared" si="17"/>
        <v>-0.01</v>
      </c>
      <c r="Z56" s="61">
        <f t="shared" si="17"/>
        <v>-18893</v>
      </c>
      <c r="AA56" s="39">
        <f t="shared" si="17"/>
        <v>638.95000000000005</v>
      </c>
      <c r="AB56" s="61">
        <f t="shared" si="17"/>
        <v>-7353</v>
      </c>
      <c r="AC56" s="39">
        <f t="shared" si="17"/>
        <v>211.47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40780.620000000003</v>
      </c>
      <c r="F59" s="64">
        <f>'TIE-OUT'!R59+RECLASS!R59</f>
        <v>0</v>
      </c>
      <c r="G59" s="68">
        <f>'TIE-OUT'!S59+RECLASS!S59</f>
        <v>0</v>
      </c>
      <c r="H59" s="129">
        <f>+Actuals!E269</f>
        <v>0</v>
      </c>
      <c r="I59" s="130">
        <f>+Actuals!F269</f>
        <v>35662.5</v>
      </c>
      <c r="J59" s="129">
        <f>+Actuals!G269</f>
        <v>0</v>
      </c>
      <c r="K59" s="149">
        <f>+Actuals!H269</f>
        <v>0</v>
      </c>
      <c r="L59" s="129">
        <f>+Actuals!I269</f>
        <v>0</v>
      </c>
      <c r="M59" s="130">
        <f>+Actuals!J269</f>
        <v>200</v>
      </c>
      <c r="N59" s="129">
        <f>+Actuals!K269</f>
        <v>0</v>
      </c>
      <c r="O59" s="130">
        <f>+Actuals!L269</f>
        <v>-200</v>
      </c>
      <c r="P59" s="129">
        <f>+Actuals!M269</f>
        <v>0</v>
      </c>
      <c r="Q59" s="130">
        <f>+Actuals!N269</f>
        <v>0</v>
      </c>
      <c r="R59" s="129">
        <f>+Actuals!O269</f>
        <v>0</v>
      </c>
      <c r="S59" s="130">
        <f>+Actuals!P269</f>
        <v>5118.12</v>
      </c>
      <c r="T59" s="129">
        <f>+Actuals!Q269</f>
        <v>0</v>
      </c>
      <c r="U59" s="130">
        <f>+Actuals!R269</f>
        <v>0</v>
      </c>
      <c r="V59" s="129">
        <f>+Actuals!S469</f>
        <v>0</v>
      </c>
      <c r="W59" s="130">
        <f>+Actuals!T469</f>
        <v>0</v>
      </c>
      <c r="X59" s="129">
        <f>+Actuals!U469</f>
        <v>0</v>
      </c>
      <c r="Y59" s="130">
        <f>+Actuals!V469</f>
        <v>0</v>
      </c>
      <c r="Z59" s="129">
        <f>+Actuals!W469</f>
        <v>0</v>
      </c>
      <c r="AA59" s="130">
        <f>+Actuals!X469</f>
        <v>0</v>
      </c>
      <c r="AB59" s="129">
        <f>+Actuals!Y469</f>
        <v>0</v>
      </c>
      <c r="AC59" s="130">
        <f>+Actuals!Z469</f>
        <v>0</v>
      </c>
      <c r="AD59" s="129">
        <f>+Actuals!AA269</f>
        <v>0</v>
      </c>
      <c r="AE59" s="130">
        <f>+Actuals!AB269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9">
        <f>+Actuals!E270</f>
        <v>0</v>
      </c>
      <c r="I60" s="130">
        <f>+Actuals!F270</f>
        <v>0</v>
      </c>
      <c r="J60" s="129">
        <f>+Actuals!G270</f>
        <v>0</v>
      </c>
      <c r="K60" s="149">
        <f>+Actuals!H270</f>
        <v>0</v>
      </c>
      <c r="L60" s="129">
        <f>+Actuals!I270</f>
        <v>0</v>
      </c>
      <c r="M60" s="130">
        <f>+Actuals!J270</f>
        <v>0</v>
      </c>
      <c r="N60" s="129">
        <f>+Actuals!K270</f>
        <v>0</v>
      </c>
      <c r="O60" s="130">
        <f>+Actuals!L270</f>
        <v>0</v>
      </c>
      <c r="P60" s="129">
        <f>+Actuals!M270</f>
        <v>0</v>
      </c>
      <c r="Q60" s="130">
        <f>+Actuals!N270</f>
        <v>0</v>
      </c>
      <c r="R60" s="129">
        <f>+Actuals!O270</f>
        <v>0</v>
      </c>
      <c r="S60" s="130">
        <f>+Actuals!P270</f>
        <v>0</v>
      </c>
      <c r="T60" s="129">
        <f>+Actuals!Q270</f>
        <v>0</v>
      </c>
      <c r="U60" s="130">
        <f>+Actuals!R270</f>
        <v>0</v>
      </c>
      <c r="V60" s="129">
        <f>+Actuals!S470</f>
        <v>0</v>
      </c>
      <c r="W60" s="130">
        <f>+Actuals!T470</f>
        <v>0</v>
      </c>
      <c r="X60" s="129">
        <f>+Actuals!U470</f>
        <v>0</v>
      </c>
      <c r="Y60" s="130">
        <f>+Actuals!V470</f>
        <v>0</v>
      </c>
      <c r="Z60" s="129">
        <f>+Actuals!W470</f>
        <v>0</v>
      </c>
      <c r="AA60" s="130">
        <f>+Actuals!X470</f>
        <v>0</v>
      </c>
      <c r="AB60" s="129">
        <f>+Actuals!Y470</f>
        <v>0</v>
      </c>
      <c r="AC60" s="130">
        <f>+Actuals!Z470</f>
        <v>0</v>
      </c>
      <c r="AD60" s="129">
        <f>+Actuals!AA270</f>
        <v>0</v>
      </c>
      <c r="AE60" s="130">
        <f>+Actuals!AB270</f>
        <v>0</v>
      </c>
    </row>
    <row r="61" spans="1:31" x14ac:dyDescent="0.2">
      <c r="A61" s="9"/>
      <c r="B61" s="62" t="s">
        <v>64</v>
      </c>
      <c r="C61" s="6"/>
      <c r="D61" s="61">
        <f t="shared" ref="D61:AE61" si="18">SUM(D59:D60)</f>
        <v>0</v>
      </c>
      <c r="E61" s="39">
        <f t="shared" si="18"/>
        <v>40780.620000000003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35662.5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200</v>
      </c>
      <c r="N61" s="61">
        <f t="shared" si="18"/>
        <v>0</v>
      </c>
      <c r="O61" s="39">
        <f t="shared" si="18"/>
        <v>-200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5118.12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-44769270</v>
      </c>
      <c r="E64" s="38">
        <f>SUM(G64,I64,K64,M64,O64,Q64,S64,U64,W64,Y64,AA64,AC64,AE64)</f>
        <v>-1118730.96</v>
      </c>
      <c r="F64" s="64">
        <f>'TIE-OUT'!R64+RECLASS!R64</f>
        <v>0</v>
      </c>
      <c r="G64" s="68">
        <f>'TIE-OUT'!S64+RECLASS!S64</f>
        <v>0</v>
      </c>
      <c r="H64" s="129">
        <f>+Actuals!E271</f>
        <v>-26120781</v>
      </c>
      <c r="I64" s="130">
        <f>+Actuals!F271</f>
        <v>-981470.29</v>
      </c>
      <c r="J64" s="129">
        <f>+Actuals!G271</f>
        <v>-15911713</v>
      </c>
      <c r="K64" s="149">
        <f>+Actuals!H271</f>
        <v>-137390</v>
      </c>
      <c r="L64" s="129">
        <f>+Actuals!I271</f>
        <v>-2771326</v>
      </c>
      <c r="M64" s="130">
        <f>+Actuals!J271</f>
        <v>128</v>
      </c>
      <c r="N64" s="129">
        <f>+Actuals!K271</f>
        <v>34550</v>
      </c>
      <c r="O64" s="130">
        <f>+Actuals!L271</f>
        <v>0.27</v>
      </c>
      <c r="P64" s="129">
        <f>+Actuals!M271</f>
        <v>0</v>
      </c>
      <c r="Q64" s="130">
        <f>+Actuals!N271</f>
        <v>0</v>
      </c>
      <c r="R64" s="129">
        <f>+Actuals!O271</f>
        <v>0</v>
      </c>
      <c r="S64" s="130">
        <f>+Actuals!P271</f>
        <v>0</v>
      </c>
      <c r="T64" s="129">
        <f>+Actuals!Q271</f>
        <v>0</v>
      </c>
      <c r="U64" s="130">
        <f>+Actuals!R271</f>
        <v>0</v>
      </c>
      <c r="V64" s="129">
        <f>+Actuals!S471</f>
        <v>0</v>
      </c>
      <c r="W64" s="130">
        <f>+Actuals!T471</f>
        <v>0</v>
      </c>
      <c r="X64" s="129">
        <f>+Actuals!U471</f>
        <v>0</v>
      </c>
      <c r="Y64" s="130">
        <f>+Actuals!V471</f>
        <v>0</v>
      </c>
      <c r="Z64" s="129">
        <f>+Actuals!W471</f>
        <v>0</v>
      </c>
      <c r="AA64" s="130">
        <f>+Actuals!X471</f>
        <v>0</v>
      </c>
      <c r="AB64" s="129">
        <f>+Actuals!Y471</f>
        <v>0</v>
      </c>
      <c r="AC64" s="130">
        <f>+Actuals!Z471</f>
        <v>1.06</v>
      </c>
      <c r="AD64" s="129">
        <f>+Actuals!AA271</f>
        <v>0</v>
      </c>
      <c r="AE64" s="130">
        <f>+Actuals!AB271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1115981</v>
      </c>
      <c r="F65" s="81">
        <f>'TIE-OUT'!R65+RECLASS!R65</f>
        <v>0</v>
      </c>
      <c r="G65" s="82">
        <f>'TIE-OUT'!S65+RECLASS!S65</f>
        <v>990206</v>
      </c>
      <c r="H65" s="129">
        <f>+Actuals!E272</f>
        <v>0</v>
      </c>
      <c r="I65" s="130">
        <f>+Actuals!F272</f>
        <v>0</v>
      </c>
      <c r="J65" s="129">
        <f>+Actuals!G272</f>
        <v>0</v>
      </c>
      <c r="K65" s="162">
        <f>+Actuals!H272</f>
        <v>0</v>
      </c>
      <c r="L65" s="129">
        <f>+Actuals!I272</f>
        <v>0</v>
      </c>
      <c r="M65" s="159">
        <f>+Actuals!J272+124221</f>
        <v>124221</v>
      </c>
      <c r="N65" s="129">
        <f>+Actuals!K272</f>
        <v>0</v>
      </c>
      <c r="O65" s="130">
        <f>+Actuals!L272+1554</f>
        <v>1554</v>
      </c>
      <c r="P65" s="129">
        <f>+Actuals!M272</f>
        <v>0</v>
      </c>
      <c r="Q65" s="130">
        <f>+Actuals!N272</f>
        <v>0</v>
      </c>
      <c r="R65" s="129">
        <f>+Actuals!O272</f>
        <v>0</v>
      </c>
      <c r="S65" s="130">
        <f>+Actuals!P272</f>
        <v>0</v>
      </c>
      <c r="T65" s="129">
        <f>+Actuals!Q272</f>
        <v>0</v>
      </c>
      <c r="U65" s="130">
        <f>+Actuals!R272</f>
        <v>0</v>
      </c>
      <c r="V65" s="129">
        <f>+Actuals!S472</f>
        <v>0</v>
      </c>
      <c r="W65" s="130">
        <f>+Actuals!T472</f>
        <v>0</v>
      </c>
      <c r="X65" s="129">
        <f>+Actuals!U472</f>
        <v>0</v>
      </c>
      <c r="Y65" s="130">
        <f>+Actuals!V472</f>
        <v>0</v>
      </c>
      <c r="Z65" s="129">
        <f>+Actuals!W472</f>
        <v>0</v>
      </c>
      <c r="AA65" s="130">
        <f>+Actuals!X472</f>
        <v>0</v>
      </c>
      <c r="AB65" s="129">
        <f>+Actuals!Y472</f>
        <v>0</v>
      </c>
      <c r="AC65" s="130">
        <f>+Actuals!Z472</f>
        <v>0</v>
      </c>
      <c r="AD65" s="129">
        <f>+Actuals!AA272</f>
        <v>0</v>
      </c>
      <c r="AE65" s="130">
        <f>+Actuals!AB272</f>
        <v>0</v>
      </c>
    </row>
    <row r="66" spans="1:31" x14ac:dyDescent="0.2">
      <c r="A66" s="9"/>
      <c r="B66" s="7" t="s">
        <v>67</v>
      </c>
      <c r="C66" s="6"/>
      <c r="D66" s="61">
        <f t="shared" ref="D66:AE66" si="20">SUM(D64:D65)</f>
        <v>-44769270</v>
      </c>
      <c r="E66" s="39">
        <f t="shared" si="20"/>
        <v>-2749.9599999999627</v>
      </c>
      <c r="F66" s="61">
        <f t="shared" si="20"/>
        <v>0</v>
      </c>
      <c r="G66" s="39">
        <f t="shared" si="20"/>
        <v>990206</v>
      </c>
      <c r="H66" s="61">
        <f t="shared" si="20"/>
        <v>-26120781</v>
      </c>
      <c r="I66" s="39">
        <f t="shared" si="20"/>
        <v>-981470.29</v>
      </c>
      <c r="J66" s="61">
        <f t="shared" si="20"/>
        <v>-15911713</v>
      </c>
      <c r="K66" s="150">
        <f t="shared" si="20"/>
        <v>-137390</v>
      </c>
      <c r="L66" s="61">
        <f t="shared" si="20"/>
        <v>-2771326</v>
      </c>
      <c r="M66" s="39">
        <f t="shared" si="20"/>
        <v>124349</v>
      </c>
      <c r="N66" s="61">
        <f t="shared" si="20"/>
        <v>34550</v>
      </c>
      <c r="O66" s="39">
        <f t="shared" si="20"/>
        <v>1554.27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1.06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722248.91</v>
      </c>
      <c r="F70" s="64">
        <f>'TIE-OUT'!R70+RECLASS!R70</f>
        <v>0</v>
      </c>
      <c r="G70" s="68">
        <f>'TIE-OUT'!S70+RECLASS!S70</f>
        <v>722248.91</v>
      </c>
      <c r="H70" s="129">
        <f>+Actuals!E273</f>
        <v>0</v>
      </c>
      <c r="I70" s="130">
        <f>+Actuals!F273</f>
        <v>0</v>
      </c>
      <c r="J70" s="129">
        <f>+Actuals!G273</f>
        <v>0</v>
      </c>
      <c r="K70" s="149">
        <f>+Actuals!H273</f>
        <v>0</v>
      </c>
      <c r="L70" s="129">
        <f>+Actuals!I273</f>
        <v>0</v>
      </c>
      <c r="M70" s="130">
        <f>+Actuals!J273</f>
        <v>0</v>
      </c>
      <c r="N70" s="129">
        <f>+Actuals!K273</f>
        <v>0</v>
      </c>
      <c r="O70" s="130">
        <f>+Actuals!L273</f>
        <v>0</v>
      </c>
      <c r="P70" s="129">
        <f>+Actuals!M273</f>
        <v>0</v>
      </c>
      <c r="Q70" s="130">
        <f>+Actuals!N273</f>
        <v>0</v>
      </c>
      <c r="R70" s="129">
        <f>+Actuals!O273</f>
        <v>0</v>
      </c>
      <c r="S70" s="130">
        <f>+Actuals!P273</f>
        <v>0</v>
      </c>
      <c r="T70" s="129">
        <f>+Actuals!Q273</f>
        <v>0</v>
      </c>
      <c r="U70" s="130">
        <f>+Actuals!R273</f>
        <v>0</v>
      </c>
      <c r="V70" s="129">
        <f>+Actuals!S473</f>
        <v>0</v>
      </c>
      <c r="W70" s="130">
        <f>+Actuals!T473</f>
        <v>0</v>
      </c>
      <c r="X70" s="129">
        <f>+Actuals!U473</f>
        <v>0</v>
      </c>
      <c r="Y70" s="130">
        <f>+Actuals!V473</f>
        <v>0</v>
      </c>
      <c r="Z70" s="129">
        <f>+Actuals!W473</f>
        <v>0</v>
      </c>
      <c r="AA70" s="130">
        <f>+Actuals!X473</f>
        <v>0</v>
      </c>
      <c r="AB70" s="129">
        <f>+Actuals!Y473</f>
        <v>0</v>
      </c>
      <c r="AC70" s="130">
        <f>+Actuals!Z473</f>
        <v>0</v>
      </c>
      <c r="AD70" s="129">
        <f>+Actuals!AA273</f>
        <v>0</v>
      </c>
      <c r="AE70" s="130">
        <f>+Actuals!AB273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-250999</v>
      </c>
      <c r="F71" s="81">
        <f>'TIE-OUT'!R71+RECLASS!R71</f>
        <v>0</v>
      </c>
      <c r="G71" s="82">
        <f>'TIE-OUT'!S71+RECLASS!S71</f>
        <v>-250999</v>
      </c>
      <c r="H71" s="129">
        <f>+Actuals!E274</f>
        <v>0</v>
      </c>
      <c r="I71" s="130">
        <f>+Actuals!F274</f>
        <v>0</v>
      </c>
      <c r="J71" s="129">
        <f>+Actuals!G274</f>
        <v>0</v>
      </c>
      <c r="K71" s="149">
        <f>+Actuals!H274</f>
        <v>0</v>
      </c>
      <c r="L71" s="129">
        <f>+Actuals!I274</f>
        <v>0</v>
      </c>
      <c r="M71" s="130">
        <f>+Actuals!J274</f>
        <v>0</v>
      </c>
      <c r="N71" s="129">
        <f>+Actuals!K274</f>
        <v>0</v>
      </c>
      <c r="O71" s="130">
        <f>+Actuals!L274</f>
        <v>0</v>
      </c>
      <c r="P71" s="129">
        <f>+Actuals!M274</f>
        <v>0</v>
      </c>
      <c r="Q71" s="130">
        <f>+Actuals!N274</f>
        <v>0</v>
      </c>
      <c r="R71" s="129">
        <f>+Actuals!O274</f>
        <v>0</v>
      </c>
      <c r="S71" s="130">
        <f>+Actuals!P274</f>
        <v>0</v>
      </c>
      <c r="T71" s="129">
        <f>+Actuals!Q274</f>
        <v>0</v>
      </c>
      <c r="U71" s="130">
        <f>+Actuals!R274</f>
        <v>0</v>
      </c>
      <c r="V71" s="129">
        <f>+Actuals!S474</f>
        <v>0</v>
      </c>
      <c r="W71" s="130">
        <f>+Actuals!T474</f>
        <v>0</v>
      </c>
      <c r="X71" s="129">
        <f>+Actuals!U474</f>
        <v>0</v>
      </c>
      <c r="Y71" s="130">
        <f>+Actuals!V474</f>
        <v>0</v>
      </c>
      <c r="Z71" s="129">
        <f>+Actuals!W474</f>
        <v>0</v>
      </c>
      <c r="AA71" s="130">
        <f>+Actuals!X474</f>
        <v>0</v>
      </c>
      <c r="AB71" s="129">
        <f>+Actuals!Y474</f>
        <v>0</v>
      </c>
      <c r="AC71" s="130">
        <f>+Actuals!Z474</f>
        <v>0</v>
      </c>
      <c r="AD71" s="129">
        <f>+Actuals!AA274</f>
        <v>0</v>
      </c>
      <c r="AE71" s="130">
        <f>+Actuals!AB274</f>
        <v>0</v>
      </c>
    </row>
    <row r="72" spans="1:31" x14ac:dyDescent="0.2">
      <c r="A72" s="9"/>
      <c r="B72" s="3"/>
      <c r="C72" s="55" t="s">
        <v>72</v>
      </c>
      <c r="D72" s="61">
        <f t="shared" ref="D72:AE72" si="22">SUM(D70:D71)</f>
        <v>0</v>
      </c>
      <c r="E72" s="39">
        <f t="shared" si="22"/>
        <v>471249.91000000003</v>
      </c>
      <c r="F72" s="61">
        <f t="shared" si="22"/>
        <v>0</v>
      </c>
      <c r="G72" s="39">
        <f t="shared" si="22"/>
        <v>471249.91000000003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9">
        <f>+Actuals!E275</f>
        <v>0</v>
      </c>
      <c r="I73" s="130">
        <f>+Actuals!F275</f>
        <v>0</v>
      </c>
      <c r="J73" s="129">
        <f>+Actuals!G275</f>
        <v>0</v>
      </c>
      <c r="K73" s="149">
        <f>+Actuals!H275</f>
        <v>0</v>
      </c>
      <c r="L73" s="129">
        <f>+Actuals!I275</f>
        <v>0</v>
      </c>
      <c r="M73" s="130">
        <f>+Actuals!J275</f>
        <v>0</v>
      </c>
      <c r="N73" s="129">
        <f>+Actuals!K275</f>
        <v>0</v>
      </c>
      <c r="O73" s="130">
        <f>+Actuals!L275</f>
        <v>0</v>
      </c>
      <c r="P73" s="129">
        <f>+Actuals!M275</f>
        <v>0</v>
      </c>
      <c r="Q73" s="130">
        <f>+Actuals!N275</f>
        <v>0</v>
      </c>
      <c r="R73" s="129">
        <f>+Actuals!O275</f>
        <v>0</v>
      </c>
      <c r="S73" s="130">
        <f>+Actuals!P275</f>
        <v>0</v>
      </c>
      <c r="T73" s="129">
        <f>+Actuals!Q275</f>
        <v>0</v>
      </c>
      <c r="U73" s="130">
        <f>+Actuals!R275</f>
        <v>0</v>
      </c>
      <c r="V73" s="129">
        <f>+Actuals!S475</f>
        <v>0</v>
      </c>
      <c r="W73" s="130">
        <f>+Actuals!T475</f>
        <v>0</v>
      </c>
      <c r="X73" s="129">
        <f>+Actuals!U475</f>
        <v>0</v>
      </c>
      <c r="Y73" s="130">
        <f>+Actuals!V475</f>
        <v>0</v>
      </c>
      <c r="Z73" s="129">
        <f>+Actuals!W475</f>
        <v>0</v>
      </c>
      <c r="AA73" s="130">
        <f>+Actuals!X475</f>
        <v>0</v>
      </c>
      <c r="AB73" s="129">
        <f>+Actuals!Y475</f>
        <v>0</v>
      </c>
      <c r="AC73" s="130">
        <f>+Actuals!Z475</f>
        <v>0</v>
      </c>
      <c r="AD73" s="129">
        <f>+Actuals!AA275</f>
        <v>0</v>
      </c>
      <c r="AE73" s="130">
        <f>+Actuals!AB275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787615</v>
      </c>
      <c r="F74" s="60">
        <f>'TIE-OUT'!R74+RECLASS!R74</f>
        <v>0</v>
      </c>
      <c r="G74" s="60">
        <f>'TIE-OUT'!S74+RECLASS!S74</f>
        <v>901537</v>
      </c>
      <c r="H74" s="129">
        <f>+Actuals!E276</f>
        <v>0</v>
      </c>
      <c r="I74" s="130">
        <f>+Actuals!F276</f>
        <v>0</v>
      </c>
      <c r="J74" s="129">
        <f>+Actuals!G276</f>
        <v>0</v>
      </c>
      <c r="K74" s="162">
        <v>40680</v>
      </c>
      <c r="L74" s="129">
        <f>+Actuals!I276</f>
        <v>0</v>
      </c>
      <c r="M74" s="159">
        <v>-154602</v>
      </c>
      <c r="N74" s="129">
        <f>+Actuals!K276</f>
        <v>0</v>
      </c>
      <c r="O74" s="130">
        <f>+Actuals!L276</f>
        <v>0</v>
      </c>
      <c r="P74" s="129">
        <f>+Actuals!M276</f>
        <v>0</v>
      </c>
      <c r="Q74" s="130">
        <f>+Actuals!N276</f>
        <v>0</v>
      </c>
      <c r="R74" s="129">
        <f>+Actuals!O276</f>
        <v>0</v>
      </c>
      <c r="S74" s="130">
        <f>+Actuals!P276</f>
        <v>0</v>
      </c>
      <c r="T74" s="129">
        <f>+Actuals!Q276</f>
        <v>0</v>
      </c>
      <c r="U74" s="130">
        <f>+Actuals!R276</f>
        <v>0</v>
      </c>
      <c r="V74" s="129">
        <f>+Actuals!S476</f>
        <v>0</v>
      </c>
      <c r="W74" s="130">
        <f>+Actuals!T476</f>
        <v>0</v>
      </c>
      <c r="X74" s="129">
        <f>+Actuals!U476</f>
        <v>0</v>
      </c>
      <c r="Y74" s="130">
        <f>+Actuals!V476</f>
        <v>0</v>
      </c>
      <c r="Z74" s="129">
        <f>+Actuals!W476</f>
        <v>0</v>
      </c>
      <c r="AA74" s="130">
        <f>+Actuals!X476</f>
        <v>0</v>
      </c>
      <c r="AB74" s="129">
        <f>+Actuals!Y476</f>
        <v>0</v>
      </c>
      <c r="AC74" s="130">
        <f>+Actuals!Z476</f>
        <v>0</v>
      </c>
      <c r="AD74" s="129">
        <f>+Actuals!AA276</f>
        <v>0</v>
      </c>
      <c r="AE74" s="130">
        <f>+Actuals!AB276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126900</v>
      </c>
      <c r="F75" s="60">
        <f>'TIE-OUT'!R75+RECLASS!R75</f>
        <v>0</v>
      </c>
      <c r="G75" s="60">
        <f>'TIE-OUT'!S75+RECLASS!S75</f>
        <v>126900</v>
      </c>
      <c r="H75" s="129">
        <f>+Actuals!E277</f>
        <v>0</v>
      </c>
      <c r="I75" s="130">
        <f>+Actuals!F277</f>
        <v>0</v>
      </c>
      <c r="J75" s="129">
        <f>+Actuals!G277</f>
        <v>0</v>
      </c>
      <c r="K75" s="149">
        <f>+Actuals!H277</f>
        <v>0</v>
      </c>
      <c r="L75" s="129">
        <f>+Actuals!I277</f>
        <v>0</v>
      </c>
      <c r="M75" s="130">
        <f>+Actuals!J277</f>
        <v>0</v>
      </c>
      <c r="N75" s="129">
        <f>+Actuals!K277</f>
        <v>0</v>
      </c>
      <c r="O75" s="130">
        <f>+Actuals!L277</f>
        <v>0</v>
      </c>
      <c r="P75" s="129">
        <f>+Actuals!M277</f>
        <v>0</v>
      </c>
      <c r="Q75" s="130">
        <f>+Actuals!N277</f>
        <v>0</v>
      </c>
      <c r="R75" s="129">
        <f>+Actuals!O277</f>
        <v>0</v>
      </c>
      <c r="S75" s="130">
        <f>+Actuals!P277</f>
        <v>0</v>
      </c>
      <c r="T75" s="129">
        <f>+Actuals!Q277</f>
        <v>0</v>
      </c>
      <c r="U75" s="130">
        <f>+Actuals!R277</f>
        <v>0</v>
      </c>
      <c r="V75" s="129">
        <f>+Actuals!S477</f>
        <v>0</v>
      </c>
      <c r="W75" s="130">
        <f>+Actuals!T477</f>
        <v>0</v>
      </c>
      <c r="X75" s="129">
        <f>+Actuals!U477</f>
        <v>0</v>
      </c>
      <c r="Y75" s="130">
        <f>+Actuals!V477</f>
        <v>0</v>
      </c>
      <c r="Z75" s="129">
        <f>+Actuals!W477</f>
        <v>0</v>
      </c>
      <c r="AA75" s="130">
        <f>+Actuals!X477</f>
        <v>0</v>
      </c>
      <c r="AB75" s="129">
        <f>+Actuals!Y477</f>
        <v>0</v>
      </c>
      <c r="AC75" s="130">
        <f>+Actuals!Z477</f>
        <v>0</v>
      </c>
      <c r="AD75" s="129">
        <f>+Actuals!AA277</f>
        <v>0</v>
      </c>
      <c r="AE75" s="130">
        <f>+Actuals!AB277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-247584</v>
      </c>
      <c r="F76" s="60">
        <f>'TIE-OUT'!R76+RECLASS!R76</f>
        <v>0</v>
      </c>
      <c r="G76" s="60">
        <f>'TIE-OUT'!S76+RECLASS!S76</f>
        <v>0</v>
      </c>
      <c r="H76" s="129">
        <f>+Actuals!E278</f>
        <v>0</v>
      </c>
      <c r="I76" s="130">
        <f>+Actuals!F278</f>
        <v>-245622.75</v>
      </c>
      <c r="J76" s="129">
        <f>+Actuals!G278</f>
        <v>0</v>
      </c>
      <c r="K76" s="149">
        <f>+Actuals!H278</f>
        <v>-1961.25</v>
      </c>
      <c r="L76" s="129">
        <f>+Actuals!I278</f>
        <v>0</v>
      </c>
      <c r="M76" s="130">
        <f>+Actuals!J278</f>
        <v>0</v>
      </c>
      <c r="N76" s="129">
        <f>+Actuals!K278</f>
        <v>0</v>
      </c>
      <c r="O76" s="130">
        <f>+Actuals!L278</f>
        <v>0</v>
      </c>
      <c r="P76" s="129">
        <f>+Actuals!M278</f>
        <v>0</v>
      </c>
      <c r="Q76" s="130">
        <f>+Actuals!N278</f>
        <v>0</v>
      </c>
      <c r="R76" s="129">
        <f>+Actuals!O278</f>
        <v>0</v>
      </c>
      <c r="S76" s="130">
        <f>+Actuals!P278</f>
        <v>0</v>
      </c>
      <c r="T76" s="129">
        <f>+Actuals!Q278</f>
        <v>0</v>
      </c>
      <c r="U76" s="130">
        <f>+Actuals!R278</f>
        <v>0</v>
      </c>
      <c r="V76" s="129">
        <f>+Actuals!S478</f>
        <v>0</v>
      </c>
      <c r="W76" s="130">
        <f>+Actuals!T478</f>
        <v>0</v>
      </c>
      <c r="X76" s="129">
        <f>+Actuals!U478</f>
        <v>0</v>
      </c>
      <c r="Y76" s="130">
        <f>+Actuals!V478</f>
        <v>0</v>
      </c>
      <c r="Z76" s="129">
        <f>+Actuals!W478</f>
        <v>0</v>
      </c>
      <c r="AA76" s="130">
        <f>+Actuals!X478</f>
        <v>0</v>
      </c>
      <c r="AB76" s="129">
        <f>+Actuals!Y478</f>
        <v>0</v>
      </c>
      <c r="AC76" s="130">
        <f>+Actuals!Z478</f>
        <v>0</v>
      </c>
      <c r="AD76" s="129">
        <f>+Actuals!AA278</f>
        <v>0</v>
      </c>
      <c r="AE76" s="130">
        <f>+Actuals!AB278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9">
        <f>+Actuals!E279</f>
        <v>0</v>
      </c>
      <c r="I77" s="130">
        <f>+Actuals!F279</f>
        <v>0</v>
      </c>
      <c r="J77" s="129">
        <f>+Actuals!G279</f>
        <v>0</v>
      </c>
      <c r="K77" s="149">
        <f>+Actuals!H279</f>
        <v>0</v>
      </c>
      <c r="L77" s="129">
        <f>+Actuals!I279</f>
        <v>0</v>
      </c>
      <c r="M77" s="130">
        <f>+Actuals!J279</f>
        <v>0</v>
      </c>
      <c r="N77" s="129">
        <f>+Actuals!K279</f>
        <v>0</v>
      </c>
      <c r="O77" s="130">
        <f>+Actuals!L279</f>
        <v>0</v>
      </c>
      <c r="P77" s="129">
        <f>+Actuals!M279</f>
        <v>0</v>
      </c>
      <c r="Q77" s="130">
        <f>+Actuals!N279</f>
        <v>0</v>
      </c>
      <c r="R77" s="129">
        <f>+Actuals!O279</f>
        <v>0</v>
      </c>
      <c r="S77" s="130">
        <f>+Actuals!P279</f>
        <v>0</v>
      </c>
      <c r="T77" s="129">
        <f>+Actuals!Q279</f>
        <v>0</v>
      </c>
      <c r="U77" s="130">
        <f>+Actuals!R279</f>
        <v>0</v>
      </c>
      <c r="V77" s="129">
        <f>+Actuals!S479</f>
        <v>0</v>
      </c>
      <c r="W77" s="130">
        <f>+Actuals!T479</f>
        <v>0</v>
      </c>
      <c r="X77" s="129">
        <f>+Actuals!U479</f>
        <v>0</v>
      </c>
      <c r="Y77" s="130">
        <f>+Actuals!V479</f>
        <v>0</v>
      </c>
      <c r="Z77" s="129">
        <f>+Actuals!W479</f>
        <v>0</v>
      </c>
      <c r="AA77" s="130">
        <f>+Actuals!X479</f>
        <v>0</v>
      </c>
      <c r="AB77" s="129">
        <f>+Actuals!Y479</f>
        <v>0</v>
      </c>
      <c r="AC77" s="130">
        <f>+Actuals!Z479</f>
        <v>0</v>
      </c>
      <c r="AD77" s="129">
        <f>+Actuals!AA279</f>
        <v>0</v>
      </c>
      <c r="AE77" s="130">
        <f>+Actuals!AB279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9">
        <f>+Actuals!E280</f>
        <v>0</v>
      </c>
      <c r="I78" s="130">
        <f>+Actuals!F280</f>
        <v>0</v>
      </c>
      <c r="J78" s="129">
        <f>+Actuals!G280</f>
        <v>0</v>
      </c>
      <c r="K78" s="149">
        <f>+Actuals!H280</f>
        <v>0</v>
      </c>
      <c r="L78" s="129">
        <f>+Actuals!I280</f>
        <v>0</v>
      </c>
      <c r="M78" s="130">
        <f>+Actuals!J280</f>
        <v>0</v>
      </c>
      <c r="N78" s="129">
        <f>+Actuals!K280</f>
        <v>0</v>
      </c>
      <c r="O78" s="130">
        <f>+Actuals!L280</f>
        <v>0</v>
      </c>
      <c r="P78" s="129">
        <f>+Actuals!M280</f>
        <v>0</v>
      </c>
      <c r="Q78" s="130">
        <f>+Actuals!N280</f>
        <v>0</v>
      </c>
      <c r="R78" s="129">
        <f>+Actuals!O280</f>
        <v>0</v>
      </c>
      <c r="S78" s="130">
        <f>+Actuals!P280</f>
        <v>0</v>
      </c>
      <c r="T78" s="129">
        <f>+Actuals!Q280</f>
        <v>0</v>
      </c>
      <c r="U78" s="130">
        <f>+Actuals!R280</f>
        <v>0</v>
      </c>
      <c r="V78" s="129">
        <f>+Actuals!S480</f>
        <v>0</v>
      </c>
      <c r="W78" s="130">
        <f>+Actuals!T480</f>
        <v>0</v>
      </c>
      <c r="X78" s="129">
        <f>+Actuals!U480</f>
        <v>0</v>
      </c>
      <c r="Y78" s="130">
        <f>+Actuals!V480</f>
        <v>0</v>
      </c>
      <c r="Z78" s="129">
        <f>+Actuals!W480</f>
        <v>0</v>
      </c>
      <c r="AA78" s="130">
        <f>+Actuals!X480</f>
        <v>0</v>
      </c>
      <c r="AB78" s="129">
        <f>+Actuals!Y480</f>
        <v>0</v>
      </c>
      <c r="AC78" s="130">
        <f>+Actuals!Z480</f>
        <v>0</v>
      </c>
      <c r="AD78" s="129">
        <f>+Actuals!AA280</f>
        <v>0</v>
      </c>
      <c r="AE78" s="130">
        <f>+Actuals!AB280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9">
        <f>+Actuals!E281</f>
        <v>0</v>
      </c>
      <c r="I79" s="130">
        <f>+Actuals!F281</f>
        <v>0</v>
      </c>
      <c r="J79" s="129">
        <f>+Actuals!G281</f>
        <v>0</v>
      </c>
      <c r="K79" s="149">
        <f>+Actuals!H281</f>
        <v>0</v>
      </c>
      <c r="L79" s="129">
        <f>+Actuals!I281</f>
        <v>0</v>
      </c>
      <c r="M79" s="130">
        <f>+Actuals!J281</f>
        <v>0</v>
      </c>
      <c r="N79" s="129">
        <f>+Actuals!K281</f>
        <v>0</v>
      </c>
      <c r="O79" s="130">
        <f>+Actuals!L281</f>
        <v>0</v>
      </c>
      <c r="P79" s="129">
        <f>+Actuals!M281</f>
        <v>0</v>
      </c>
      <c r="Q79" s="130">
        <f>+Actuals!N281</f>
        <v>0</v>
      </c>
      <c r="R79" s="129">
        <f>+Actuals!O281</f>
        <v>0</v>
      </c>
      <c r="S79" s="130">
        <f>+Actuals!P281</f>
        <v>0</v>
      </c>
      <c r="T79" s="129">
        <f>+Actuals!Q281</f>
        <v>0</v>
      </c>
      <c r="U79" s="130">
        <f>+Actuals!R281</f>
        <v>0</v>
      </c>
      <c r="V79" s="129">
        <f>+Actuals!S481</f>
        <v>0</v>
      </c>
      <c r="W79" s="130">
        <f>+Actuals!T481</f>
        <v>0</v>
      </c>
      <c r="X79" s="129">
        <f>+Actuals!U481</f>
        <v>0</v>
      </c>
      <c r="Y79" s="130">
        <f>+Actuals!V481</f>
        <v>0</v>
      </c>
      <c r="Z79" s="129">
        <f>+Actuals!W481</f>
        <v>0</v>
      </c>
      <c r="AA79" s="130">
        <f>+Actuals!X481</f>
        <v>0</v>
      </c>
      <c r="AB79" s="129">
        <f>+Actuals!Y481</f>
        <v>0</v>
      </c>
      <c r="AC79" s="130">
        <f>+Actuals!Z481</f>
        <v>0</v>
      </c>
      <c r="AD79" s="129">
        <f>+Actuals!AA281</f>
        <v>0</v>
      </c>
      <c r="AE79" s="130">
        <f>+Actuals!AB281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9">
        <f>+Actuals!E282</f>
        <v>0</v>
      </c>
      <c r="I80" s="130">
        <f>+Actuals!F282</f>
        <v>0</v>
      </c>
      <c r="J80" s="129">
        <f>+Actuals!G282</f>
        <v>0</v>
      </c>
      <c r="K80" s="149">
        <f>+Actuals!H282</f>
        <v>0</v>
      </c>
      <c r="L80" s="129">
        <f>+Actuals!I282</f>
        <v>0</v>
      </c>
      <c r="M80" s="130">
        <f>+Actuals!J282</f>
        <v>0</v>
      </c>
      <c r="N80" s="129">
        <f>+Actuals!K282</f>
        <v>0</v>
      </c>
      <c r="O80" s="130">
        <f>+Actuals!L282</f>
        <v>0</v>
      </c>
      <c r="P80" s="129">
        <f>+Actuals!M282</f>
        <v>0</v>
      </c>
      <c r="Q80" s="130">
        <f>+Actuals!N282</f>
        <v>0</v>
      </c>
      <c r="R80" s="129">
        <f>+Actuals!O282</f>
        <v>0</v>
      </c>
      <c r="S80" s="130">
        <f>+Actuals!P282</f>
        <v>0</v>
      </c>
      <c r="T80" s="129">
        <f>+Actuals!Q282</f>
        <v>0</v>
      </c>
      <c r="U80" s="130">
        <f>+Actuals!R282</f>
        <v>0</v>
      </c>
      <c r="V80" s="129">
        <f>+Actuals!S482</f>
        <v>0</v>
      </c>
      <c r="W80" s="130">
        <f>+Actuals!T482</f>
        <v>0</v>
      </c>
      <c r="X80" s="129">
        <f>+Actuals!U482</f>
        <v>0</v>
      </c>
      <c r="Y80" s="130">
        <f>+Actuals!V482</f>
        <v>0</v>
      </c>
      <c r="Z80" s="129">
        <f>+Actuals!W482</f>
        <v>0</v>
      </c>
      <c r="AA80" s="130">
        <f>+Actuals!X482</f>
        <v>0</v>
      </c>
      <c r="AB80" s="129">
        <f>+Actuals!Y482</f>
        <v>0</v>
      </c>
      <c r="AC80" s="130">
        <f>+Actuals!Z482</f>
        <v>0</v>
      </c>
      <c r="AD80" s="129">
        <f>+Actuals!AA282</f>
        <v>0</v>
      </c>
      <c r="AE80" s="130">
        <f>+Actuals!AB282</f>
        <v>0</v>
      </c>
    </row>
    <row r="81" spans="1:67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9">
        <f>+Actuals!E283</f>
        <v>0</v>
      </c>
      <c r="I81" s="130">
        <f>+Actuals!F283-5708904</f>
        <v>-5708904</v>
      </c>
      <c r="J81" s="129">
        <f>+Actuals!G283</f>
        <v>0</v>
      </c>
      <c r="K81" s="149">
        <v>5708904</v>
      </c>
      <c r="L81" s="129">
        <f>+Actuals!I283</f>
        <v>0</v>
      </c>
      <c r="M81" s="130">
        <f>+Actuals!J283</f>
        <v>0</v>
      </c>
      <c r="N81" s="129">
        <f>+Actuals!K283</f>
        <v>0</v>
      </c>
      <c r="O81" s="130">
        <f>+Actuals!L283</f>
        <v>0</v>
      </c>
      <c r="P81" s="129">
        <f>+Actuals!M283</f>
        <v>0</v>
      </c>
      <c r="Q81" s="130">
        <f>+Actuals!N283</f>
        <v>0</v>
      </c>
      <c r="R81" s="129">
        <f>+Actuals!O283</f>
        <v>0</v>
      </c>
      <c r="S81" s="130">
        <f>+Actuals!P283</f>
        <v>0</v>
      </c>
      <c r="T81" s="129">
        <f>+Actuals!Q283</f>
        <v>0</v>
      </c>
      <c r="U81" s="130">
        <f>+Actuals!R283</f>
        <v>0</v>
      </c>
      <c r="V81" s="129">
        <f>+Actuals!S483</f>
        <v>0</v>
      </c>
      <c r="W81" s="130">
        <f>+Actuals!T483</f>
        <v>0</v>
      </c>
      <c r="X81" s="129">
        <f>+Actuals!U483</f>
        <v>0</v>
      </c>
      <c r="Y81" s="130">
        <f>+Actuals!V483</f>
        <v>0</v>
      </c>
      <c r="Z81" s="129">
        <f>+Actuals!W483</f>
        <v>0</v>
      </c>
      <c r="AA81" s="130">
        <f>+Actuals!X483</f>
        <v>0</v>
      </c>
      <c r="AB81" s="129">
        <f>+Actuals!Y483</f>
        <v>0</v>
      </c>
      <c r="AC81" s="130">
        <f>+Actuals!Z483</f>
        <v>0</v>
      </c>
      <c r="AD81" s="129">
        <f>+Actuals!AA283</f>
        <v>0</v>
      </c>
      <c r="AE81" s="130">
        <f>+Actuals!AB283</f>
        <v>0</v>
      </c>
    </row>
    <row r="82" spans="1:67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2756146.3559999778</v>
      </c>
      <c r="F82" s="92">
        <f>F16+F24+F29+F36+F43+F45+F47+F49</f>
        <v>0</v>
      </c>
      <c r="G82" s="93">
        <f>SUM(G72:G81)+G16+G24+G29+G36+G43+G45+G47+G49+G51+G56+G61+G66</f>
        <v>6059923.0199999996</v>
      </c>
      <c r="H82" s="92">
        <f>H16+H24+H29+H36+H43+H45+H47+H49</f>
        <v>0</v>
      </c>
      <c r="I82" s="93">
        <f>SUM(I72:I81)+I16+I24+I29+I36+I43+I45+I47+I49+I51+I56+I61+I66</f>
        <v>-3612502.1349999961</v>
      </c>
      <c r="J82" s="92">
        <f>J16+J24+J29+J36+J43+J45+J47+J49</f>
        <v>0</v>
      </c>
      <c r="K82" s="166">
        <f>SUM(K72:K81)+K16+K24+K29+K36+K43+K45+K47+K49+K51+K56+K61+K66</f>
        <v>1488938.3259999999</v>
      </c>
      <c r="L82" s="92">
        <f>L16+L24+L29+L36+L43+L45+L47+L49</f>
        <v>0</v>
      </c>
      <c r="M82" s="93">
        <f>SUM(M72:M81)+M16+M24+M29+M36+M43+M45+M47+M49+M51+M56+M61+M66</f>
        <v>-1332824.7579999999</v>
      </c>
      <c r="N82" s="92">
        <f>N16+N24+N29+N36+N43+N45+N47+N49</f>
        <v>0</v>
      </c>
      <c r="O82" s="93">
        <f>SUM(O72:O81)+O16+O24+O29+O36+O43+O45+O47+O49+O51+O56+O61+O66</f>
        <v>178607.81699999998</v>
      </c>
      <c r="P82" s="92">
        <f>P16+P24+P29+P36+P43+P45+P47+P49</f>
        <v>0</v>
      </c>
      <c r="Q82" s="93">
        <f>SUM(Q72:Q81)+Q16+Q24+Q29+Q36+Q43+Q45+Q47+Q49+Q51+Q56+Q61+Q66</f>
        <v>-56749.838999999687</v>
      </c>
      <c r="R82" s="92">
        <f>R16+R24+R29+R36+R43+R45+R47+R49</f>
        <v>0</v>
      </c>
      <c r="S82" s="93">
        <f>SUM(S72:S81)+S16+S24+S29+S36+S43+S45+S47+S49+S51+S56+S61+S66</f>
        <v>-33606.556000000091</v>
      </c>
      <c r="T82" s="92">
        <f>T16+T24+T29+T36+T43+T45+T47+T49</f>
        <v>0</v>
      </c>
      <c r="U82" s="93">
        <f>SUM(U72:U81)+U16+U24+U29+U36+U43+U45+U47+U49+U51+U56+U61+U66</f>
        <v>-157953.39499999947</v>
      </c>
      <c r="V82" s="92">
        <f>V16+V24+V29+V36+V43+V45+V47+V49</f>
        <v>0</v>
      </c>
      <c r="W82" s="93">
        <f>SUM(W72:W81)+W16+W24+W29+W36+W43+W45+W47+W49+W51+W56+W61+W66</f>
        <v>107702.37499999968</v>
      </c>
      <c r="X82" s="92">
        <f>X16+X24+X29+X36+X43+X45+X47+X49</f>
        <v>0</v>
      </c>
      <c r="Y82" s="93">
        <f>SUM(Y72:Y81)+Y16+Y24+Y29+Y36+Y43+Y45+Y47+Y49+Y51+Y56+Y61+Y66</f>
        <v>-399.94699999991803</v>
      </c>
      <c r="Z82" s="92">
        <f>Z16+Z24+Z29+Z36+Z43+Z45+Z47+Z49</f>
        <v>0</v>
      </c>
      <c r="AA82" s="93">
        <f>SUM(AA72:AA81)+AA16+AA24+AA29+AA36+AA43+AA45+AA47+AA49+AA51+AA56+AA61+AA66</f>
        <v>66699.495000000388</v>
      </c>
      <c r="AB82" s="92">
        <f>AB16+AB24+AB29+AB36+AB43+AB45+AB47+AB49</f>
        <v>0</v>
      </c>
      <c r="AC82" s="93">
        <f>SUM(AC72:AC81)+AC16+AC24+AC29+AC36+AC43+AC45+AC47+AC49+AC51+AC56+AC61+AC66</f>
        <v>48311.953000000001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181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4"/>
      <c r="C86" s="10" t="s">
        <v>177</v>
      </c>
      <c r="D86" s="175">
        <f t="shared" ref="D86:E88" si="25">SUM(F86,H86,J86,L86,N86,P86,R86,T86,V86,X86,Z86,AB86,AD86)</f>
        <v>0</v>
      </c>
      <c r="E86" s="175">
        <f t="shared" si="25"/>
        <v>5825473</v>
      </c>
      <c r="F86" s="175">
        <f>'TIE-OUT'!R86+RECLASS!R86</f>
        <v>0</v>
      </c>
      <c r="G86" s="175">
        <f>'TIE-OUT'!S86+RECLASS!S86</f>
        <v>5825473</v>
      </c>
      <c r="H86" s="175">
        <v>0</v>
      </c>
      <c r="I86" s="175">
        <v>0</v>
      </c>
      <c r="J86" s="175">
        <v>0</v>
      </c>
      <c r="K86" s="175"/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">
      <c r="A87" s="174"/>
      <c r="C87" s="10" t="s">
        <v>74</v>
      </c>
      <c r="D87" s="176">
        <f t="shared" si="25"/>
        <v>0</v>
      </c>
      <c r="E87" s="176">
        <f t="shared" si="25"/>
        <v>0</v>
      </c>
      <c r="F87" s="176">
        <f>'TIE-OUT'!R87+RECLASS!R87</f>
        <v>0</v>
      </c>
      <c r="G87" s="176">
        <f>'TIE-OUT'!S87+RECLASS!S87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">
      <c r="A88" s="174"/>
      <c r="C88" s="10" t="s">
        <v>75</v>
      </c>
      <c r="D88" s="177">
        <f t="shared" si="25"/>
        <v>0</v>
      </c>
      <c r="E88" s="177">
        <f t="shared" si="25"/>
        <v>-5830400</v>
      </c>
      <c r="F88" s="177">
        <f>'TIE-OUT'!R88+RECLASS!R88</f>
        <v>0</v>
      </c>
      <c r="G88" s="177">
        <f>'TIE-OUT'!S88+RECLASS!S88</f>
        <v>-5830400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">
      <c r="A89" s="181"/>
      <c r="B89" s="182"/>
      <c r="C89" s="187" t="s">
        <v>180</v>
      </c>
      <c r="D89" s="185">
        <f>SUM(D86:D88)</f>
        <v>0</v>
      </c>
      <c r="E89" s="185">
        <f t="shared" ref="E89:M89" si="26">SUM(E86:E88)</f>
        <v>-4927</v>
      </c>
      <c r="F89" s="185">
        <f t="shared" si="26"/>
        <v>0</v>
      </c>
      <c r="G89" s="185">
        <f t="shared" si="26"/>
        <v>-4927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1"/>
      <c r="B91" s="182"/>
      <c r="C91" s="187" t="s">
        <v>183</v>
      </c>
      <c r="D91" s="185">
        <f>+D82+D89</f>
        <v>0</v>
      </c>
      <c r="E91" s="185">
        <f t="shared" ref="E91:M91" si="28">+E82+E89</f>
        <v>2751219.3559999778</v>
      </c>
      <c r="F91" s="185">
        <f t="shared" si="28"/>
        <v>0</v>
      </c>
      <c r="G91" s="185">
        <f t="shared" si="28"/>
        <v>6054996.0199999996</v>
      </c>
      <c r="H91" s="185">
        <f t="shared" si="28"/>
        <v>0</v>
      </c>
      <c r="I91" s="185">
        <f t="shared" si="28"/>
        <v>-3612502.1349999961</v>
      </c>
      <c r="J91" s="185">
        <f t="shared" si="28"/>
        <v>0</v>
      </c>
      <c r="K91" s="185">
        <f t="shared" si="28"/>
        <v>1488938.3259999999</v>
      </c>
      <c r="L91" s="185">
        <f t="shared" si="28"/>
        <v>0</v>
      </c>
      <c r="M91" s="185">
        <f t="shared" si="28"/>
        <v>-1332824.7579999999</v>
      </c>
      <c r="N91" s="185">
        <f t="shared" ref="N91:AE91" si="29">+N82+N89</f>
        <v>0</v>
      </c>
      <c r="O91" s="185">
        <f t="shared" si="29"/>
        <v>178607.81699999998</v>
      </c>
      <c r="P91" s="185">
        <f t="shared" si="29"/>
        <v>0</v>
      </c>
      <c r="Q91" s="185">
        <f t="shared" si="29"/>
        <v>-56749.838999999687</v>
      </c>
      <c r="R91" s="185">
        <f t="shared" si="29"/>
        <v>0</v>
      </c>
      <c r="S91" s="185">
        <f t="shared" si="29"/>
        <v>-33606.556000000091</v>
      </c>
      <c r="T91" s="185">
        <f t="shared" si="29"/>
        <v>0</v>
      </c>
      <c r="U91" s="185">
        <f t="shared" si="29"/>
        <v>-157953.39499999947</v>
      </c>
      <c r="V91" s="185">
        <f t="shared" si="29"/>
        <v>0</v>
      </c>
      <c r="W91" s="185">
        <f t="shared" si="29"/>
        <v>107702.37499999968</v>
      </c>
      <c r="X91" s="185">
        <f t="shared" si="29"/>
        <v>0</v>
      </c>
      <c r="Y91" s="185">
        <f t="shared" si="29"/>
        <v>-399.94699999991803</v>
      </c>
      <c r="Z91" s="185">
        <f t="shared" si="29"/>
        <v>0</v>
      </c>
      <c r="AA91" s="185">
        <f t="shared" si="29"/>
        <v>66699.495000000388</v>
      </c>
      <c r="AB91" s="185">
        <f t="shared" si="29"/>
        <v>0</v>
      </c>
      <c r="AC91" s="185">
        <f t="shared" si="29"/>
        <v>48311.953000000001</v>
      </c>
      <c r="AD91" s="185">
        <f t="shared" si="29"/>
        <v>0</v>
      </c>
      <c r="AE91" s="185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U10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962126</v>
      </c>
      <c r="E11" s="38">
        <f>SUM(G11,I11,K11,M11,O11,Q11,S11,U11,W11,Y11,AA11,AC11,AE11)</f>
        <v>2104875.1900000004</v>
      </c>
      <c r="F11" s="60">
        <f>'TIE-OUT'!P11+RECLASS!P11</f>
        <v>0</v>
      </c>
      <c r="G11" s="38">
        <f>'TIE-OUT'!Q11+RECLASS!Q11</f>
        <v>0</v>
      </c>
      <c r="H11" s="129">
        <f>+Actuals!E4</f>
        <v>964829</v>
      </c>
      <c r="I11" s="130">
        <f>+Actuals!F4</f>
        <v>2116231.87</v>
      </c>
      <c r="J11" s="129">
        <f>+Actuals!G4</f>
        <v>58775</v>
      </c>
      <c r="K11" s="149">
        <f>+Actuals!H4</f>
        <v>125431.87</v>
      </c>
      <c r="L11" s="129">
        <f>+Actuals!I4</f>
        <v>0</v>
      </c>
      <c r="M11" s="130">
        <f>+Actuals!J4</f>
        <v>0</v>
      </c>
      <c r="N11" s="129">
        <f>+Actuals!K4</f>
        <v>0</v>
      </c>
      <c r="O11" s="130">
        <f>+Actuals!L4</f>
        <v>0</v>
      </c>
      <c r="P11" s="129">
        <f>+Actuals!M4</f>
        <v>-61478</v>
      </c>
      <c r="Q11" s="130">
        <f>+Actuals!N4</f>
        <v>-136788.54999999999</v>
      </c>
      <c r="R11" s="129">
        <f>+Actuals!O4</f>
        <v>0</v>
      </c>
      <c r="S11" s="130">
        <f>+Actuals!P4</f>
        <v>0</v>
      </c>
      <c r="T11" s="129">
        <f>+Actuals!Q4</f>
        <v>0</v>
      </c>
      <c r="U11" s="130">
        <f>+Actuals!R4</f>
        <v>0</v>
      </c>
      <c r="V11" s="129">
        <f>+Actuals!S4</f>
        <v>0</v>
      </c>
      <c r="W11" s="130">
        <f>+Actuals!T4</f>
        <v>0</v>
      </c>
      <c r="X11" s="129">
        <f>+Actuals!U4</f>
        <v>0</v>
      </c>
      <c r="Y11" s="130">
        <f>+Actuals!V4</f>
        <v>0</v>
      </c>
      <c r="Z11" s="129">
        <f>+Actuals!W4</f>
        <v>0</v>
      </c>
      <c r="AA11" s="130">
        <f>+Actuals!X4</f>
        <v>0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-8636.77</v>
      </c>
      <c r="F12" s="60">
        <f>'TIE-OUT'!P12+RECLASS!P12</f>
        <v>0</v>
      </c>
      <c r="G12" s="38">
        <f>'TIE-OUT'!Q12+RECLASS!Q12</f>
        <v>-8636.77</v>
      </c>
      <c r="H12" s="129">
        <f>+Actuals!E5</f>
        <v>0</v>
      </c>
      <c r="I12" s="130">
        <f>+Actuals!F5</f>
        <v>0</v>
      </c>
      <c r="J12" s="129">
        <f>+Actuals!G5</f>
        <v>0</v>
      </c>
      <c r="K12" s="162">
        <f>+Actuals!H5</f>
        <v>0</v>
      </c>
      <c r="L12" s="129">
        <f>+Actuals!I5</f>
        <v>0</v>
      </c>
      <c r="M12" s="130">
        <f>+Actuals!J5</f>
        <v>0</v>
      </c>
      <c r="N12" s="129">
        <f>+Actuals!K5</f>
        <v>0</v>
      </c>
      <c r="O12" s="130">
        <f>+Actuals!L5</f>
        <v>0</v>
      </c>
      <c r="P12" s="129">
        <f>+Actuals!M5</f>
        <v>0</v>
      </c>
      <c r="Q12" s="130">
        <f>+Actuals!N5</f>
        <v>0</v>
      </c>
      <c r="R12" s="129">
        <f>+Actuals!O5</f>
        <v>0</v>
      </c>
      <c r="S12" s="130">
        <f>+Actuals!P5</f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9">
        <f>+Actuals!E6</f>
        <v>0</v>
      </c>
      <c r="I13" s="130">
        <f>+Actuals!F6</f>
        <v>0</v>
      </c>
      <c r="J13" s="129">
        <f>+Actuals!G6</f>
        <v>0</v>
      </c>
      <c r="K13" s="149">
        <f>+Actuals!H6</f>
        <v>0</v>
      </c>
      <c r="L13" s="129">
        <f>+Actuals!I6</f>
        <v>0</v>
      </c>
      <c r="M13" s="130">
        <f>+Actuals!J6</f>
        <v>0</v>
      </c>
      <c r="N13" s="129">
        <f>+Actuals!K6</f>
        <v>0</v>
      </c>
      <c r="O13" s="130">
        <f>+Actuals!L6</f>
        <v>0</v>
      </c>
      <c r="P13" s="129">
        <f>+Actuals!M6</f>
        <v>0</v>
      </c>
      <c r="Q13" s="130">
        <f>+Actuals!N6</f>
        <v>0</v>
      </c>
      <c r="R13" s="129">
        <f>+Actuals!O6</f>
        <v>0</v>
      </c>
      <c r="S13" s="130">
        <f>+Actuals!P6</f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9">
        <f>+Actuals!E7</f>
        <v>0</v>
      </c>
      <c r="I14" s="130">
        <f>+Actuals!F7</f>
        <v>0</v>
      </c>
      <c r="J14" s="129">
        <f>+Actuals!G7</f>
        <v>0</v>
      </c>
      <c r="K14" s="149">
        <f>+Actuals!H7</f>
        <v>0</v>
      </c>
      <c r="L14" s="129">
        <f>+Actuals!I7</f>
        <v>0</v>
      </c>
      <c r="M14" s="130">
        <f>+Actuals!J7</f>
        <v>0</v>
      </c>
      <c r="N14" s="129">
        <f>+Actuals!K7</f>
        <v>0</v>
      </c>
      <c r="O14" s="130">
        <f>+Actuals!L7</f>
        <v>0</v>
      </c>
      <c r="P14" s="129">
        <f>+Actuals!M7</f>
        <v>0</v>
      </c>
      <c r="Q14" s="130">
        <f>+Actuals!N7</f>
        <v>0</v>
      </c>
      <c r="R14" s="129">
        <f>+Actuals!O7</f>
        <v>0</v>
      </c>
      <c r="S14" s="130">
        <f>+Actuals!P7</f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9">
        <f>+Actuals!E8</f>
        <v>0</v>
      </c>
      <c r="I15" s="130">
        <f>+Actuals!F8</f>
        <v>0</v>
      </c>
      <c r="J15" s="129">
        <f>+Actuals!G8</f>
        <v>0</v>
      </c>
      <c r="K15" s="149">
        <f>+Actuals!H8</f>
        <v>0</v>
      </c>
      <c r="L15" s="129">
        <f>+Actuals!I8</f>
        <v>0</v>
      </c>
      <c r="M15" s="130">
        <f>+Actuals!J8</f>
        <v>0</v>
      </c>
      <c r="N15" s="129">
        <f>+Actuals!K8</f>
        <v>0</v>
      </c>
      <c r="O15" s="130">
        <f>+Actuals!L8</f>
        <v>0</v>
      </c>
      <c r="P15" s="129">
        <f>+Actuals!M8</f>
        <v>0</v>
      </c>
      <c r="Q15" s="130">
        <f>+Actuals!N8</f>
        <v>0</v>
      </c>
      <c r="R15" s="129">
        <f>+Actuals!O8</f>
        <v>0</v>
      </c>
      <c r="S15" s="130">
        <f>+Actuals!P8</f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">
      <c r="A16" s="9"/>
      <c r="B16" s="7" t="s">
        <v>33</v>
      </c>
      <c r="C16" s="6"/>
      <c r="D16" s="61">
        <f>SUM(D11:D15)</f>
        <v>962126</v>
      </c>
      <c r="E16" s="39">
        <f>SUM(E11:E15)</f>
        <v>2096238.4200000004</v>
      </c>
      <c r="F16" s="61">
        <f t="shared" ref="F16:AE16" si="1">SUM(F11:F15)</f>
        <v>0</v>
      </c>
      <c r="G16" s="39">
        <f t="shared" si="1"/>
        <v>-8636.77</v>
      </c>
      <c r="H16" s="61">
        <f t="shared" si="1"/>
        <v>964829</v>
      </c>
      <c r="I16" s="39">
        <f t="shared" si="1"/>
        <v>2116231.87</v>
      </c>
      <c r="J16" s="61">
        <f t="shared" si="1"/>
        <v>58775</v>
      </c>
      <c r="K16" s="150">
        <f t="shared" si="1"/>
        <v>125431.87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-61478</v>
      </c>
      <c r="Q16" s="39">
        <f t="shared" si="1"/>
        <v>-136788.54999999999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-1065864</v>
      </c>
      <c r="E19" s="38">
        <f t="shared" si="3"/>
        <v>-2287666.0299999998</v>
      </c>
      <c r="F19" s="64">
        <f>'TIE-OUT'!P19+RECLASS!P19</f>
        <v>0</v>
      </c>
      <c r="G19" s="68">
        <f>'TIE-OUT'!Q19+RECLASS!Q19</f>
        <v>0</v>
      </c>
      <c r="H19" s="129">
        <f>+Actuals!E9</f>
        <v>-983775</v>
      </c>
      <c r="I19" s="130">
        <f>+Actuals!F9</f>
        <v>-2105036.44</v>
      </c>
      <c r="J19" s="129">
        <f>+Actuals!G9</f>
        <v>-145836</v>
      </c>
      <c r="K19" s="149">
        <f>+Actuals!H9</f>
        <v>-325447.98</v>
      </c>
      <c r="L19" s="129">
        <f>+Actuals!I9</f>
        <v>2239</v>
      </c>
      <c r="M19" s="130">
        <f>+Actuals!J9</f>
        <v>5470.64</v>
      </c>
      <c r="N19" s="129">
        <f>+Actuals!K9</f>
        <v>30</v>
      </c>
      <c r="O19" s="130">
        <f>+Actuals!L9</f>
        <v>57.12</v>
      </c>
      <c r="P19" s="129">
        <f>+Actuals!M9</f>
        <v>61478</v>
      </c>
      <c r="Q19" s="130">
        <f>+Actuals!N9</f>
        <v>137290.63</v>
      </c>
      <c r="R19" s="129">
        <f>+Actuals!O9</f>
        <v>0</v>
      </c>
      <c r="S19" s="130">
        <f>+Actuals!P9</f>
        <v>0</v>
      </c>
      <c r="T19" s="129">
        <f>+Actuals!Q9</f>
        <v>0</v>
      </c>
      <c r="U19" s="130">
        <f>+Actuals!R9</f>
        <v>0</v>
      </c>
      <c r="V19" s="129">
        <f>+Actuals!S9</f>
        <v>0</v>
      </c>
      <c r="W19" s="130">
        <f>+Actuals!T9</f>
        <v>0</v>
      </c>
      <c r="X19" s="129">
        <f>+Actuals!U9</f>
        <v>0</v>
      </c>
      <c r="Y19" s="130">
        <f>+Actuals!V9</f>
        <v>0</v>
      </c>
      <c r="Z19" s="129">
        <f>+Actuals!W9</f>
        <v>0</v>
      </c>
      <c r="AA19" s="130">
        <f>+Actuals!X9</f>
        <v>0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-10002.44</v>
      </c>
      <c r="F20" s="60">
        <f>'TIE-OUT'!P20+RECLASS!P20</f>
        <v>0</v>
      </c>
      <c r="G20" s="38">
        <f>'TIE-OUT'!Q20+RECLASS!Q20</f>
        <v>-10002.44</v>
      </c>
      <c r="H20" s="129">
        <f>+Actuals!E10</f>
        <v>0</v>
      </c>
      <c r="I20" s="130">
        <f>+Actuals!F10</f>
        <v>0</v>
      </c>
      <c r="J20" s="129">
        <f>+Actuals!G10</f>
        <v>0</v>
      </c>
      <c r="K20" s="149">
        <f>+Actuals!H10</f>
        <v>0</v>
      </c>
      <c r="L20" s="129">
        <f>+Actuals!I10</f>
        <v>0</v>
      </c>
      <c r="M20" s="130">
        <f>+Actuals!J10</f>
        <v>0</v>
      </c>
      <c r="N20" s="129">
        <f>+Actuals!K10</f>
        <v>0</v>
      </c>
      <c r="O20" s="130">
        <f>+Actuals!L10</f>
        <v>0</v>
      </c>
      <c r="P20" s="129">
        <f>+Actuals!M10</f>
        <v>0</v>
      </c>
      <c r="Q20" s="130">
        <f>+Actuals!N10</f>
        <v>0</v>
      </c>
      <c r="R20" s="129">
        <f>+Actuals!O10</f>
        <v>0</v>
      </c>
      <c r="S20" s="130">
        <f>+Actuals!P10</f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9">
        <f>+Actuals!E11</f>
        <v>0</v>
      </c>
      <c r="I21" s="130">
        <f>+Actuals!F11</f>
        <v>0</v>
      </c>
      <c r="J21" s="129">
        <f>+Actuals!G11</f>
        <v>0</v>
      </c>
      <c r="K21" s="149">
        <f>+Actuals!H11</f>
        <v>0</v>
      </c>
      <c r="L21" s="129">
        <f>+Actuals!I11</f>
        <v>0</v>
      </c>
      <c r="M21" s="130">
        <f>+Actuals!J11</f>
        <v>0</v>
      </c>
      <c r="N21" s="129">
        <f>+Actuals!K11</f>
        <v>0</v>
      </c>
      <c r="O21" s="130">
        <f>+Actuals!L11</f>
        <v>0</v>
      </c>
      <c r="P21" s="129">
        <f>+Actuals!M11</f>
        <v>0</v>
      </c>
      <c r="Q21" s="130">
        <f>+Actuals!N11</f>
        <v>0</v>
      </c>
      <c r="R21" s="129">
        <f>+Actuals!O11</f>
        <v>0</v>
      </c>
      <c r="S21" s="130">
        <f>+Actuals!P11</f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9">
        <f>+Actuals!E12</f>
        <v>0</v>
      </c>
      <c r="I22" s="130">
        <f>+Actuals!F12</f>
        <v>0</v>
      </c>
      <c r="J22" s="129">
        <f>+Actuals!G12</f>
        <v>0</v>
      </c>
      <c r="K22" s="149">
        <f>+Actuals!H12</f>
        <v>0</v>
      </c>
      <c r="L22" s="129">
        <f>+Actuals!I12</f>
        <v>0</v>
      </c>
      <c r="M22" s="130">
        <f>+Actuals!J12</f>
        <v>0</v>
      </c>
      <c r="N22" s="129">
        <f>+Actuals!K12</f>
        <v>0</v>
      </c>
      <c r="O22" s="130">
        <f>+Actuals!L12</f>
        <v>0</v>
      </c>
      <c r="P22" s="129">
        <f>+Actuals!M12</f>
        <v>0</v>
      </c>
      <c r="Q22" s="130">
        <f>+Actuals!N12</f>
        <v>0</v>
      </c>
      <c r="R22" s="129">
        <f>+Actuals!O12</f>
        <v>0</v>
      </c>
      <c r="S22" s="130">
        <f>+Actuals!P12</f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9">
        <f>+Actuals!E13</f>
        <v>0</v>
      </c>
      <c r="I23" s="130">
        <f>+Actuals!F13</f>
        <v>0</v>
      </c>
      <c r="J23" s="129">
        <f>+Actuals!G13</f>
        <v>0</v>
      </c>
      <c r="K23" s="149">
        <f>+Actuals!H13</f>
        <v>0</v>
      </c>
      <c r="L23" s="129">
        <f>+Actuals!I13</f>
        <v>0</v>
      </c>
      <c r="M23" s="130">
        <f>+Actuals!J13</f>
        <v>0</v>
      </c>
      <c r="N23" s="129">
        <f>+Actuals!K13</f>
        <v>0</v>
      </c>
      <c r="O23" s="130">
        <f>+Actuals!L13</f>
        <v>0</v>
      </c>
      <c r="P23" s="129">
        <f>+Actuals!M13</f>
        <v>0</v>
      </c>
      <c r="Q23" s="130">
        <f>+Actuals!N13</f>
        <v>0</v>
      </c>
      <c r="R23" s="129">
        <f>+Actuals!O13</f>
        <v>0</v>
      </c>
      <c r="S23" s="130">
        <f>+Actuals!P13</f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">
      <c r="A24" s="9"/>
      <c r="B24" s="7" t="s">
        <v>36</v>
      </c>
      <c r="C24" s="6"/>
      <c r="D24" s="61">
        <f>SUM(D19:D23)</f>
        <v>-1065864</v>
      </c>
      <c r="E24" s="39">
        <f>SUM(E19:E23)</f>
        <v>-2297668.4699999997</v>
      </c>
      <c r="F24" s="61">
        <f t="shared" ref="F24:AE24" si="4">SUM(F19:F23)</f>
        <v>0</v>
      </c>
      <c r="G24" s="39">
        <f t="shared" si="4"/>
        <v>-10002.44</v>
      </c>
      <c r="H24" s="61">
        <f t="shared" si="4"/>
        <v>-983775</v>
      </c>
      <c r="I24" s="39">
        <f t="shared" si="4"/>
        <v>-2105036.44</v>
      </c>
      <c r="J24" s="61">
        <f t="shared" si="4"/>
        <v>-145836</v>
      </c>
      <c r="K24" s="150">
        <f t="shared" si="4"/>
        <v>-325447.98</v>
      </c>
      <c r="L24" s="61">
        <f t="shared" si="4"/>
        <v>2239</v>
      </c>
      <c r="M24" s="39">
        <f t="shared" si="4"/>
        <v>5470.64</v>
      </c>
      <c r="N24" s="61">
        <f t="shared" si="4"/>
        <v>30</v>
      </c>
      <c r="O24" s="39">
        <f t="shared" si="4"/>
        <v>57.12</v>
      </c>
      <c r="P24" s="61">
        <f t="shared" si="4"/>
        <v>61478</v>
      </c>
      <c r="Q24" s="39">
        <f t="shared" si="4"/>
        <v>137290.63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110708</v>
      </c>
      <c r="E27" s="38">
        <f>SUM(G27,I27,K27,M27,O27,Q27,S27,U27,W27,Y27,AA27,AC27,AE27)</f>
        <v>239524.14950000003</v>
      </c>
      <c r="F27" s="64">
        <f>'TIE-OUT'!P27+RECLASS!P27</f>
        <v>0</v>
      </c>
      <c r="G27" s="68">
        <f>'TIE-OUT'!Q27+RECLASS!Q27</f>
        <v>0</v>
      </c>
      <c r="H27" s="129">
        <f>+Actuals!E14</f>
        <v>24320</v>
      </c>
      <c r="I27" s="130">
        <f>+Actuals!F14</f>
        <v>54476.800000000003</v>
      </c>
      <c r="J27" s="129">
        <f>+Actuals!G14</f>
        <v>61975</v>
      </c>
      <c r="K27" s="149">
        <f>+Actuals!H14</f>
        <v>132503.4675</v>
      </c>
      <c r="L27" s="129">
        <f>+Actuals!I14</f>
        <v>24463</v>
      </c>
      <c r="M27" s="130">
        <f>+Actuals!J14</f>
        <v>52649.953800000003</v>
      </c>
      <c r="N27" s="129">
        <f>+Actuals!K14</f>
        <v>-50</v>
      </c>
      <c r="O27" s="130">
        <f>+Actuals!L14</f>
        <v>-106.0718</v>
      </c>
      <c r="P27" s="129">
        <f>+Actuals!M14</f>
        <v>0</v>
      </c>
      <c r="Q27" s="130">
        <f>+Actuals!N14</f>
        <v>0</v>
      </c>
      <c r="R27" s="129">
        <f>+Actuals!O14</f>
        <v>0</v>
      </c>
      <c r="S27" s="130">
        <f>+Actuals!P14</f>
        <v>0</v>
      </c>
      <c r="T27" s="129">
        <f>+Actuals!Q14</f>
        <v>0</v>
      </c>
      <c r="U27" s="130">
        <f>+Actuals!R14</f>
        <v>0</v>
      </c>
      <c r="V27" s="129">
        <f>+Actuals!S14</f>
        <v>0</v>
      </c>
      <c r="W27" s="130">
        <f>+Actuals!T14</f>
        <v>0</v>
      </c>
      <c r="X27" s="129">
        <f>+Actuals!U14</f>
        <v>0</v>
      </c>
      <c r="Y27" s="130">
        <f>+Actuals!V14</f>
        <v>0</v>
      </c>
      <c r="Z27" s="129">
        <f>+Actuals!W14</f>
        <v>0</v>
      </c>
      <c r="AA27" s="130">
        <f>+Actuals!X14</f>
        <v>0</v>
      </c>
      <c r="AB27" s="129">
        <f>+Actuals!Y14</f>
        <v>0</v>
      </c>
      <c r="AC27" s="130">
        <f>+Actuals!Z14</f>
        <v>0</v>
      </c>
      <c r="AD27" s="129">
        <f>+Actuals!AA14</f>
        <v>0</v>
      </c>
      <c r="AE27" s="130">
        <f>+Actuals!AB14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-6990</v>
      </c>
      <c r="E28" s="38">
        <f>SUM(G28,I28,K28,M28,O28,Q28,S28,U28,W28,Y28,AA28,AC28,AE28)</f>
        <v>-15862.28</v>
      </c>
      <c r="F28" s="81">
        <f>'TIE-OUT'!P28+RECLASS!P28</f>
        <v>0</v>
      </c>
      <c r="G28" s="82">
        <f>'TIE-OUT'!Q28+RECLASS!Q28</f>
        <v>0</v>
      </c>
      <c r="H28" s="129">
        <f>+Actuals!E15</f>
        <v>-5374</v>
      </c>
      <c r="I28" s="130">
        <f>+Actuals!F15</f>
        <v>-12177.94</v>
      </c>
      <c r="J28" s="129">
        <f>+Actuals!G15</f>
        <v>-1616</v>
      </c>
      <c r="K28" s="149">
        <f>+Actuals!H15</f>
        <v>-3684.34</v>
      </c>
      <c r="L28" s="129">
        <f>+Actuals!I15</f>
        <v>0</v>
      </c>
      <c r="M28" s="130">
        <f>+Actuals!J15</f>
        <v>0</v>
      </c>
      <c r="N28" s="129">
        <f>+Actuals!K15</f>
        <v>0</v>
      </c>
      <c r="O28" s="130">
        <f>+Actuals!L15</f>
        <v>0</v>
      </c>
      <c r="P28" s="129">
        <f>+Actuals!M15</f>
        <v>0</v>
      </c>
      <c r="Q28" s="130">
        <f>+Actuals!N15</f>
        <v>0</v>
      </c>
      <c r="R28" s="129">
        <f>+Actuals!O15</f>
        <v>0</v>
      </c>
      <c r="S28" s="130">
        <f>+Actuals!P15</f>
        <v>0</v>
      </c>
      <c r="T28" s="129">
        <f>+Actuals!Q15</f>
        <v>0</v>
      </c>
      <c r="U28" s="130">
        <f>+Actuals!R15</f>
        <v>0</v>
      </c>
      <c r="V28" s="129">
        <f>+Actuals!S15</f>
        <v>0</v>
      </c>
      <c r="W28" s="130">
        <f>+Actuals!T15</f>
        <v>0</v>
      </c>
      <c r="X28" s="129">
        <f>+Actuals!U15</f>
        <v>0</v>
      </c>
      <c r="Y28" s="130">
        <f>+Actuals!V15</f>
        <v>0</v>
      </c>
      <c r="Z28" s="129">
        <f>+Actuals!W15</f>
        <v>0</v>
      </c>
      <c r="AA28" s="130">
        <f>+Actuals!X15</f>
        <v>0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">
      <c r="A29" s="9"/>
      <c r="B29" s="7" t="s">
        <v>40</v>
      </c>
      <c r="C29" s="18"/>
      <c r="D29" s="61">
        <f>SUM(D27:D28)</f>
        <v>103718</v>
      </c>
      <c r="E29" s="39">
        <f>SUM(E27:E28)</f>
        <v>223661.86950000003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18946</v>
      </c>
      <c r="I29" s="39">
        <f t="shared" si="6"/>
        <v>42298.86</v>
      </c>
      <c r="J29" s="61">
        <f t="shared" si="6"/>
        <v>60359</v>
      </c>
      <c r="K29" s="150">
        <f t="shared" si="6"/>
        <v>128819.1275</v>
      </c>
      <c r="L29" s="61">
        <f t="shared" si="6"/>
        <v>24463</v>
      </c>
      <c r="M29" s="39">
        <f t="shared" si="6"/>
        <v>52649.953800000003</v>
      </c>
      <c r="N29" s="61">
        <f t="shared" si="6"/>
        <v>-50</v>
      </c>
      <c r="O29" s="39">
        <f t="shared" si="6"/>
        <v>-106.0718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ref="X29:AC29" si="7">SUM(X27:X28)</f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20</v>
      </c>
      <c r="E32" s="38">
        <f t="shared" si="8"/>
        <v>43.62</v>
      </c>
      <c r="F32" s="64">
        <f>'TIE-OUT'!P32+RECLASS!P32</f>
        <v>0</v>
      </c>
      <c r="G32" s="68">
        <f>'TIE-OUT'!Q32+RECLASS!Q32</f>
        <v>0</v>
      </c>
      <c r="H32" s="129">
        <f>+Actuals!E16</f>
        <v>0</v>
      </c>
      <c r="I32" s="130">
        <f>+Actuals!F16</f>
        <v>0</v>
      </c>
      <c r="J32" s="129">
        <f>+Actuals!G16</f>
        <v>26702</v>
      </c>
      <c r="K32" s="149">
        <f>+Actuals!H16</f>
        <v>58237.061999999998</v>
      </c>
      <c r="L32" s="129">
        <f>+Actuals!I16</f>
        <v>-26702</v>
      </c>
      <c r="M32" s="130">
        <f>+Actuals!J16</f>
        <v>-58237.061999999998</v>
      </c>
      <c r="N32" s="129">
        <f>+Actuals!K16</f>
        <v>20</v>
      </c>
      <c r="O32" s="130">
        <f>+Actuals!L16</f>
        <v>51.74</v>
      </c>
      <c r="P32" s="129">
        <f>+Actuals!M16</f>
        <v>0</v>
      </c>
      <c r="Q32" s="130">
        <f>+Actuals!N16</f>
        <v>5.62</v>
      </c>
      <c r="R32" s="129">
        <f>+Actuals!O16</f>
        <v>0</v>
      </c>
      <c r="S32" s="130">
        <f>+Actuals!P16</f>
        <v>-14.98</v>
      </c>
      <c r="T32" s="129">
        <f>+Actuals!Q16</f>
        <v>0</v>
      </c>
      <c r="U32" s="130">
        <f>+Actuals!R16</f>
        <v>1.24</v>
      </c>
      <c r="V32" s="129">
        <f>+Actuals!S16</f>
        <v>0</v>
      </c>
      <c r="W32" s="130">
        <f>+Actuals!T16</f>
        <v>0</v>
      </c>
      <c r="X32" s="129">
        <f>+Actuals!U16</f>
        <v>0</v>
      </c>
      <c r="Y32" s="130">
        <f>+Actuals!V16</f>
        <v>0</v>
      </c>
      <c r="Z32" s="129">
        <f>+Actuals!W16</f>
        <v>0</v>
      </c>
      <c r="AA32" s="130">
        <f>+Actuals!X16</f>
        <v>0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9">
        <f>+Actuals!E17</f>
        <v>0</v>
      </c>
      <c r="I33" s="130">
        <f>+Actuals!F17</f>
        <v>0</v>
      </c>
      <c r="J33" s="129">
        <f>+Actuals!G17</f>
        <v>0</v>
      </c>
      <c r="K33" s="149">
        <f>+Actuals!H17</f>
        <v>0</v>
      </c>
      <c r="L33" s="129">
        <f>+Actuals!I17</f>
        <v>0</v>
      </c>
      <c r="M33" s="130">
        <f>+Actuals!J17</f>
        <v>0</v>
      </c>
      <c r="N33" s="129">
        <f>+Actuals!K17</f>
        <v>0</v>
      </c>
      <c r="O33" s="130">
        <f>+Actuals!L17</f>
        <v>0</v>
      </c>
      <c r="P33" s="129">
        <f>+Actuals!M17</f>
        <v>0</v>
      </c>
      <c r="Q33" s="130">
        <f>+Actuals!N17</f>
        <v>0</v>
      </c>
      <c r="R33" s="129">
        <f>+Actuals!O17</f>
        <v>0</v>
      </c>
      <c r="S33" s="130">
        <f>+Actuals!P17</f>
        <v>0</v>
      </c>
      <c r="T33" s="129">
        <f>+Actuals!Q17</f>
        <v>0</v>
      </c>
      <c r="U33" s="130">
        <f>+Actuals!R17</f>
        <v>0</v>
      </c>
      <c r="V33" s="129">
        <f>+Actuals!S17</f>
        <v>0</v>
      </c>
      <c r="W33" s="130">
        <f>+Actuals!T17</f>
        <v>0</v>
      </c>
      <c r="X33" s="129">
        <f>+Actuals!U17</f>
        <v>0</v>
      </c>
      <c r="Y33" s="130">
        <f>+Actuals!V17</f>
        <v>0</v>
      </c>
      <c r="Z33" s="129">
        <f>+Actuals!W17</f>
        <v>0</v>
      </c>
      <c r="AA33" s="130">
        <f>+Actuals!X17</f>
        <v>0</v>
      </c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9">
        <f>+Actuals!E18</f>
        <v>0</v>
      </c>
      <c r="I34" s="130">
        <f>+Actuals!F18</f>
        <v>0</v>
      </c>
      <c r="J34" s="129">
        <f>+Actuals!G18</f>
        <v>0</v>
      </c>
      <c r="K34" s="149">
        <f>+Actuals!H18</f>
        <v>0</v>
      </c>
      <c r="L34" s="129">
        <f>+Actuals!I18</f>
        <v>0</v>
      </c>
      <c r="M34" s="130">
        <f>+Actuals!J18</f>
        <v>0</v>
      </c>
      <c r="N34" s="129">
        <f>+Actuals!K18</f>
        <v>0</v>
      </c>
      <c r="O34" s="130">
        <f>+Actuals!L18</f>
        <v>0</v>
      </c>
      <c r="P34" s="129">
        <f>+Actuals!M18</f>
        <v>0</v>
      </c>
      <c r="Q34" s="130">
        <f>+Actuals!N18</f>
        <v>0</v>
      </c>
      <c r="R34" s="129">
        <f>+Actuals!O18</f>
        <v>0</v>
      </c>
      <c r="S34" s="130">
        <f>+Actuals!P18</f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9">
        <f>+Actuals!E19</f>
        <v>0</v>
      </c>
      <c r="I35" s="130">
        <f>+Actuals!F19</f>
        <v>0</v>
      </c>
      <c r="J35" s="129">
        <f>+Actuals!G19</f>
        <v>0</v>
      </c>
      <c r="K35" s="149">
        <f>+Actuals!H19</f>
        <v>0</v>
      </c>
      <c r="L35" s="129">
        <f>+Actuals!I19</f>
        <v>0</v>
      </c>
      <c r="M35" s="130">
        <f>+Actuals!J19</f>
        <v>0</v>
      </c>
      <c r="N35" s="129">
        <f>+Actuals!K19</f>
        <v>0</v>
      </c>
      <c r="O35" s="130">
        <f>+Actuals!L19</f>
        <v>0</v>
      </c>
      <c r="P35" s="129">
        <f>+Actuals!M19</f>
        <v>0</v>
      </c>
      <c r="Q35" s="130">
        <f>+Actuals!N19</f>
        <v>0</v>
      </c>
      <c r="R35" s="129">
        <f>+Actuals!O19</f>
        <v>0</v>
      </c>
      <c r="S35" s="130">
        <f>+Actuals!P19</f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">
      <c r="A36" s="9"/>
      <c r="B36" s="7" t="s">
        <v>46</v>
      </c>
      <c r="C36" s="6"/>
      <c r="D36" s="61">
        <f>SUM(D32:D35)</f>
        <v>20</v>
      </c>
      <c r="E36" s="39">
        <f>SUM(E32:E35)</f>
        <v>43.62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26702</v>
      </c>
      <c r="K36" s="150">
        <f t="shared" si="9"/>
        <v>58237.061999999998</v>
      </c>
      <c r="L36" s="61">
        <f t="shared" si="9"/>
        <v>-26702</v>
      </c>
      <c r="M36" s="39">
        <f t="shared" si="9"/>
        <v>-58237.061999999998</v>
      </c>
      <c r="N36" s="61">
        <f t="shared" si="9"/>
        <v>20</v>
      </c>
      <c r="O36" s="39">
        <f t="shared" si="9"/>
        <v>51.74</v>
      </c>
      <c r="P36" s="61">
        <f t="shared" si="9"/>
        <v>0</v>
      </c>
      <c r="Q36" s="39">
        <f t="shared" si="9"/>
        <v>5.62</v>
      </c>
      <c r="R36" s="61">
        <f t="shared" si="9"/>
        <v>0</v>
      </c>
      <c r="S36" s="39">
        <f t="shared" si="9"/>
        <v>-14.98</v>
      </c>
      <c r="T36" s="61">
        <f t="shared" si="9"/>
        <v>0</v>
      </c>
      <c r="U36" s="39">
        <f t="shared" si="9"/>
        <v>1.24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9">
        <f>+Actuals!E20</f>
        <v>0</v>
      </c>
      <c r="I39" s="130">
        <f>+Actuals!F20</f>
        <v>0</v>
      </c>
      <c r="J39" s="129">
        <f>+Actuals!G20</f>
        <v>0</v>
      </c>
      <c r="K39" s="149">
        <f>+Actuals!H20</f>
        <v>0</v>
      </c>
      <c r="L39" s="129">
        <f>+Actuals!I20</f>
        <v>0</v>
      </c>
      <c r="M39" s="130">
        <f>+Actuals!J20</f>
        <v>0</v>
      </c>
      <c r="N39" s="129">
        <f>+Actuals!K20</f>
        <v>0</v>
      </c>
      <c r="O39" s="130">
        <f>+Actuals!L20</f>
        <v>0</v>
      </c>
      <c r="P39" s="129">
        <f>+Actuals!M20</f>
        <v>0</v>
      </c>
      <c r="Q39" s="130">
        <f>+Actuals!N20</f>
        <v>0</v>
      </c>
      <c r="R39" s="129">
        <f>+Actuals!O20</f>
        <v>0</v>
      </c>
      <c r="S39" s="130">
        <f>+Actuals!P20</f>
        <v>0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f>+Actuals!W20</f>
        <v>0</v>
      </c>
      <c r="AA39" s="130">
        <f>+Actuals!X20</f>
        <v>0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9">
        <f>+Actuals!E21</f>
        <v>0</v>
      </c>
      <c r="I40" s="130">
        <f>+Actuals!F21</f>
        <v>0</v>
      </c>
      <c r="J40" s="129">
        <f>+Actuals!G21</f>
        <v>0</v>
      </c>
      <c r="K40" s="149">
        <f>+Actuals!H21</f>
        <v>0</v>
      </c>
      <c r="L40" s="129">
        <f>+Actuals!I21</f>
        <v>0</v>
      </c>
      <c r="M40" s="130">
        <f>+Actuals!J21</f>
        <v>0</v>
      </c>
      <c r="N40" s="129">
        <f>+Actuals!K21</f>
        <v>0</v>
      </c>
      <c r="O40" s="130">
        <f>+Actuals!L21</f>
        <v>0</v>
      </c>
      <c r="P40" s="129">
        <f>+Actuals!M21</f>
        <v>0</v>
      </c>
      <c r="Q40" s="130">
        <f>+Actuals!N21</f>
        <v>0</v>
      </c>
      <c r="R40" s="129">
        <f>+Actuals!O21</f>
        <v>0</v>
      </c>
      <c r="S40" s="130">
        <f>+Actuals!P21</f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9">
        <f>+Actuals!E22</f>
        <v>0</v>
      </c>
      <c r="I41" s="130">
        <f>+Actuals!F22</f>
        <v>0</v>
      </c>
      <c r="J41" s="129">
        <f>+Actuals!G22</f>
        <v>0</v>
      </c>
      <c r="K41" s="149">
        <f>+Actuals!H22</f>
        <v>0</v>
      </c>
      <c r="L41" s="129">
        <f>+Actuals!I22</f>
        <v>0</v>
      </c>
      <c r="M41" s="130">
        <f>+Actuals!J22</f>
        <v>0</v>
      </c>
      <c r="N41" s="129">
        <f>+Actuals!K22</f>
        <v>0</v>
      </c>
      <c r="O41" s="130">
        <f>+Actuals!L22</f>
        <v>0</v>
      </c>
      <c r="P41" s="129">
        <f>+Actuals!M22</f>
        <v>0</v>
      </c>
      <c r="Q41" s="130">
        <f>+Actuals!N22</f>
        <v>0</v>
      </c>
      <c r="R41" s="129">
        <f>+Actuals!O22</f>
        <v>0</v>
      </c>
      <c r="S41" s="130">
        <f>+Actuals!P22</f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30">
        <f>+Actuals!V22</f>
        <v>0</v>
      </c>
      <c r="Z41" s="129">
        <f>+Actuals!W22</f>
        <v>0</v>
      </c>
      <c r="AA41" s="130">
        <f>+Actuals!X22</f>
        <v>0</v>
      </c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9">
        <f>+Actuals!E23</f>
        <v>0</v>
      </c>
      <c r="I45" s="130">
        <f>+Actuals!F23</f>
        <v>0</v>
      </c>
      <c r="J45" s="129">
        <f>+Actuals!G23</f>
        <v>0</v>
      </c>
      <c r="K45" s="149">
        <f>+Actuals!H23</f>
        <v>0</v>
      </c>
      <c r="L45" s="129">
        <f>+Actuals!I23</f>
        <v>0</v>
      </c>
      <c r="M45" s="130">
        <f>+Actuals!J23</f>
        <v>0</v>
      </c>
      <c r="N45" s="129">
        <f>+Actuals!K23</f>
        <v>0</v>
      </c>
      <c r="O45" s="130">
        <f>+Actuals!L23</f>
        <v>0</v>
      </c>
      <c r="P45" s="129">
        <f>+Actuals!M23</f>
        <v>0</v>
      </c>
      <c r="Q45" s="130">
        <f>+Actuals!N23</f>
        <v>0</v>
      </c>
      <c r="R45" s="129">
        <f>+Actuals!O23</f>
        <v>0</v>
      </c>
      <c r="S45" s="130">
        <f>+Actuals!P23</f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'TIE-OUT'!P47+RECLASS!P47</f>
        <v>0</v>
      </c>
      <c r="G47" s="38">
        <f>'TIE-OUT'!Q47+RECLASS!Q47</f>
        <v>0</v>
      </c>
      <c r="H47" s="129">
        <f>+Actuals!E24</f>
        <v>0</v>
      </c>
      <c r="I47" s="130">
        <f>+Actuals!F24</f>
        <v>0</v>
      </c>
      <c r="J47" s="129">
        <f>+Actuals!G24</f>
        <v>0</v>
      </c>
      <c r="K47" s="149">
        <f>+Actuals!H24</f>
        <v>9717.56</v>
      </c>
      <c r="L47" s="129">
        <f>+Actuals!I24</f>
        <v>0</v>
      </c>
      <c r="M47" s="130">
        <f>+Actuals!J24</f>
        <v>0</v>
      </c>
      <c r="N47" s="129">
        <f>+Actuals!K24</f>
        <v>0</v>
      </c>
      <c r="O47" s="130">
        <f>+Actuals!L24-9718</f>
        <v>-9718</v>
      </c>
      <c r="P47" s="129">
        <f>+Actuals!M24</f>
        <v>0</v>
      </c>
      <c r="Q47" s="130">
        <f>+Actuals!N24</f>
        <v>0</v>
      </c>
      <c r="R47" s="129">
        <f>+Actuals!O24</f>
        <v>0</v>
      </c>
      <c r="S47" s="130">
        <f>+Actuals!P24</f>
        <v>0</v>
      </c>
      <c r="T47" s="129">
        <f>+Actuals!Q24</f>
        <v>0</v>
      </c>
      <c r="U47" s="130">
        <f>+Actuals!R24</f>
        <v>0</v>
      </c>
      <c r="V47" s="129">
        <f>+Actuals!S24</f>
        <v>0</v>
      </c>
      <c r="W47" s="130">
        <f>+Actuals!T24</f>
        <v>0</v>
      </c>
      <c r="X47" s="129">
        <f>+Actuals!U24</f>
        <v>0</v>
      </c>
      <c r="Y47" s="130">
        <f>+Actuals!V24</f>
        <v>0</v>
      </c>
      <c r="Z47" s="129">
        <f>+Actuals!W24</f>
        <v>0</v>
      </c>
      <c r="AA47" s="130">
        <f>+Actuals!X24</f>
        <v>0</v>
      </c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'TIE-OUT'!P49+RECLASS!P49</f>
        <v>0</v>
      </c>
      <c r="G49" s="38">
        <f>'TIE-OUT'!Q49+RECLASS!Q49</f>
        <v>0</v>
      </c>
      <c r="H49" s="129">
        <f>+Actuals!E25</f>
        <v>0</v>
      </c>
      <c r="I49" s="130">
        <f>+Actuals!F25</f>
        <v>0</v>
      </c>
      <c r="J49" s="129">
        <f>+Actuals!G25</f>
        <v>0</v>
      </c>
      <c r="K49" s="149">
        <f>+Actuals!H25</f>
        <v>0</v>
      </c>
      <c r="L49" s="129">
        <f>+Actuals!I25</f>
        <v>0</v>
      </c>
      <c r="M49" s="130">
        <f>+Actuals!J25</f>
        <v>0</v>
      </c>
      <c r="N49" s="129">
        <f>+Actuals!K25</f>
        <v>0</v>
      </c>
      <c r="O49" s="130">
        <f>+Actuals!L25</f>
        <v>0</v>
      </c>
      <c r="P49" s="129">
        <f>+Actuals!M25</f>
        <v>0</v>
      </c>
      <c r="Q49" s="130">
        <f>+Actuals!N25</f>
        <v>0</v>
      </c>
      <c r="R49" s="129">
        <f>+Actuals!O25</f>
        <v>0</v>
      </c>
      <c r="S49" s="130">
        <f>+Actuals!P25</f>
        <v>0</v>
      </c>
      <c r="T49" s="129">
        <f>+Actuals!Q25</f>
        <v>0</v>
      </c>
      <c r="U49" s="130">
        <f>+Actuals!R25</f>
        <v>0</v>
      </c>
      <c r="V49" s="129">
        <f>+Actuals!S25</f>
        <v>0</v>
      </c>
      <c r="W49" s="130">
        <f>+Actuals!T25</f>
        <v>0</v>
      </c>
      <c r="X49" s="129">
        <f>+Actuals!U25</f>
        <v>0</v>
      </c>
      <c r="Y49" s="130">
        <f>+Actuals!V25</f>
        <v>0</v>
      </c>
      <c r="Z49" s="129">
        <f>+Actuals!W25</f>
        <v>0</v>
      </c>
      <c r="AA49" s="130">
        <f>+Actuals!X25</f>
        <v>0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9">
        <f>+Actuals!E26</f>
        <v>0</v>
      </c>
      <c r="I51" s="130">
        <f>+Actuals!F26</f>
        <v>0</v>
      </c>
      <c r="J51" s="129">
        <f>+Actuals!G26</f>
        <v>0</v>
      </c>
      <c r="K51" s="149">
        <f>+Actuals!H26</f>
        <v>0</v>
      </c>
      <c r="L51" s="129">
        <f>+Actuals!I26</f>
        <v>0</v>
      </c>
      <c r="M51" s="130">
        <f>+Actuals!J26</f>
        <v>0</v>
      </c>
      <c r="N51" s="129">
        <f>+Actuals!K26</f>
        <v>0</v>
      </c>
      <c r="O51" s="130">
        <f>+Actuals!L26</f>
        <v>0</v>
      </c>
      <c r="P51" s="129">
        <f>+Actuals!M26</f>
        <v>0</v>
      </c>
      <c r="Q51" s="130">
        <f>+Actuals!N26</f>
        <v>0</v>
      </c>
      <c r="R51" s="129">
        <f>+Actuals!O26</f>
        <v>0</v>
      </c>
      <c r="S51" s="130">
        <f>+Actuals!P26</f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'TIE-OUT'!P54+RECLASS!P54</f>
        <v>0</v>
      </c>
      <c r="G54" s="68">
        <f>'TIE-OUT'!Q54+RECLASS!Q54</f>
        <v>0</v>
      </c>
      <c r="H54" s="129">
        <f>+Actuals!E27</f>
        <v>0</v>
      </c>
      <c r="I54" s="130">
        <f>+Actuals!F27</f>
        <v>0</v>
      </c>
      <c r="J54" s="129">
        <f>+Actuals!G27</f>
        <v>0</v>
      </c>
      <c r="K54" s="149">
        <f>+Actuals!H27</f>
        <v>0</v>
      </c>
      <c r="L54" s="129">
        <f>+Actuals!I27</f>
        <v>0</v>
      </c>
      <c r="M54" s="130">
        <f>+Actuals!J27</f>
        <v>0</v>
      </c>
      <c r="N54" s="129">
        <f>+Actuals!K27</f>
        <v>0</v>
      </c>
      <c r="O54" s="130">
        <f>+Actuals!L27</f>
        <v>0</v>
      </c>
      <c r="P54" s="129">
        <f>+Actuals!M27</f>
        <v>0</v>
      </c>
      <c r="Q54" s="130">
        <f>+Actuals!N27</f>
        <v>0</v>
      </c>
      <c r="R54" s="129">
        <f>+Actuals!O27</f>
        <v>0</v>
      </c>
      <c r="S54" s="130">
        <f>+Actuals!P27</f>
        <v>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-642398</v>
      </c>
      <c r="F55" s="81">
        <f>'TIE-OUT'!P55+RECLASS!P55</f>
        <v>0</v>
      </c>
      <c r="G55" s="82">
        <f>'TIE-OUT'!Q55+RECLASS!Q55</f>
        <v>-977753</v>
      </c>
      <c r="H55" s="129">
        <f>+Actuals!E28</f>
        <v>0</v>
      </c>
      <c r="I55" s="130">
        <f>+Actuals!F28</f>
        <v>0</v>
      </c>
      <c r="J55" s="129">
        <f>+Actuals!G28</f>
        <v>0</v>
      </c>
      <c r="K55" s="162">
        <v>335355</v>
      </c>
      <c r="L55" s="129">
        <f>+Actuals!I28</f>
        <v>0</v>
      </c>
      <c r="M55" s="130">
        <f>+Actuals!J28</f>
        <v>0</v>
      </c>
      <c r="N55" s="129">
        <f>+Actuals!K28</f>
        <v>0</v>
      </c>
      <c r="O55" s="130">
        <f>+Actuals!L28</f>
        <v>0</v>
      </c>
      <c r="P55" s="129">
        <f>+Actuals!M28</f>
        <v>0</v>
      </c>
      <c r="Q55" s="130">
        <f>+Actuals!N28</f>
        <v>0</v>
      </c>
      <c r="R55" s="129">
        <f>+Actuals!O28</f>
        <v>0</v>
      </c>
      <c r="S55" s="130">
        <f>+Actuals!P28</f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">
      <c r="A56" s="9"/>
      <c r="B56" s="7" t="s">
        <v>60</v>
      </c>
      <c r="C56" s="6"/>
      <c r="D56" s="61">
        <f>SUM(D54:D55)</f>
        <v>0</v>
      </c>
      <c r="E56" s="39">
        <f>SUM(E54:E55)</f>
        <v>-642398</v>
      </c>
      <c r="F56" s="61">
        <f t="shared" ref="F56:AE56" si="16">SUM(F54:F55)</f>
        <v>0</v>
      </c>
      <c r="G56" s="39">
        <f t="shared" si="16"/>
        <v>-977753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335355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ref="X56:AC56" si="17">SUM(X54:X55)</f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1949.96</v>
      </c>
      <c r="F59" s="64">
        <f>'TIE-OUT'!P59+RECLASS!P59</f>
        <v>0</v>
      </c>
      <c r="G59" s="68">
        <f>'TIE-OUT'!Q59+RECLASS!Q59</f>
        <v>0</v>
      </c>
      <c r="H59" s="129">
        <f>+Actuals!E29</f>
        <v>0</v>
      </c>
      <c r="I59" s="130">
        <f>+Actuals!F29</f>
        <v>0</v>
      </c>
      <c r="J59" s="129">
        <f>+Actuals!G29</f>
        <v>0</v>
      </c>
      <c r="K59" s="149">
        <f>+Actuals!H29</f>
        <v>0</v>
      </c>
      <c r="L59" s="129">
        <f>+Actuals!I29</f>
        <v>0</v>
      </c>
      <c r="M59" s="130">
        <f>+Actuals!J29</f>
        <v>0</v>
      </c>
      <c r="N59" s="129">
        <f>+Actuals!K29</f>
        <v>0</v>
      </c>
      <c r="O59" s="130">
        <f>+Actuals!L29</f>
        <v>0</v>
      </c>
      <c r="P59" s="129">
        <f>+Actuals!M29</f>
        <v>0</v>
      </c>
      <c r="Q59" s="130">
        <f>+Actuals!N29</f>
        <v>1949.96</v>
      </c>
      <c r="R59" s="129">
        <f>+Actuals!O29</f>
        <v>0</v>
      </c>
      <c r="S59" s="130">
        <f>+Actuals!P29</f>
        <v>0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9">
        <f>+Actuals!E30</f>
        <v>0</v>
      </c>
      <c r="I60" s="130">
        <f>+Actuals!F30</f>
        <v>0</v>
      </c>
      <c r="J60" s="129">
        <f>+Actuals!G30</f>
        <v>0</v>
      </c>
      <c r="K60" s="149">
        <f>+Actuals!H30</f>
        <v>0</v>
      </c>
      <c r="L60" s="129">
        <f>+Actuals!I30</f>
        <v>0</v>
      </c>
      <c r="M60" s="130">
        <f>+Actuals!J30</f>
        <v>0</v>
      </c>
      <c r="N60" s="129">
        <f>+Actuals!K30</f>
        <v>0</v>
      </c>
      <c r="O60" s="130">
        <f>+Actuals!L30</f>
        <v>0</v>
      </c>
      <c r="P60" s="129">
        <f>+Actuals!M30</f>
        <v>0</v>
      </c>
      <c r="Q60" s="130">
        <f>+Actuals!N30</f>
        <v>0</v>
      </c>
      <c r="R60" s="129">
        <f>+Actuals!O30</f>
        <v>0</v>
      </c>
      <c r="S60" s="130">
        <f>+Actuals!P30</f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30">
        <f>+Actuals!V30</f>
        <v>0</v>
      </c>
      <c r="Z60" s="129">
        <f>+Actuals!W30</f>
        <v>0</v>
      </c>
      <c r="AA60" s="130">
        <f>+Actuals!X30</f>
        <v>0</v>
      </c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1949.96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1949.96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-892549</v>
      </c>
      <c r="E64" s="38">
        <f>SUM(G64,I64,K64,M64,O64,Q64,S64,U64,W64,Y64,AA64,AC64,AE64)</f>
        <v>-94247.410000000018</v>
      </c>
      <c r="F64" s="64">
        <f>'TIE-OUT'!P64+RECLASS!P64</f>
        <v>0</v>
      </c>
      <c r="G64" s="68">
        <f>'TIE-OUT'!Q64+RECLASS!Q64</f>
        <v>0</v>
      </c>
      <c r="H64" s="129">
        <f>+Actuals!E31</f>
        <v>-625579</v>
      </c>
      <c r="I64" s="130">
        <f>+Actuals!F31</f>
        <v>-83203.570000000007</v>
      </c>
      <c r="J64" s="129">
        <f>+Actuals!G31</f>
        <v>-266970</v>
      </c>
      <c r="K64" s="149">
        <f>+Actuals!H31</f>
        <v>-9025.94</v>
      </c>
      <c r="L64" s="129">
        <f>+Actuals!I31</f>
        <v>-3751</v>
      </c>
      <c r="M64" s="130">
        <f>+Actuals!J31</f>
        <v>-2018.13</v>
      </c>
      <c r="N64" s="129">
        <f>+Actuals!K31</f>
        <v>3751</v>
      </c>
      <c r="O64" s="130">
        <f>+Actuals!L31</f>
        <v>0.23</v>
      </c>
      <c r="P64" s="129">
        <f>+Actuals!M31</f>
        <v>0</v>
      </c>
      <c r="Q64" s="130">
        <f>+Actuals!N31</f>
        <v>0</v>
      </c>
      <c r="R64" s="129">
        <f>+Actuals!O31</f>
        <v>0</v>
      </c>
      <c r="S64" s="130">
        <f>+Actuals!P31</f>
        <v>0</v>
      </c>
      <c r="T64" s="129">
        <f>+Actuals!Q31</f>
        <v>0</v>
      </c>
      <c r="U64" s="130">
        <f>+Actuals!R31</f>
        <v>0</v>
      </c>
      <c r="V64" s="129">
        <f>+Actuals!S31</f>
        <v>0</v>
      </c>
      <c r="W64" s="130">
        <f>+Actuals!T31</f>
        <v>0</v>
      </c>
      <c r="X64" s="129">
        <f>+Actuals!U31</f>
        <v>0</v>
      </c>
      <c r="Y64" s="130">
        <f>+Actuals!V31</f>
        <v>0</v>
      </c>
      <c r="Z64" s="129">
        <f>+Actuals!W31</f>
        <v>0</v>
      </c>
      <c r="AA64" s="130">
        <f>+Actuals!X31</f>
        <v>0</v>
      </c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92201</v>
      </c>
      <c r="F65" s="81">
        <f>'TIE-OUT'!P65+RECLASS!P65</f>
        <v>0</v>
      </c>
      <c r="G65" s="82">
        <f>'TIE-OUT'!Q65+RECLASS!Q65</f>
        <v>86243</v>
      </c>
      <c r="H65" s="129">
        <f>+Actuals!E32</f>
        <v>0</v>
      </c>
      <c r="I65" s="130">
        <f>+Actuals!F32</f>
        <v>0</v>
      </c>
      <c r="J65" s="129">
        <f>+Actuals!G32</f>
        <v>0</v>
      </c>
      <c r="K65" s="162">
        <f>+Actuals!H32</f>
        <v>0</v>
      </c>
      <c r="L65" s="129">
        <f>+Actuals!I32</f>
        <v>0</v>
      </c>
      <c r="M65" s="207">
        <f>+Actuals!J32+6254+1751</f>
        <v>8005</v>
      </c>
      <c r="N65" s="129">
        <f>+Actuals!K32</f>
        <v>0</v>
      </c>
      <c r="O65" s="130">
        <f>+Actuals!L32-1943</f>
        <v>-1943</v>
      </c>
      <c r="P65" s="129">
        <f>+Actuals!M32</f>
        <v>0</v>
      </c>
      <c r="Q65" s="130">
        <f>+Actuals!N32</f>
        <v>0</v>
      </c>
      <c r="R65" s="129">
        <f>+Actuals!O32</f>
        <v>0</v>
      </c>
      <c r="S65" s="130">
        <f>+Actuals!P32-104</f>
        <v>-104</v>
      </c>
      <c r="T65" s="129">
        <f>+Actuals!Q32</f>
        <v>0</v>
      </c>
      <c r="U65" s="130">
        <f>+Actuals!R32</f>
        <v>0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f>+Actuals!W32</f>
        <v>0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">
      <c r="A66" s="9"/>
      <c r="B66" s="7" t="s">
        <v>67</v>
      </c>
      <c r="C66" s="6"/>
      <c r="D66" s="61">
        <f>SUM(D64:D65)</f>
        <v>-892549</v>
      </c>
      <c r="E66" s="39">
        <f>SUM(E64:E65)</f>
        <v>-2046.410000000018</v>
      </c>
      <c r="F66" s="61">
        <f t="shared" ref="F66:AE66" si="20">SUM(F64:F65)</f>
        <v>0</v>
      </c>
      <c r="G66" s="39">
        <f t="shared" si="20"/>
        <v>86243</v>
      </c>
      <c r="H66" s="61">
        <f t="shared" si="20"/>
        <v>-625579</v>
      </c>
      <c r="I66" s="39">
        <f t="shared" si="20"/>
        <v>-83203.570000000007</v>
      </c>
      <c r="J66" s="61">
        <f t="shared" si="20"/>
        <v>-266970</v>
      </c>
      <c r="K66" s="150">
        <f t="shared" si="20"/>
        <v>-9025.94</v>
      </c>
      <c r="L66" s="61">
        <f t="shared" si="20"/>
        <v>-3751</v>
      </c>
      <c r="M66" s="39">
        <f t="shared" si="20"/>
        <v>5986.87</v>
      </c>
      <c r="N66" s="61">
        <f t="shared" si="20"/>
        <v>3751</v>
      </c>
      <c r="O66" s="39">
        <f t="shared" si="20"/>
        <v>-1942.77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-104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9">
        <f>+Actuals!E33</f>
        <v>0</v>
      </c>
      <c r="I70" s="130">
        <f>+Actuals!F33</f>
        <v>0</v>
      </c>
      <c r="J70" s="129">
        <f>+Actuals!G33</f>
        <v>0</v>
      </c>
      <c r="K70" s="149">
        <f>+Actuals!H33</f>
        <v>0</v>
      </c>
      <c r="L70" s="129">
        <f>+Actuals!I33</f>
        <v>0</v>
      </c>
      <c r="M70" s="130">
        <f>+Actuals!J33</f>
        <v>0</v>
      </c>
      <c r="N70" s="129">
        <f>+Actuals!K33</f>
        <v>0</v>
      </c>
      <c r="O70" s="130">
        <f>+Actuals!L33</f>
        <v>0</v>
      </c>
      <c r="P70" s="129">
        <f>+Actuals!M33</f>
        <v>0</v>
      </c>
      <c r="Q70" s="130">
        <f>+Actuals!N33</f>
        <v>0</v>
      </c>
      <c r="R70" s="129">
        <f>+Actuals!O33</f>
        <v>0</v>
      </c>
      <c r="S70" s="130">
        <f>+Actuals!P33</f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9">
        <f>+Actuals!E34</f>
        <v>0</v>
      </c>
      <c r="I71" s="130">
        <f>+Actuals!F34</f>
        <v>0</v>
      </c>
      <c r="J71" s="129">
        <f>+Actuals!G34</f>
        <v>0</v>
      </c>
      <c r="K71" s="149">
        <f>+Actuals!H34</f>
        <v>0</v>
      </c>
      <c r="L71" s="129">
        <f>+Actuals!I34</f>
        <v>0</v>
      </c>
      <c r="M71" s="130">
        <f>+Actuals!J34</f>
        <v>0</v>
      </c>
      <c r="N71" s="129">
        <f>+Actuals!K34</f>
        <v>0</v>
      </c>
      <c r="O71" s="130">
        <f>+Actuals!L34</f>
        <v>0</v>
      </c>
      <c r="P71" s="129">
        <f>+Actuals!M34</f>
        <v>0</v>
      </c>
      <c r="Q71" s="130">
        <f>+Actuals!N34</f>
        <v>0</v>
      </c>
      <c r="R71" s="129">
        <f>+Actuals!O34</f>
        <v>0</v>
      </c>
      <c r="S71" s="130">
        <f>+Actuals!P34</f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9">
        <f>+Actuals!E35</f>
        <v>0</v>
      </c>
      <c r="I73" s="130">
        <f>+Actuals!F35</f>
        <v>0</v>
      </c>
      <c r="J73" s="129">
        <f>+Actuals!G35</f>
        <v>0</v>
      </c>
      <c r="K73" s="149">
        <f>+Actuals!H35</f>
        <v>0</v>
      </c>
      <c r="L73" s="129">
        <f>+Actuals!I35</f>
        <v>0</v>
      </c>
      <c r="M73" s="130">
        <f>+Actuals!J35</f>
        <v>0</v>
      </c>
      <c r="N73" s="129">
        <f>+Actuals!K35</f>
        <v>0</v>
      </c>
      <c r="O73" s="130">
        <f>+Actuals!L35</f>
        <v>0</v>
      </c>
      <c r="P73" s="129">
        <f>+Actuals!M35</f>
        <v>0</v>
      </c>
      <c r="Q73" s="130">
        <f>+Actuals!N35</f>
        <v>0</v>
      </c>
      <c r="R73" s="129">
        <f>+Actuals!O35</f>
        <v>0</v>
      </c>
      <c r="S73" s="130">
        <f>+Actuals!P35</f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9">
        <f>+Actuals!E36</f>
        <v>0</v>
      </c>
      <c r="I74" s="130">
        <f>+Actuals!F36</f>
        <v>0</v>
      </c>
      <c r="J74" s="129">
        <f>+Actuals!G36</f>
        <v>0</v>
      </c>
      <c r="K74" s="149">
        <f>+Actuals!H36</f>
        <v>0</v>
      </c>
      <c r="L74" s="129">
        <f>+Actuals!I36</f>
        <v>0</v>
      </c>
      <c r="M74" s="130">
        <f>+Actuals!J36</f>
        <v>0</v>
      </c>
      <c r="N74" s="129">
        <f>+Actuals!K36</f>
        <v>0</v>
      </c>
      <c r="O74" s="130">
        <f>+Actuals!L36</f>
        <v>0</v>
      </c>
      <c r="P74" s="129">
        <f>+Actuals!M36</f>
        <v>0</v>
      </c>
      <c r="Q74" s="130">
        <f>+Actuals!N36</f>
        <v>0</v>
      </c>
      <c r="R74" s="129">
        <f>+Actuals!O36</f>
        <v>0</v>
      </c>
      <c r="S74" s="130">
        <f>+Actuals!P36</f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9">
        <f>+Actuals!E37</f>
        <v>0</v>
      </c>
      <c r="I75" s="130">
        <f>+Actuals!F37</f>
        <v>0</v>
      </c>
      <c r="J75" s="129">
        <f>+Actuals!G37</f>
        <v>0</v>
      </c>
      <c r="K75" s="149">
        <f>+Actuals!H37</f>
        <v>0</v>
      </c>
      <c r="L75" s="129">
        <f>+Actuals!I37</f>
        <v>0</v>
      </c>
      <c r="M75" s="130">
        <f>+Actuals!J37</f>
        <v>0</v>
      </c>
      <c r="N75" s="129">
        <f>+Actuals!K37</f>
        <v>0</v>
      </c>
      <c r="O75" s="130">
        <f>+Actuals!L37</f>
        <v>0</v>
      </c>
      <c r="P75" s="129">
        <f>+Actuals!M37</f>
        <v>0</v>
      </c>
      <c r="Q75" s="130">
        <f>+Actuals!N37</f>
        <v>0</v>
      </c>
      <c r="R75" s="129">
        <f>+Actuals!O37</f>
        <v>0</v>
      </c>
      <c r="S75" s="130">
        <f>+Actuals!P37</f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9">
        <f>+Actuals!E38</f>
        <v>0</v>
      </c>
      <c r="I76" s="130">
        <f>+Actuals!F38</f>
        <v>0</v>
      </c>
      <c r="J76" s="129">
        <f>+Actuals!G38</f>
        <v>0</v>
      </c>
      <c r="K76" s="149">
        <f>+Actuals!H38</f>
        <v>0</v>
      </c>
      <c r="L76" s="129">
        <f>+Actuals!I38</f>
        <v>0</v>
      </c>
      <c r="M76" s="130">
        <f>+Actuals!J38</f>
        <v>0</v>
      </c>
      <c r="N76" s="129">
        <f>+Actuals!K38</f>
        <v>0</v>
      </c>
      <c r="O76" s="130">
        <f>+Actuals!L38</f>
        <v>0</v>
      </c>
      <c r="P76" s="129">
        <f>+Actuals!M38</f>
        <v>0</v>
      </c>
      <c r="Q76" s="130">
        <f>+Actuals!N38</f>
        <v>0</v>
      </c>
      <c r="R76" s="129">
        <f>+Actuals!O38</f>
        <v>0</v>
      </c>
      <c r="S76" s="130">
        <f>+Actuals!P38</f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9">
        <f>+Actuals!E39</f>
        <v>0</v>
      </c>
      <c r="I77" s="130">
        <f>+Actuals!F39</f>
        <v>0</v>
      </c>
      <c r="J77" s="129">
        <f>+Actuals!G39</f>
        <v>0</v>
      </c>
      <c r="K77" s="149">
        <f>+Actuals!H39</f>
        <v>0</v>
      </c>
      <c r="L77" s="129">
        <f>+Actuals!I39</f>
        <v>0</v>
      </c>
      <c r="M77" s="130">
        <f>+Actuals!J39</f>
        <v>0</v>
      </c>
      <c r="N77" s="129">
        <f>+Actuals!K39</f>
        <v>0</v>
      </c>
      <c r="O77" s="130">
        <f>+Actuals!L39</f>
        <v>0</v>
      </c>
      <c r="P77" s="129">
        <f>+Actuals!M39</f>
        <v>0</v>
      </c>
      <c r="Q77" s="130">
        <f>+Actuals!N39</f>
        <v>0</v>
      </c>
      <c r="R77" s="129">
        <f>+Actuals!O39</f>
        <v>0</v>
      </c>
      <c r="S77" s="130">
        <f>+Actuals!P39</f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9">
        <f>+Actuals!E40</f>
        <v>0</v>
      </c>
      <c r="I78" s="130">
        <f>+Actuals!F40</f>
        <v>0</v>
      </c>
      <c r="J78" s="129">
        <f>+Actuals!G40</f>
        <v>0</v>
      </c>
      <c r="K78" s="149">
        <f>+Actuals!H40</f>
        <v>0</v>
      </c>
      <c r="L78" s="129">
        <f>+Actuals!I40</f>
        <v>0</v>
      </c>
      <c r="M78" s="130">
        <f>+Actuals!J40</f>
        <v>0</v>
      </c>
      <c r="N78" s="129">
        <f>+Actuals!K40</f>
        <v>0</v>
      </c>
      <c r="O78" s="130">
        <f>+Actuals!L40</f>
        <v>0</v>
      </c>
      <c r="P78" s="129">
        <f>+Actuals!M40</f>
        <v>0</v>
      </c>
      <c r="Q78" s="130">
        <f>+Actuals!N40</f>
        <v>0</v>
      </c>
      <c r="R78" s="129">
        <f>+Actuals!O40</f>
        <v>0</v>
      </c>
      <c r="S78" s="130">
        <f>+Actuals!P40</f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9">
        <f>+Actuals!E41</f>
        <v>0</v>
      </c>
      <c r="I79" s="130">
        <f>+Actuals!F41</f>
        <v>0</v>
      </c>
      <c r="J79" s="129">
        <f>+Actuals!G41</f>
        <v>0</v>
      </c>
      <c r="K79" s="149">
        <f>+Actuals!H41</f>
        <v>0</v>
      </c>
      <c r="L79" s="129">
        <f>+Actuals!I41</f>
        <v>0</v>
      </c>
      <c r="M79" s="130">
        <f>+Actuals!J41</f>
        <v>0</v>
      </c>
      <c r="N79" s="129">
        <f>+Actuals!K41</f>
        <v>0</v>
      </c>
      <c r="O79" s="130">
        <f>+Actuals!L41</f>
        <v>0</v>
      </c>
      <c r="P79" s="129">
        <f>+Actuals!M41</f>
        <v>0</v>
      </c>
      <c r="Q79" s="130">
        <f>+Actuals!N41</f>
        <v>0</v>
      </c>
      <c r="R79" s="129">
        <f>+Actuals!O41</f>
        <v>0</v>
      </c>
      <c r="S79" s="130">
        <f>+Actuals!P41</f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9">
        <f>+Actuals!E42</f>
        <v>0</v>
      </c>
      <c r="I80" s="130">
        <f>+Actuals!F42</f>
        <v>0</v>
      </c>
      <c r="J80" s="129">
        <f>+Actuals!G42</f>
        <v>0</v>
      </c>
      <c r="K80" s="149">
        <f>+Actuals!H42</f>
        <v>0</v>
      </c>
      <c r="L80" s="129">
        <f>+Actuals!I42</f>
        <v>0</v>
      </c>
      <c r="M80" s="130">
        <f>+Actuals!J42</f>
        <v>0</v>
      </c>
      <c r="N80" s="129">
        <f>+Actuals!K42</f>
        <v>0</v>
      </c>
      <c r="O80" s="130">
        <f>+Actuals!L42</f>
        <v>0</v>
      </c>
      <c r="P80" s="129">
        <f>+Actuals!M42</f>
        <v>0</v>
      </c>
      <c r="Q80" s="130">
        <f>+Actuals!N42</f>
        <v>0</v>
      </c>
      <c r="R80" s="129">
        <f>+Actuals!O42</f>
        <v>0</v>
      </c>
      <c r="S80" s="130">
        <f>+Actuals!P42</f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0</v>
      </c>
      <c r="F81" s="60">
        <f>'TIE-OUT'!P81+RECLASS!P81</f>
        <v>0</v>
      </c>
      <c r="G81" s="60">
        <f>'TIE-OUT'!Q81+RECLASS!Q81</f>
        <v>0</v>
      </c>
      <c r="H81" s="129">
        <f>+Actuals!E43</f>
        <v>0</v>
      </c>
      <c r="I81" s="162">
        <f>+Actuals!F43</f>
        <v>0</v>
      </c>
      <c r="J81" s="129">
        <f>+Actuals!G43</f>
        <v>0</v>
      </c>
      <c r="K81" s="149">
        <f>+Actuals!H43</f>
        <v>0</v>
      </c>
      <c r="L81" s="129">
        <f>+Actuals!I43</f>
        <v>0</v>
      </c>
      <c r="M81" s="130">
        <f>+Actuals!J43</f>
        <v>0</v>
      </c>
      <c r="N81" s="129">
        <f>+Actuals!K43</f>
        <v>0</v>
      </c>
      <c r="O81" s="130">
        <f>+Actuals!L43</f>
        <v>0</v>
      </c>
      <c r="P81" s="129">
        <f>+Actuals!M43</f>
        <v>0</v>
      </c>
      <c r="Q81" s="130">
        <f>+Actuals!N43</f>
        <v>0</v>
      </c>
      <c r="R81" s="129">
        <f>+Actuals!O43</f>
        <v>0</v>
      </c>
      <c r="S81" s="130">
        <f>+Actuals!P43</f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-620219.45049999934</v>
      </c>
      <c r="F82" s="92">
        <f>F16+F24+F29+F36+F43+F45+F47+F49</f>
        <v>0</v>
      </c>
      <c r="G82" s="93">
        <f>SUM(G72:G81)+G16+G24+G29+G36+G43+G45+G47+G49+G51+G56+G61+G66</f>
        <v>-910149.21</v>
      </c>
      <c r="H82" s="92">
        <f>H16+H24+H29+H36+H43+H45+H47+H49</f>
        <v>0</v>
      </c>
      <c r="I82" s="93">
        <f>SUM(I72:I81)+I16+I24+I29+I36+I43+I45+I47+I49+I51+I56+I61+I66</f>
        <v>-29709.279999999839</v>
      </c>
      <c r="J82" s="92">
        <f>J16+J24+J29+J36+J43+J45+J47+J49</f>
        <v>0</v>
      </c>
      <c r="K82" s="112">
        <f>SUM(K72:K81)+K16+K24+K29+K36+K43+K45+K47+K49+K51+K56+K61+K66</f>
        <v>323086.69949999999</v>
      </c>
      <c r="L82" s="92">
        <f>L16+L24+L29+L36+L43+L45+L47+L49</f>
        <v>0</v>
      </c>
      <c r="M82" s="93">
        <f>SUM(M72:M81)+M16+M24+M29+M36+M43+M45+M47+M49+M51+M56+M61+M66</f>
        <v>5870.4018000000042</v>
      </c>
      <c r="N82" s="92">
        <f>N16+N24+N29+N36+N43+N45+N47+N49</f>
        <v>0</v>
      </c>
      <c r="O82" s="93">
        <f>SUM(O72:O81)+O16+O24+O29+O36+O43+O45+O47+O49+O51+O56+O61+O66</f>
        <v>-11657.9818</v>
      </c>
      <c r="P82" s="92">
        <f>P16+P24+P29+P36+P43+P45+P47+P49</f>
        <v>0</v>
      </c>
      <c r="Q82" s="93">
        <f>SUM(Q72:Q81)+Q16+Q24+Q29+Q36+Q43+Q45+Q47+Q49+Q51+Q56+Q61+Q66</f>
        <v>2457.6600000000162</v>
      </c>
      <c r="R82" s="92">
        <f>R16+R24+R29+R36+R43+R45+R47+R49</f>
        <v>0</v>
      </c>
      <c r="S82" s="93">
        <f>SUM(S72:S81)+S16+S24+S29+S36+S43+S45+S47+S49+S51+S56+S61+S66</f>
        <v>-118.98</v>
      </c>
      <c r="T82" s="92">
        <f>T16+T24+T29+T36+T43+T45+T47+T49</f>
        <v>0</v>
      </c>
      <c r="U82" s="93">
        <f>SUM(U72:U81)+U16+U24+U29+U36+U43+U45+U47+U49+U51+U56+U61+U66</f>
        <v>1.24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0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R10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48905035</v>
      </c>
      <c r="E11" s="38">
        <f>SUM(G11,I11,K11,M11,O11,Q11,S11,U11,W11,Y11,AA11,AC11,AE11)</f>
        <v>106629352.87000002</v>
      </c>
      <c r="F11" s="60">
        <f>('TIE-OUT'!P11+'TIE-OUT'!R11)+(RECLASS!P11+RECLASS!R11)</f>
        <v>0</v>
      </c>
      <c r="G11" s="38">
        <f>('TIE-OUT'!Q11+'TIE-OUT'!S11)+(RECLASS!Q11+RECLASS!S11)</f>
        <v>1346250</v>
      </c>
      <c r="H11" s="60">
        <f>'TX-EGM-GL'!H11+'TX-HPL-GL '!H11</f>
        <v>49124252</v>
      </c>
      <c r="I11" s="38">
        <f>'TX-EGM-GL'!I11+'TX-HPL-GL '!I11</f>
        <v>111616459.19000001</v>
      </c>
      <c r="J11" s="60">
        <f>'TX-EGM-GL'!J11+'TX-HPL-GL '!J11</f>
        <v>1692647</v>
      </c>
      <c r="K11" s="38">
        <f>'TX-EGM-GL'!K11+'TX-HPL-GL '!K11</f>
        <v>-2099294.38</v>
      </c>
      <c r="L11" s="60">
        <f>'TX-EGM-GL'!L11+'TX-HPL-GL '!L11</f>
        <v>-1308754</v>
      </c>
      <c r="M11" s="38">
        <f>'TX-EGM-GL'!M11+'TX-HPL-GL '!M11</f>
        <v>-2828581.08</v>
      </c>
      <c r="N11" s="60">
        <f>'TX-EGM-GL'!N11+'TX-HPL-GL '!N11</f>
        <v>-22790</v>
      </c>
      <c r="O11" s="38">
        <f>'TX-EGM-GL'!O11+'TX-HPL-GL '!O11</f>
        <v>-58647.72</v>
      </c>
      <c r="P11" s="60">
        <f>'TX-EGM-GL'!P11+'TX-HPL-GL '!P11</f>
        <v>-583877</v>
      </c>
      <c r="Q11" s="38">
        <f>'TX-EGM-GL'!Q11+'TX-HPL-GL '!Q11</f>
        <v>-1337775.82</v>
      </c>
      <c r="R11" s="60">
        <f>'TX-EGM-GL'!R11+'TX-HPL-GL '!R11</f>
        <v>-20492</v>
      </c>
      <c r="S11" s="38">
        <f>'TX-EGM-GL'!S11+'TX-HPL-GL '!S11</f>
        <v>-55936.83</v>
      </c>
      <c r="T11" s="60">
        <f>'TX-EGM-GL'!T11+'TX-HPL-GL '!T11</f>
        <v>0</v>
      </c>
      <c r="U11" s="38">
        <f>'TX-EGM-GL'!U11+'TX-HPL-GL '!U11</f>
        <v>-2131.31</v>
      </c>
      <c r="V11" s="60">
        <f>'TX-EGM-GL'!V11+'TX-HPL-GL '!V11</f>
        <v>0</v>
      </c>
      <c r="W11" s="38">
        <f>'TX-EGM-GL'!W11+'TX-HPL-GL '!W11</f>
        <v>-2827.78</v>
      </c>
      <c r="X11" s="60">
        <f>'TX-EGM-GL'!X11+'TX-HPL-GL '!X11</f>
        <v>-2500</v>
      </c>
      <c r="Y11" s="38">
        <f>'TX-EGM-GL'!Y11+'TX-HPL-GL '!Y11</f>
        <v>-5530.95</v>
      </c>
      <c r="Z11" s="60">
        <f>'TX-EGM-GL'!Z11+'TX-HPL-GL '!Z11</f>
        <v>-1261</v>
      </c>
      <c r="AA11" s="38">
        <f>'TX-EGM-GL'!AA11+'TX-HPL-GL '!AA11</f>
        <v>-2867.75</v>
      </c>
      <c r="AB11" s="60">
        <f>'TX-EGM-GL'!AB11+'TX-HPL-GL '!AB11</f>
        <v>27810</v>
      </c>
      <c r="AC11" s="38">
        <f>'TX-EGM-GL'!AC11+'TX-HPL-GL '!AC11</f>
        <v>60237.3</v>
      </c>
      <c r="AD11" s="60">
        <f>'TX-EGM-GL'!AD11+'TX-HPL-GL '!AD11</f>
        <v>0</v>
      </c>
      <c r="AE11" s="38">
        <f>'TX-EGM-GL'!AE11+'TX-HPL-GL '!AE11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-3231922.0100000002</v>
      </c>
      <c r="F12" s="60">
        <f>('TIE-OUT'!P12+'TIE-OUT'!R12)+(RECLASS!P12+RECLASS!R12)</f>
        <v>0</v>
      </c>
      <c r="G12" s="38">
        <f>('TIE-OUT'!Q12+'TIE-OUT'!S12)+(RECLASS!Q12+RECLASS!S12)</f>
        <v>-3231922.0100000002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28708483</v>
      </c>
      <c r="E13" s="38">
        <f t="shared" si="0"/>
        <v>65345130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28708483</v>
      </c>
      <c r="I13" s="38">
        <f>'TX-EGM-GL'!I13+'TX-HPL-GL '!I13</f>
        <v>65345130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1457527</v>
      </c>
      <c r="Q13" s="38">
        <f>'TX-EGM-GL'!Q13+'TX-HPL-GL '!Q13</f>
        <v>3236246</v>
      </c>
      <c r="R13" s="60">
        <f>'TX-EGM-GL'!R13+'TX-HPL-GL '!R13</f>
        <v>1457527</v>
      </c>
      <c r="S13" s="38">
        <f>'TX-EGM-GL'!S13+'TX-HPL-GL '!S13</f>
        <v>3236246</v>
      </c>
      <c r="T13" s="60">
        <f>'TX-EGM-GL'!T13+'TX-HPL-GL '!T13</f>
        <v>-2915054</v>
      </c>
      <c r="U13" s="38">
        <f>'TX-EGM-GL'!U13+'TX-HPL-GL '!U13</f>
        <v>-6472492</v>
      </c>
      <c r="V13" s="60">
        <f>'TX-EGM-GL'!V13+'TX-HPL-GL '!V13</f>
        <v>2915054</v>
      </c>
      <c r="W13" s="38">
        <f>'TX-EGM-GL'!W13+'TX-HPL-GL '!W13</f>
        <v>6472492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-2915054</v>
      </c>
      <c r="AA13" s="38">
        <f>'TX-EGM-GL'!AA13+'TX-HPL-GL '!AA13</f>
        <v>-6472492</v>
      </c>
      <c r="AB13" s="60">
        <f>'TX-EGM-GL'!AB13+'TX-HPL-GL '!AB13</f>
        <v>0</v>
      </c>
      <c r="AC13" s="38">
        <f>'TX-EGM-GL'!AC13+'TX-HPL-GL '!AC13</f>
        <v>0</v>
      </c>
      <c r="AD13" s="60">
        <f>'TX-EGM-GL'!AD13+'TX-HPL-GL '!AD13</f>
        <v>0</v>
      </c>
      <c r="AE13" s="38">
        <f>'TX-EGM-GL'!AE13+'TX-HPL-GL '!AE13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</row>
    <row r="16" spans="1:31" x14ac:dyDescent="0.2">
      <c r="A16" s="9"/>
      <c r="B16" s="7" t="s">
        <v>33</v>
      </c>
      <c r="C16" s="6"/>
      <c r="D16" s="61">
        <f>SUM(D11:D15)</f>
        <v>77613518</v>
      </c>
      <c r="E16" s="39">
        <f>SUM(E11:E15)</f>
        <v>168742560.86000001</v>
      </c>
      <c r="F16" s="61">
        <f t="shared" ref="F16:AD16" si="1">SUM(F11:F15)</f>
        <v>0</v>
      </c>
      <c r="G16" s="39">
        <f t="shared" si="1"/>
        <v>-1885672.0100000002</v>
      </c>
      <c r="H16" s="61">
        <f t="shared" si="1"/>
        <v>77832735</v>
      </c>
      <c r="I16" s="39">
        <f t="shared" si="1"/>
        <v>176961589.19</v>
      </c>
      <c r="J16" s="61">
        <f t="shared" si="1"/>
        <v>1692647</v>
      </c>
      <c r="K16" s="39">
        <f t="shared" si="1"/>
        <v>-2099294.38</v>
      </c>
      <c r="L16" s="61">
        <f t="shared" si="1"/>
        <v>-1308754</v>
      </c>
      <c r="M16" s="39">
        <f t="shared" si="1"/>
        <v>-2828581.08</v>
      </c>
      <c r="N16" s="61">
        <f t="shared" si="1"/>
        <v>-22790</v>
      </c>
      <c r="O16" s="39">
        <f t="shared" si="1"/>
        <v>-58647.72</v>
      </c>
      <c r="P16" s="61">
        <f t="shared" si="1"/>
        <v>873650</v>
      </c>
      <c r="Q16" s="39">
        <f t="shared" si="1"/>
        <v>1898470.18</v>
      </c>
      <c r="R16" s="61">
        <f t="shared" si="1"/>
        <v>1437035</v>
      </c>
      <c r="S16" s="39">
        <f t="shared" si="1"/>
        <v>3180309.17</v>
      </c>
      <c r="T16" s="61">
        <f t="shared" si="1"/>
        <v>-2915054</v>
      </c>
      <c r="U16" s="39">
        <f>SUM(U11:U15)</f>
        <v>-6474623.3099999996</v>
      </c>
      <c r="V16" s="61">
        <f t="shared" si="1"/>
        <v>2915054</v>
      </c>
      <c r="W16" s="39">
        <f t="shared" ref="W16:AC16" si="2">SUM(W11:W15)</f>
        <v>6469664.2199999997</v>
      </c>
      <c r="X16" s="61">
        <f t="shared" si="2"/>
        <v>-2500</v>
      </c>
      <c r="Y16" s="39">
        <f t="shared" si="2"/>
        <v>-5530.95</v>
      </c>
      <c r="Z16" s="61">
        <f t="shared" si="2"/>
        <v>-2916315</v>
      </c>
      <c r="AA16" s="39">
        <f t="shared" si="2"/>
        <v>-6475359.75</v>
      </c>
      <c r="AB16" s="61">
        <f t="shared" si="2"/>
        <v>27810</v>
      </c>
      <c r="AC16" s="39">
        <f t="shared" si="2"/>
        <v>60237.3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-34347149</v>
      </c>
      <c r="E19" s="38">
        <f t="shared" si="3"/>
        <v>-74734978.520000026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-34048610</v>
      </c>
      <c r="I19" s="38">
        <f>'TX-EGM-GL'!I19+'TX-HPL-GL '!I19</f>
        <v>-74072654.060000002</v>
      </c>
      <c r="J19" s="60">
        <f>'TX-EGM-GL'!J19+'TX-HPL-GL '!J19</f>
        <v>-496964</v>
      </c>
      <c r="K19" s="38">
        <f>'TX-EGM-GL'!K19+'TX-HPL-GL '!K19</f>
        <v>-1112049.6299999999</v>
      </c>
      <c r="L19" s="60">
        <f>'TX-EGM-GL'!L19+'TX-HPL-GL '!L19</f>
        <v>161139</v>
      </c>
      <c r="M19" s="38">
        <f>'TX-EGM-GL'!M19+'TX-HPL-GL '!M19</f>
        <v>363005.24</v>
      </c>
      <c r="N19" s="60">
        <f>'TX-EGM-GL'!N19+'TX-HPL-GL '!N19</f>
        <v>-2619</v>
      </c>
      <c r="O19" s="38">
        <f>'TX-EGM-GL'!O19+'TX-HPL-GL '!O19</f>
        <v>-5419.6500000000005</v>
      </c>
      <c r="P19" s="60">
        <f>'TX-EGM-GL'!P19+'TX-HPL-GL '!P19</f>
        <v>78680</v>
      </c>
      <c r="Q19" s="38">
        <f>'TX-EGM-GL'!Q19+'TX-HPL-GL '!Q19</f>
        <v>174526.85</v>
      </c>
      <c r="R19" s="60">
        <f>'TX-EGM-GL'!R19+'TX-HPL-GL '!R19</f>
        <v>-8719</v>
      </c>
      <c r="S19" s="38">
        <f>'TX-EGM-GL'!S19+'TX-HPL-GL '!S19</f>
        <v>-17400.810000000001</v>
      </c>
      <c r="T19" s="60">
        <f>'TX-EGM-GL'!T19+'TX-HPL-GL '!T19</f>
        <v>0</v>
      </c>
      <c r="U19" s="38">
        <f>'TX-EGM-GL'!U19+'TX-HPL-GL '!U19</f>
        <v>828.66</v>
      </c>
      <c r="V19" s="60">
        <f>'TX-EGM-GL'!V19+'TX-HPL-GL '!V19</f>
        <v>0</v>
      </c>
      <c r="W19" s="38">
        <f>'TX-EGM-GL'!W19+'TX-HPL-GL '!W19</f>
        <v>581.16999999999996</v>
      </c>
      <c r="X19" s="60">
        <f>'TX-EGM-GL'!X19+'TX-HPL-GL '!X19</f>
        <v>8346</v>
      </c>
      <c r="Y19" s="38">
        <f>'TX-EGM-GL'!Y19+'TX-HPL-GL '!Y19</f>
        <v>17860.439999999999</v>
      </c>
      <c r="Z19" s="60">
        <f>'TX-EGM-GL'!Z19+'TX-HPL-GL '!Z19</f>
        <v>1261</v>
      </c>
      <c r="AA19" s="38">
        <f>'TX-EGM-GL'!AA19+'TX-HPL-GL '!AA19</f>
        <v>1590.19</v>
      </c>
      <c r="AB19" s="60">
        <f>'TX-EGM-GL'!AB19+'TX-HPL-GL '!AB19</f>
        <v>-39663</v>
      </c>
      <c r="AC19" s="38">
        <f>'TX-EGM-GL'!AC19+'TX-HPL-GL '!AC19</f>
        <v>-85846.92</v>
      </c>
      <c r="AD19" s="60">
        <f>'TX-EGM-GL'!AD19+'TX-HPL-GL '!AD19</f>
        <v>0</v>
      </c>
      <c r="AE19" s="38">
        <f>'TX-EGM-GL'!AE19+'TX-HPL-GL '!AE19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5445020.9099999992</v>
      </c>
      <c r="F20" s="60">
        <f>('TIE-OUT'!P20+'TIE-OUT'!R20)+(RECLASS!P20+RECLASS!R20)</f>
        <v>0</v>
      </c>
      <c r="G20" s="38">
        <f>('TIE-OUT'!Q20+'TIE-OUT'!S20)+(RECLASS!Q20+RECLASS!S20)</f>
        <v>5445020.9099999992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-30437214</v>
      </c>
      <c r="E21" s="38">
        <f t="shared" si="3"/>
        <v>-69190550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-30437214</v>
      </c>
      <c r="I21" s="38">
        <f>'TX-EGM-GL'!I21+'TX-HPL-GL '!I21</f>
        <v>-69190550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271205</v>
      </c>
      <c r="M21" s="38">
        <f>'TX-EGM-GL'!M21+'TX-HPL-GL '!M21</f>
        <v>609175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-1457527</v>
      </c>
      <c r="Q21" s="38">
        <f>'TX-EGM-GL'!Q21+'TX-HPL-GL '!Q21</f>
        <v>-3236246</v>
      </c>
      <c r="R21" s="60">
        <f>'TX-EGM-GL'!R21+'TX-HPL-GL '!R21</f>
        <v>-1457527</v>
      </c>
      <c r="S21" s="38">
        <f>'TX-EGM-GL'!S21+'TX-HPL-GL '!S21</f>
        <v>-3236246</v>
      </c>
      <c r="T21" s="60">
        <f>'TX-EGM-GL'!T21+'TX-HPL-GL '!T21</f>
        <v>2643849</v>
      </c>
      <c r="U21" s="38">
        <f>'TX-EGM-GL'!U21+'TX-HPL-GL '!U21</f>
        <v>5863317</v>
      </c>
      <c r="V21" s="60">
        <f>'TX-EGM-GL'!V21+'TX-HPL-GL '!V21</f>
        <v>-2643849</v>
      </c>
      <c r="W21" s="38">
        <f>'TX-EGM-GL'!W21+'TX-HPL-GL '!W21</f>
        <v>-5863317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2643849</v>
      </c>
      <c r="AA21" s="38">
        <f>'TX-EGM-GL'!AA21+'TX-HPL-GL '!AA21</f>
        <v>5863317</v>
      </c>
      <c r="AB21" s="60">
        <f>'TX-EGM-GL'!AB21+'TX-HPL-GL '!AB21</f>
        <v>0</v>
      </c>
      <c r="AC21" s="38">
        <f>'TX-EGM-GL'!AC21+'TX-HPL-GL '!AC21</f>
        <v>0</v>
      </c>
      <c r="AD21" s="60">
        <f>'TX-EGM-GL'!AD21+'TX-HPL-GL '!AD21</f>
        <v>0</v>
      </c>
      <c r="AE21" s="38">
        <f>'TX-EGM-GL'!AE21+'TX-HPL-GL '!AE21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2980</v>
      </c>
      <c r="E23" s="38">
        <f t="shared" si="3"/>
        <v>6499.38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60</v>
      </c>
      <c r="I23" s="38">
        <f>'TX-EGM-GL'!I23+'TX-HPL-GL '!I23</f>
        <v>130.86000000000001</v>
      </c>
      <c r="J23" s="60">
        <f>'TX-EGM-GL'!J23+'TX-HPL-GL '!J23</f>
        <v>2920</v>
      </c>
      <c r="K23" s="38">
        <f>'TX-EGM-GL'!K23+'TX-HPL-GL '!K23</f>
        <v>6368.52</v>
      </c>
      <c r="L23" s="60">
        <f>'TX-EGM-GL'!L23+'TX-HPL-GL '!L23</f>
        <v>0</v>
      </c>
      <c r="M23" s="38">
        <f>'TX-EGM-GL'!M23+'TX-HPL-GL '!M23</f>
        <v>0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</row>
    <row r="24" spans="1:31" x14ac:dyDescent="0.2">
      <c r="A24" s="9"/>
      <c r="B24" s="7" t="s">
        <v>36</v>
      </c>
      <c r="C24" s="6"/>
      <c r="D24" s="61">
        <f>SUM(D19:D23)</f>
        <v>-64781383</v>
      </c>
      <c r="E24" s="39">
        <f>SUM(E19:E23)</f>
        <v>-138474008.23000002</v>
      </c>
      <c r="F24" s="61">
        <f t="shared" ref="F24:AD24" si="4">SUM(F19:F23)</f>
        <v>0</v>
      </c>
      <c r="G24" s="39">
        <f t="shared" si="4"/>
        <v>5445020.9099999992</v>
      </c>
      <c r="H24" s="61">
        <f t="shared" si="4"/>
        <v>-64485764</v>
      </c>
      <c r="I24" s="39">
        <f t="shared" si="4"/>
        <v>-143263073.19999999</v>
      </c>
      <c r="J24" s="61">
        <f t="shared" si="4"/>
        <v>-494044</v>
      </c>
      <c r="K24" s="39">
        <f t="shared" si="4"/>
        <v>-1105681.1099999999</v>
      </c>
      <c r="L24" s="61">
        <f t="shared" si="4"/>
        <v>432344</v>
      </c>
      <c r="M24" s="39">
        <f t="shared" si="4"/>
        <v>972180.24</v>
      </c>
      <c r="N24" s="61">
        <f t="shared" si="4"/>
        <v>-2619</v>
      </c>
      <c r="O24" s="39">
        <f t="shared" si="4"/>
        <v>-5419.6500000000005</v>
      </c>
      <c r="P24" s="61">
        <f t="shared" si="4"/>
        <v>-1378847</v>
      </c>
      <c r="Q24" s="39">
        <f t="shared" si="4"/>
        <v>-3061719.15</v>
      </c>
      <c r="R24" s="61">
        <f t="shared" si="4"/>
        <v>-1466246</v>
      </c>
      <c r="S24" s="39">
        <f t="shared" si="4"/>
        <v>-3253646.81</v>
      </c>
      <c r="T24" s="61">
        <f t="shared" si="4"/>
        <v>2643849</v>
      </c>
      <c r="U24" s="39">
        <f>SUM(U19:U23)</f>
        <v>5864145.6600000001</v>
      </c>
      <c r="V24" s="61">
        <f t="shared" si="4"/>
        <v>-2643849</v>
      </c>
      <c r="W24" s="39">
        <f t="shared" ref="W24:AC24" si="5">SUM(W19:W23)</f>
        <v>-5862735.8300000001</v>
      </c>
      <c r="X24" s="61">
        <f t="shared" si="5"/>
        <v>8346</v>
      </c>
      <c r="Y24" s="39">
        <f t="shared" si="5"/>
        <v>17860.439999999999</v>
      </c>
      <c r="Z24" s="61">
        <f t="shared" si="5"/>
        <v>2645110</v>
      </c>
      <c r="AA24" s="39">
        <f t="shared" si="5"/>
        <v>5864907.1900000004</v>
      </c>
      <c r="AB24" s="61">
        <f t="shared" si="5"/>
        <v>-39663</v>
      </c>
      <c r="AC24" s="39">
        <f t="shared" si="5"/>
        <v>-85846.92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253554</v>
      </c>
      <c r="E27" s="38">
        <f>SUM(G27,I27,K27,M27,O27,Q27,S27,U27,W27,Y27,AA27,AC27,AE27)</f>
        <v>559498.54949999996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169970</v>
      </c>
      <c r="I27" s="38">
        <f>'TX-EGM-GL'!I27+'TX-HPL-GL '!I27</f>
        <v>380732.8</v>
      </c>
      <c r="J27" s="60">
        <f>'TX-EGM-GL'!J27+'TX-HPL-GL '!J27</f>
        <v>70061</v>
      </c>
      <c r="K27" s="38">
        <f>'TX-EGM-GL'!K27+'TX-HPL-GL '!K27</f>
        <v>150615.4675</v>
      </c>
      <c r="L27" s="60">
        <f>'TX-EGM-GL'!L27+'TX-HPL-GL '!L27</f>
        <v>24463</v>
      </c>
      <c r="M27" s="38">
        <f>'TX-EGM-GL'!M27+'TX-HPL-GL '!M27</f>
        <v>52649.953800000003</v>
      </c>
      <c r="N27" s="60">
        <f>'TX-EGM-GL'!N27+'TX-HPL-GL '!N27</f>
        <v>-50</v>
      </c>
      <c r="O27" s="38">
        <f>'TX-EGM-GL'!O27+'TX-HPL-GL '!O27</f>
        <v>-106.0718</v>
      </c>
      <c r="P27" s="60">
        <f>'TX-EGM-GL'!P27+'TX-HPL-GL '!P27</f>
        <v>0</v>
      </c>
      <c r="Q27" s="38">
        <f>'TX-EGM-GL'!Q27+'TX-HPL-GL '!Q27</f>
        <v>0</v>
      </c>
      <c r="R27" s="60">
        <f>'TX-EGM-GL'!R27+'TX-HPL-GL '!R27</f>
        <v>-10890</v>
      </c>
      <c r="S27" s="38">
        <f>'TX-EGM-GL'!S27+'TX-HPL-GL '!S27</f>
        <v>-24393.599999999999</v>
      </c>
      <c r="T27" s="60">
        <f>'TX-EGM-GL'!T27+'TX-HPL-GL '!T27</f>
        <v>0</v>
      </c>
      <c r="U27" s="38">
        <f>'TX-EGM-GL'!U27+'TX-HPL-GL '!U27</f>
        <v>0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0</v>
      </c>
      <c r="AE27" s="38">
        <f>'TX-EGM-GL'!AE27+'TX-HPL-GL '!AE27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-14784227</v>
      </c>
      <c r="E28" s="38">
        <f>SUM(G28,I28,K28,M28,O28,Q28,S28,U28,W28,Y28,AA28,AC28,AE28)</f>
        <v>-32988849.089999996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-14774735</v>
      </c>
      <c r="I28" s="38">
        <f>'TX-EGM-GL'!I28+'TX-HPL-GL '!I28</f>
        <v>-32967093.59</v>
      </c>
      <c r="J28" s="60">
        <f>'TX-EGM-GL'!J28+'TX-HPL-GL '!J28</f>
        <v>-1053087</v>
      </c>
      <c r="K28" s="38">
        <f>'TX-EGM-GL'!K28+'TX-HPL-GL '!K28</f>
        <v>-752070.85</v>
      </c>
      <c r="L28" s="60">
        <f>'TX-EGM-GL'!L28+'TX-HPL-GL '!L28</f>
        <v>1015204</v>
      </c>
      <c r="M28" s="38">
        <f>'TX-EGM-GL'!M28+'TX-HPL-GL '!M28</f>
        <v>666719.51</v>
      </c>
      <c r="N28" s="60">
        <f>'TX-EGM-GL'!N28+'TX-HPL-GL '!N28</f>
        <v>0</v>
      </c>
      <c r="O28" s="38">
        <f>'TX-EGM-GL'!O28+'TX-HPL-GL '!O28</f>
        <v>0</v>
      </c>
      <c r="P28" s="60">
        <f>'TX-EGM-GL'!P28+'TX-HPL-GL '!P28</f>
        <v>12899</v>
      </c>
      <c r="Q28" s="38">
        <f>'TX-EGM-GL'!Q28+'TX-HPL-GL '!Q28</f>
        <v>28893.759999999998</v>
      </c>
      <c r="R28" s="60">
        <f>'TX-EGM-GL'!R28+'TX-HPL-GL '!R28</f>
        <v>15492</v>
      </c>
      <c r="S28" s="38">
        <f>'TX-EGM-GL'!S28+'TX-HPL-GL '!S28</f>
        <v>34702.080000000002</v>
      </c>
      <c r="T28" s="60">
        <f>'TX-EGM-GL'!T28+'TX-HPL-GL '!T28</f>
        <v>0</v>
      </c>
      <c r="U28" s="38">
        <f>'TX-EGM-GL'!U28+'TX-HPL-GL '!U28</f>
        <v>0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</row>
    <row r="29" spans="1:31" x14ac:dyDescent="0.2">
      <c r="A29" s="9"/>
      <c r="B29" s="7" t="s">
        <v>40</v>
      </c>
      <c r="C29" s="18"/>
      <c r="D29" s="61">
        <f>SUM(D27:D28)</f>
        <v>-14530673</v>
      </c>
      <c r="E29" s="39">
        <f>SUM(E27:E28)</f>
        <v>-32429350.540499996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-14604765</v>
      </c>
      <c r="I29" s="39">
        <f t="shared" si="6"/>
        <v>-32586360.789999999</v>
      </c>
      <c r="J29" s="61">
        <f t="shared" si="6"/>
        <v>-983026</v>
      </c>
      <c r="K29" s="39">
        <f t="shared" si="6"/>
        <v>-601455.38249999995</v>
      </c>
      <c r="L29" s="61">
        <f t="shared" si="6"/>
        <v>1039667</v>
      </c>
      <c r="M29" s="39">
        <f t="shared" si="6"/>
        <v>719369.46380000003</v>
      </c>
      <c r="N29" s="61">
        <f t="shared" si="6"/>
        <v>-50</v>
      </c>
      <c r="O29" s="39">
        <f t="shared" si="6"/>
        <v>-106.0718</v>
      </c>
      <c r="P29" s="61">
        <f t="shared" si="6"/>
        <v>12899</v>
      </c>
      <c r="Q29" s="39">
        <f t="shared" si="6"/>
        <v>28893.759999999998</v>
      </c>
      <c r="R29" s="61">
        <f t="shared" si="6"/>
        <v>4602</v>
      </c>
      <c r="S29" s="39">
        <f t="shared" si="6"/>
        <v>10308.480000000003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 t="shared" ref="W29:AC29" si="7"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-498592</v>
      </c>
      <c r="E32" s="38">
        <f t="shared" si="8"/>
        <v>-1087429.4339999999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783989</v>
      </c>
      <c r="I32" s="38">
        <f>'TX-EGM-GL'!I32+'TX-HPL-GL '!I32</f>
        <v>1709880.01</v>
      </c>
      <c r="J32" s="60">
        <f>'TX-EGM-GL'!J32+'TX-HPL-GL '!J32</f>
        <v>-1049999</v>
      </c>
      <c r="K32" s="38">
        <f>'TX-EGM-GL'!K32+'TX-HPL-GL '!K32</f>
        <v>-2364340.1880000001</v>
      </c>
      <c r="L32" s="60">
        <f>'TX-EGM-GL'!L32+'TX-HPL-GL '!L32</f>
        <v>838088</v>
      </c>
      <c r="M32" s="38">
        <f>'TX-EGM-GL'!M32+'TX-HPL-GL '!M32</f>
        <v>1730313.4620000001</v>
      </c>
      <c r="N32" s="60">
        <f>'TX-EGM-GL'!N32+'TX-HPL-GL '!N32</f>
        <v>240552</v>
      </c>
      <c r="O32" s="38">
        <f>'TX-EGM-GL'!O32+'TX-HPL-GL '!O32</f>
        <v>716348.83</v>
      </c>
      <c r="P32" s="60">
        <f>'TX-EGM-GL'!P32+'TX-HPL-GL '!P32</f>
        <v>-74490</v>
      </c>
      <c r="Q32" s="38">
        <f>'TX-EGM-GL'!Q32+'TX-HPL-GL '!Q32</f>
        <v>-182326.02000000002</v>
      </c>
      <c r="R32" s="60">
        <f>'TX-EGM-GL'!R32+'TX-HPL-GL '!R32</f>
        <v>-426283</v>
      </c>
      <c r="S32" s="38">
        <f>'TX-EGM-GL'!S32+'TX-HPL-GL '!S32</f>
        <v>-929738.19799999997</v>
      </c>
      <c r="T32" s="60">
        <f>'TX-EGM-GL'!T32+'TX-HPL-GL '!T32</f>
        <v>0</v>
      </c>
      <c r="U32" s="38">
        <f>'TX-EGM-GL'!U32+'TX-HPL-GL '!U32</f>
        <v>1.24</v>
      </c>
      <c r="V32" s="60">
        <f>'TX-EGM-GL'!V32+'TX-HPL-GL '!V32</f>
        <v>0</v>
      </c>
      <c r="W32" s="38">
        <f>'TX-EGM-GL'!W32+'TX-HPL-GL '!W32</f>
        <v>0</v>
      </c>
      <c r="X32" s="60">
        <f>'TX-EGM-GL'!X32+'TX-HPL-GL '!X32</f>
        <v>-791964</v>
      </c>
      <c r="Y32" s="38">
        <f>'TX-EGM-GL'!Y32+'TX-HPL-GL '!Y32</f>
        <v>-1727252.7849999999</v>
      </c>
      <c r="Z32" s="60">
        <f>'TX-EGM-GL'!Z32+'TX-HPL-GL '!Z32</f>
        <v>0</v>
      </c>
      <c r="AA32" s="38">
        <f>'TX-EGM-GL'!AA32+'TX-HPL-GL '!AA32</f>
        <v>0</v>
      </c>
      <c r="AB32" s="60">
        <f>'TX-EGM-GL'!AB32+'TX-HPL-GL '!AB32</f>
        <v>-18485</v>
      </c>
      <c r="AC32" s="38">
        <f>'TX-EGM-GL'!AC32+'TX-HPL-GL '!AC32</f>
        <v>-40315.785000000003</v>
      </c>
      <c r="AD32" s="60">
        <f>'TX-EGM-GL'!AD32+'TX-HPL-GL '!AD32</f>
        <v>0</v>
      </c>
      <c r="AE32" s="38">
        <f>'TX-EGM-GL'!AE32+'TX-HPL-GL '!AE32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</row>
    <row r="36" spans="1:31" x14ac:dyDescent="0.2">
      <c r="A36" s="9"/>
      <c r="B36" s="7" t="s">
        <v>46</v>
      </c>
      <c r="C36" s="6"/>
      <c r="D36" s="61">
        <f>SUM(D32:D35)</f>
        <v>-498592</v>
      </c>
      <c r="E36" s="39">
        <f>SUM(E32:E35)</f>
        <v>-1087429.4239999999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783989</v>
      </c>
      <c r="I36" s="39">
        <f t="shared" si="9"/>
        <v>1709880.02</v>
      </c>
      <c r="J36" s="61">
        <f t="shared" si="9"/>
        <v>-1049999</v>
      </c>
      <c r="K36" s="39">
        <f t="shared" si="9"/>
        <v>-2364340.1880000001</v>
      </c>
      <c r="L36" s="61">
        <f t="shared" si="9"/>
        <v>838088</v>
      </c>
      <c r="M36" s="39">
        <f t="shared" si="9"/>
        <v>1730313.4620000001</v>
      </c>
      <c r="N36" s="61">
        <f t="shared" si="9"/>
        <v>240552</v>
      </c>
      <c r="O36" s="39">
        <f t="shared" si="9"/>
        <v>716348.83</v>
      </c>
      <c r="P36" s="61">
        <f t="shared" si="9"/>
        <v>-74490</v>
      </c>
      <c r="Q36" s="39">
        <f t="shared" si="9"/>
        <v>-182326.02000000002</v>
      </c>
      <c r="R36" s="61">
        <f t="shared" si="9"/>
        <v>-426283</v>
      </c>
      <c r="S36" s="39">
        <f t="shared" si="9"/>
        <v>-929738.19799999997</v>
      </c>
      <c r="T36" s="61">
        <f t="shared" si="9"/>
        <v>0</v>
      </c>
      <c r="U36" s="39">
        <f>SUM(U32:U35)</f>
        <v>1.24</v>
      </c>
      <c r="V36" s="61">
        <f t="shared" si="9"/>
        <v>0</v>
      </c>
      <c r="W36" s="39">
        <f t="shared" ref="W36:AC36" si="10">SUM(W32:W35)</f>
        <v>0</v>
      </c>
      <c r="X36" s="61">
        <f t="shared" si="10"/>
        <v>-791964</v>
      </c>
      <c r="Y36" s="39">
        <f t="shared" si="10"/>
        <v>-1727252.7849999999</v>
      </c>
      <c r="Z36" s="61">
        <f t="shared" si="10"/>
        <v>0</v>
      </c>
      <c r="AA36" s="39">
        <f t="shared" si="10"/>
        <v>0</v>
      </c>
      <c r="AB36" s="61">
        <f t="shared" si="10"/>
        <v>-18485</v>
      </c>
      <c r="AC36" s="39">
        <f t="shared" si="10"/>
        <v>-40315.785000000003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1867848</v>
      </c>
      <c r="E39" s="38">
        <f t="shared" si="11"/>
        <v>4453136.4200000009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0</v>
      </c>
      <c r="I39" s="38">
        <f>'TX-EGM-GL'!I39+'TX-HPL-GL '!I39</f>
        <v>0</v>
      </c>
      <c r="J39" s="60">
        <f>'TX-EGM-GL'!J39+'TX-HPL-GL '!J39</f>
        <v>2006264</v>
      </c>
      <c r="K39" s="38">
        <f>'TX-EGM-GL'!K39+'TX-HPL-GL '!K39</f>
        <v>4473968.72</v>
      </c>
      <c r="L39" s="60">
        <f>'TX-EGM-GL'!L39+'TX-HPL-GL '!L39</f>
        <v>-100803</v>
      </c>
      <c r="M39" s="38">
        <f>'TX-EGM-GL'!M39+'TX-HPL-GL '!M39</f>
        <v>67448.86</v>
      </c>
      <c r="N39" s="60">
        <f>'TX-EGM-GL'!N39+'TX-HPL-GL '!N39</f>
        <v>-28760</v>
      </c>
      <c r="O39" s="38">
        <f>'TX-EGM-GL'!O39+'TX-HPL-GL '!O39</f>
        <v>-69409.38</v>
      </c>
      <c r="P39" s="60">
        <f>'TX-EGM-GL'!P39+'TX-HPL-GL '!P39</f>
        <v>-10353</v>
      </c>
      <c r="Q39" s="38">
        <f>'TX-EGM-GL'!Q39+'TX-HPL-GL '!Q39</f>
        <v>-24985.93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-45015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1500</v>
      </c>
      <c r="AC39" s="38">
        <f>'TX-EGM-GL'!AC39+'TX-HPL-GL '!AC39</f>
        <v>51129.15</v>
      </c>
      <c r="AD39" s="60">
        <f>'TX-EGM-GL'!AD39+'TX-HPL-GL '!AD39</f>
        <v>0</v>
      </c>
      <c r="AE39" s="38">
        <f>'TX-EGM-GL'!AE39+'TX-HPL-GL '!AE39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-31648</v>
      </c>
      <c r="E40" s="38">
        <f t="shared" si="11"/>
        <v>-70575.040000000008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-30000</v>
      </c>
      <c r="I40" s="38">
        <f>'TX-EGM-GL'!I40+'TX-HPL-GL '!I40</f>
        <v>-60534.6</v>
      </c>
      <c r="J40" s="60">
        <f>'TX-EGM-GL'!J40+'TX-HPL-GL '!J40</f>
        <v>-1648</v>
      </c>
      <c r="K40" s="38">
        <f>'TX-EGM-GL'!K40+'TX-HPL-GL '!K40</f>
        <v>-3325.37</v>
      </c>
      <c r="L40" s="60">
        <f>'TX-EGM-GL'!L40+'TX-HPL-GL '!L40</f>
        <v>0</v>
      </c>
      <c r="M40" s="38">
        <f>'TX-EGM-GL'!M40+'TX-HPL-GL '!M40</f>
        <v>-6715.07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78532</v>
      </c>
      <c r="F41" s="81">
        <f>('TIE-OUT'!P41+'TIE-OUT'!R41)+(RECLASS!P41+RECLASS!R41)</f>
        <v>0</v>
      </c>
      <c r="G41" s="82">
        <f>('TIE-OUT'!Q41+'TIE-OUT'!S41)+(RECLASS!Q41+RECLASS!S41)</f>
        <v>-6483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85015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</row>
    <row r="42" spans="1:31" x14ac:dyDescent="0.2">
      <c r="A42" s="9"/>
      <c r="B42" s="7"/>
      <c r="C42" s="53" t="s">
        <v>51</v>
      </c>
      <c r="D42" s="61">
        <f>SUM(D40:D41)</f>
        <v>-31648</v>
      </c>
      <c r="E42" s="39">
        <f>SUM(E40:E41)</f>
        <v>7956.9599999999919</v>
      </c>
      <c r="F42" s="61">
        <f t="shared" ref="F42:AD42" si="12">SUM(F40:F41)</f>
        <v>0</v>
      </c>
      <c r="G42" s="39">
        <f t="shared" si="12"/>
        <v>-6483</v>
      </c>
      <c r="H42" s="61">
        <f t="shared" si="12"/>
        <v>-30000</v>
      </c>
      <c r="I42" s="39">
        <f t="shared" si="12"/>
        <v>-60534.6</v>
      </c>
      <c r="J42" s="61">
        <f t="shared" si="12"/>
        <v>-1648</v>
      </c>
      <c r="K42" s="39">
        <f t="shared" si="12"/>
        <v>-3325.37</v>
      </c>
      <c r="L42" s="61">
        <f t="shared" si="12"/>
        <v>0</v>
      </c>
      <c r="M42" s="39">
        <f t="shared" si="12"/>
        <v>-6715.07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 t="shared" ref="W42:AC42" si="13"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85015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52</v>
      </c>
      <c r="C43" s="6"/>
      <c r="D43" s="61">
        <f>D42+D39</f>
        <v>1836200</v>
      </c>
      <c r="E43" s="39">
        <f>E42+E39</f>
        <v>4461093.3800000008</v>
      </c>
      <c r="F43" s="61">
        <f t="shared" ref="F43:AD43" si="14">F42+F39</f>
        <v>0</v>
      </c>
      <c r="G43" s="39">
        <f t="shared" si="14"/>
        <v>-6483</v>
      </c>
      <c r="H43" s="61">
        <f t="shared" si="14"/>
        <v>-30000</v>
      </c>
      <c r="I43" s="39">
        <f t="shared" si="14"/>
        <v>-60534.6</v>
      </c>
      <c r="J43" s="61">
        <f t="shared" si="14"/>
        <v>2004616</v>
      </c>
      <c r="K43" s="39">
        <f t="shared" si="14"/>
        <v>4470643.3499999996</v>
      </c>
      <c r="L43" s="61">
        <f t="shared" si="14"/>
        <v>-100803</v>
      </c>
      <c r="M43" s="39">
        <f t="shared" si="14"/>
        <v>60733.79</v>
      </c>
      <c r="N43" s="61">
        <f t="shared" si="14"/>
        <v>-28760</v>
      </c>
      <c r="O43" s="39">
        <f t="shared" si="14"/>
        <v>-69409.38</v>
      </c>
      <c r="P43" s="61">
        <f t="shared" si="14"/>
        <v>-10353</v>
      </c>
      <c r="Q43" s="39">
        <f t="shared" si="14"/>
        <v>-24985.93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-45015</v>
      </c>
      <c r="V43" s="61">
        <f t="shared" si="14"/>
        <v>0</v>
      </c>
      <c r="W43" s="39">
        <f t="shared" ref="W43:AC43" si="15"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85015</v>
      </c>
      <c r="AB43" s="61">
        <f t="shared" si="15"/>
        <v>1500</v>
      </c>
      <c r="AC43" s="39">
        <f t="shared" si="15"/>
        <v>51129.15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9717.56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-9718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360930</v>
      </c>
      <c r="E49" s="38">
        <f>SUM(G49,I49,K49,M49,O49,Q49,S49,U49,W49,Y49,AA49,AC49,AE49)</f>
        <v>787188.32999999973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503805</v>
      </c>
      <c r="I49" s="38">
        <f>'TX-EGM-GL'!I49+'TX-HPL-GL '!I49</f>
        <v>1098798.7050000001</v>
      </c>
      <c r="J49" s="60">
        <f>'TX-EGM-GL'!J49+'TX-HPL-GL '!J49</f>
        <v>-1170194</v>
      </c>
      <c r="K49" s="38">
        <f>'TX-EGM-GL'!K49+'TX-HPL-GL '!K49</f>
        <v>-2552193.1140000001</v>
      </c>
      <c r="L49" s="60">
        <f>'TX-EGM-GL'!L49+'TX-HPL-GL '!L49</f>
        <v>-900542</v>
      </c>
      <c r="M49" s="38">
        <f>'TX-EGM-GL'!M49+'TX-HPL-GL '!M49</f>
        <v>-1964082.102</v>
      </c>
      <c r="N49" s="60">
        <f>'TX-EGM-GL'!N49+'TX-HPL-GL '!N49</f>
        <v>-186333</v>
      </c>
      <c r="O49" s="38">
        <f>'TX-EGM-GL'!O49+'TX-HPL-GL '!O49</f>
        <v>-406392.27299999999</v>
      </c>
      <c r="P49" s="60">
        <f>'TX-EGM-GL'!P49+'TX-HPL-GL '!P49</f>
        <v>577141</v>
      </c>
      <c r="Q49" s="38">
        <f>'TX-EGM-GL'!Q49+'TX-HPL-GL '!Q49</f>
        <v>1258744.5209999999</v>
      </c>
      <c r="R49" s="60">
        <f>'TX-EGM-GL'!R49+'TX-HPL-GL '!R49</f>
        <v>450892</v>
      </c>
      <c r="S49" s="38">
        <f>'TX-EGM-GL'!S49+'TX-HPL-GL '!S49</f>
        <v>983395.45200000005</v>
      </c>
      <c r="T49" s="60">
        <f>'TX-EGM-GL'!T49+'TX-HPL-GL '!T49</f>
        <v>271205</v>
      </c>
      <c r="U49" s="38">
        <f>'TX-EGM-GL'!U49+'TX-HPL-GL '!U49</f>
        <v>591498.10499999998</v>
      </c>
      <c r="V49" s="60">
        <f>'TX-EGM-GL'!V49+'TX-HPL-GL '!V49</f>
        <v>-271205</v>
      </c>
      <c r="W49" s="38">
        <f>'TX-EGM-GL'!W49+'TX-HPL-GL '!W49</f>
        <v>-591498.10499999998</v>
      </c>
      <c r="X49" s="60">
        <f>'TX-EGM-GL'!X49+'TX-HPL-GL '!X49</f>
        <v>786118</v>
      </c>
      <c r="Y49" s="38">
        <f>'TX-EGM-GL'!Y49+'TX-HPL-GL '!Y49</f>
        <v>1714523.358</v>
      </c>
      <c r="Z49" s="60">
        <f>'TX-EGM-GL'!Z49+'TX-HPL-GL '!Z49</f>
        <v>271205</v>
      </c>
      <c r="AA49" s="38">
        <f>'TX-EGM-GL'!AA49+'TX-HPL-GL '!AA49</f>
        <v>591498.10499999998</v>
      </c>
      <c r="AB49" s="60">
        <f>'TX-EGM-GL'!AB49+'TX-HPL-GL '!AB49</f>
        <v>28838</v>
      </c>
      <c r="AC49" s="38">
        <f>'TX-EGM-GL'!AC49+'TX-HPL-GL '!AC49</f>
        <v>62895.678</v>
      </c>
      <c r="AD49" s="60">
        <f>'TX-EGM-GL'!AD49+'TX-HPL-GL '!AD49</f>
        <v>0</v>
      </c>
      <c r="AE49" s="38">
        <f>'TX-EGM-GL'!AE49+'TX-HPL-GL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-2980</v>
      </c>
      <c r="E51" s="38">
        <f>SUM(G51,I51,K51,M51,O51,Q51,S51,U51,W51,Y51,AA51,AC51,AE51)</f>
        <v>-6499.38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-60</v>
      </c>
      <c r="I51" s="38">
        <f>'TX-EGM-GL'!I51+'TX-HPL-GL '!I51</f>
        <v>-130.86000000000001</v>
      </c>
      <c r="J51" s="60">
        <f>'TX-EGM-GL'!J51+'TX-HPL-GL '!J51</f>
        <v>-2920</v>
      </c>
      <c r="K51" s="38">
        <f>'TX-EGM-GL'!K51+'TX-HPL-GL '!K51</f>
        <v>-6368.52</v>
      </c>
      <c r="L51" s="60">
        <f>'TX-EGM-GL'!L51+'TX-HPL-GL '!L51</f>
        <v>0</v>
      </c>
      <c r="M51" s="38">
        <f>'TX-EGM-GL'!M51+'TX-HPL-GL '!M51</f>
        <v>0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-7066206</v>
      </c>
      <c r="E54" s="38">
        <f>SUM(G54,I54,K54,M54,O54,Q54,S54,U54,W54,Y54,AA54,AC54,AE54)</f>
        <v>-391344.77</v>
      </c>
      <c r="F54" s="64">
        <f>('TIE-OUT'!P54+'TIE-OUT'!R54)+(RECLASS!P54+RECLASS!R54)</f>
        <v>0</v>
      </c>
      <c r="G54" s="68">
        <f>('TIE-OUT'!Q54+'TIE-OUT'!S54)+(RECLASS!Q54+RECLASS!S54)</f>
        <v>-1475</v>
      </c>
      <c r="H54" s="60">
        <f>'TX-EGM-GL'!H54+'TX-HPL-GL '!H54</f>
        <v>-6560291</v>
      </c>
      <c r="I54" s="38">
        <f>'TX-EGM-GL'!I54+'TX-HPL-GL '!I54</f>
        <v>-518841.77</v>
      </c>
      <c r="J54" s="60">
        <f>'TX-EGM-GL'!J54+'TX-HPL-GL '!J54</f>
        <v>-516106</v>
      </c>
      <c r="K54" s="38">
        <f>'TX-EGM-GL'!K54+'TX-HPL-GL '!K54</f>
        <v>124435</v>
      </c>
      <c r="L54" s="60">
        <f>'TX-EGM-GL'!L54+'TX-HPL-GL '!L54</f>
        <v>222564</v>
      </c>
      <c r="M54" s="38">
        <f>'TX-EGM-GL'!M54+'TX-HPL-GL '!M54</f>
        <v>7178</v>
      </c>
      <c r="N54" s="60">
        <f>'TX-EGM-GL'!N54+'TX-HPL-GL '!N54</f>
        <v>42868</v>
      </c>
      <c r="O54" s="38">
        <f>'TX-EGM-GL'!O54+'TX-HPL-GL '!O54</f>
        <v>882.6</v>
      </c>
      <c r="P54" s="60">
        <f>'TX-EGM-GL'!P54+'TX-HPL-GL '!P54</f>
        <v>-8457</v>
      </c>
      <c r="Q54" s="38">
        <f>'TX-EGM-GL'!Q54+'TX-HPL-GL '!Q54</f>
        <v>26680.5</v>
      </c>
      <c r="R54" s="60">
        <f>'TX-EGM-GL'!R54+'TX-HPL-GL '!R54</f>
        <v>-48936</v>
      </c>
      <c r="S54" s="38">
        <f>'TX-EGM-GL'!S54+'TX-HPL-GL '!S54</f>
        <v>-29367.75</v>
      </c>
      <c r="T54" s="60">
        <f>'TX-EGM-GL'!T54+'TX-HPL-GL '!T54</f>
        <v>-166459</v>
      </c>
      <c r="U54" s="38">
        <f>'TX-EGM-GL'!U54+'TX-HPL-GL '!U54</f>
        <v>-658.85</v>
      </c>
      <c r="V54" s="60">
        <f>'TX-EGM-GL'!V54+'TX-HPL-GL '!V54</f>
        <v>-5143</v>
      </c>
      <c r="W54" s="38">
        <f>'TX-EGM-GL'!W54+'TX-HPL-GL '!W54</f>
        <v>-1027.9100000000001</v>
      </c>
      <c r="X54" s="60">
        <f>'TX-EGM-GL'!X54+'TX-HPL-GL '!X54</f>
        <v>0</v>
      </c>
      <c r="Y54" s="38">
        <f>'TX-EGM-GL'!Y54+'TX-HPL-GL '!Y54</f>
        <v>-0.01</v>
      </c>
      <c r="Z54" s="60">
        <f>'TX-EGM-GL'!Z54+'TX-HPL-GL '!Z54</f>
        <v>-18893</v>
      </c>
      <c r="AA54" s="38">
        <f>'TX-EGM-GL'!AA54+'TX-HPL-GL '!AA54</f>
        <v>638.95000000000005</v>
      </c>
      <c r="AB54" s="60">
        <f>'TX-EGM-GL'!AB54+'TX-HPL-GL '!AB54</f>
        <v>-7353</v>
      </c>
      <c r="AC54" s="38">
        <f>'TX-EGM-GL'!AC54+'TX-HPL-GL '!AC54</f>
        <v>211.47</v>
      </c>
      <c r="AD54" s="60">
        <f>'TX-EGM-GL'!AD54+'TX-HPL-GL '!AD54</f>
        <v>0</v>
      </c>
      <c r="AE54" s="38">
        <f>'TX-EGM-GL'!AE54+'TX-HPL-GL '!AE54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-642398</v>
      </c>
      <c r="F55" s="81">
        <f>('TIE-OUT'!P55+'TIE-OUT'!R55)+(RECLASS!P55+RECLASS!R55)</f>
        <v>0</v>
      </c>
      <c r="G55" s="82">
        <f>('TIE-OUT'!Q55+'TIE-OUT'!S55)+(RECLASS!Q55+RECLASS!S55)</f>
        <v>-977753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335355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-93300</v>
      </c>
      <c r="V55" s="60">
        <f>'TX-EGM-GL'!V55+'TX-HPL-GL '!V55</f>
        <v>0</v>
      </c>
      <c r="W55" s="38">
        <f>'TX-EGM-GL'!W55+'TX-HPL-GL '!W55</f>
        <v>93300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</row>
    <row r="56" spans="1:31" x14ac:dyDescent="0.2">
      <c r="A56" s="9"/>
      <c r="B56" s="7" t="s">
        <v>60</v>
      </c>
      <c r="C56" s="6"/>
      <c r="D56" s="61">
        <f>SUM(D54:D55)</f>
        <v>-7066206</v>
      </c>
      <c r="E56" s="39">
        <f>SUM(E54:E55)</f>
        <v>-1033742.77</v>
      </c>
      <c r="F56" s="61">
        <f t="shared" ref="F56:AD56" si="16">SUM(F54:F55)</f>
        <v>0</v>
      </c>
      <c r="G56" s="39">
        <f t="shared" si="16"/>
        <v>-979228</v>
      </c>
      <c r="H56" s="61">
        <f t="shared" si="16"/>
        <v>-6560291</v>
      </c>
      <c r="I56" s="39">
        <f t="shared" si="16"/>
        <v>-518841.77</v>
      </c>
      <c r="J56" s="61">
        <f t="shared" si="16"/>
        <v>-516106</v>
      </c>
      <c r="K56" s="39">
        <f t="shared" si="16"/>
        <v>459790</v>
      </c>
      <c r="L56" s="61">
        <f t="shared" si="16"/>
        <v>222564</v>
      </c>
      <c r="M56" s="39">
        <f t="shared" si="16"/>
        <v>7178</v>
      </c>
      <c r="N56" s="61">
        <f t="shared" si="16"/>
        <v>42868</v>
      </c>
      <c r="O56" s="39">
        <f t="shared" si="16"/>
        <v>882.6</v>
      </c>
      <c r="P56" s="61">
        <f t="shared" si="16"/>
        <v>-8457</v>
      </c>
      <c r="Q56" s="39">
        <f t="shared" si="16"/>
        <v>26680.5</v>
      </c>
      <c r="R56" s="61">
        <f t="shared" si="16"/>
        <v>-48936</v>
      </c>
      <c r="S56" s="39">
        <f t="shared" si="16"/>
        <v>-29367.75</v>
      </c>
      <c r="T56" s="61">
        <f t="shared" si="16"/>
        <v>-166459</v>
      </c>
      <c r="U56" s="39">
        <f>SUM(U54:U55)</f>
        <v>-93958.85</v>
      </c>
      <c r="V56" s="61">
        <f t="shared" si="16"/>
        <v>-5143</v>
      </c>
      <c r="W56" s="39">
        <f t="shared" ref="W56:AC56" si="17">SUM(W54:W55)</f>
        <v>92272.09</v>
      </c>
      <c r="X56" s="61">
        <f t="shared" si="17"/>
        <v>0</v>
      </c>
      <c r="Y56" s="39">
        <f t="shared" si="17"/>
        <v>-0.01</v>
      </c>
      <c r="Z56" s="61">
        <f t="shared" si="17"/>
        <v>-18893</v>
      </c>
      <c r="AA56" s="39">
        <f t="shared" si="17"/>
        <v>638.95000000000005</v>
      </c>
      <c r="AB56" s="61">
        <f t="shared" si="17"/>
        <v>-7353</v>
      </c>
      <c r="AC56" s="39">
        <f t="shared" si="17"/>
        <v>211.47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42730.58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35662.5</v>
      </c>
      <c r="J59" s="60">
        <f>'TX-EGM-GL'!J59+'TX-HPL-GL '!J59</f>
        <v>0</v>
      </c>
      <c r="K59" s="38">
        <f>'TX-EGM-GL'!K59+'TX-HPL-GL '!K59</f>
        <v>0</v>
      </c>
      <c r="L59" s="60">
        <f>'TX-EGM-GL'!L59+'TX-HPL-GL '!L59</f>
        <v>0</v>
      </c>
      <c r="M59" s="38">
        <f>'TX-EGM-GL'!M59+'TX-HPL-GL '!M59</f>
        <v>200</v>
      </c>
      <c r="N59" s="60">
        <f>'TX-EGM-GL'!N59+'TX-HPL-GL '!N59</f>
        <v>0</v>
      </c>
      <c r="O59" s="38">
        <f>'TX-EGM-GL'!O59+'TX-HPL-GL '!O59</f>
        <v>-200</v>
      </c>
      <c r="P59" s="60">
        <f>'TX-EGM-GL'!P59+'TX-HPL-GL '!P59</f>
        <v>0</v>
      </c>
      <c r="Q59" s="38">
        <f>'TX-EGM-GL'!Q59+'TX-HPL-GL '!Q59</f>
        <v>1949.96</v>
      </c>
      <c r="R59" s="60">
        <f>'TX-EGM-GL'!R59+'TX-HPL-GL '!R59</f>
        <v>0</v>
      </c>
      <c r="S59" s="38">
        <f>'TX-EGM-GL'!S59+'TX-HPL-GL '!S59</f>
        <v>5118.12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</row>
    <row r="61" spans="1:31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42730.58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35662.5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200</v>
      </c>
      <c r="N61" s="61">
        <f t="shared" si="18"/>
        <v>0</v>
      </c>
      <c r="O61" s="39">
        <f t="shared" si="18"/>
        <v>-200</v>
      </c>
      <c r="P61" s="61">
        <f t="shared" si="18"/>
        <v>0</v>
      </c>
      <c r="Q61" s="39">
        <f t="shared" si="18"/>
        <v>1949.96</v>
      </c>
      <c r="R61" s="61">
        <f t="shared" si="18"/>
        <v>0</v>
      </c>
      <c r="S61" s="39">
        <f t="shared" si="18"/>
        <v>5118.12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 t="shared" ref="W61:AC61" si="19"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-45661819</v>
      </c>
      <c r="E64" s="38">
        <f>SUM(G64,I64,K64,M64,O64,Q64,S64,U64,W64,Y64,AA64,AC64,AE64)</f>
        <v>-1212978.3699999999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-26746360</v>
      </c>
      <c r="I64" s="38">
        <f>'TX-EGM-GL'!I64+'TX-HPL-GL '!I64</f>
        <v>-1064673.8600000001</v>
      </c>
      <c r="J64" s="60">
        <f>'TX-EGM-GL'!J64+'TX-HPL-GL '!J64</f>
        <v>-16178683</v>
      </c>
      <c r="K64" s="38">
        <f>'TX-EGM-GL'!K64+'TX-HPL-GL '!K64</f>
        <v>-146415.94</v>
      </c>
      <c r="L64" s="60">
        <f>'TX-EGM-GL'!L64+'TX-HPL-GL '!L64</f>
        <v>-2775077</v>
      </c>
      <c r="M64" s="38">
        <f>'TX-EGM-GL'!M64+'TX-HPL-GL '!M64</f>
        <v>-1890.13</v>
      </c>
      <c r="N64" s="60">
        <f>'TX-EGM-GL'!N64+'TX-HPL-GL '!N64</f>
        <v>38301</v>
      </c>
      <c r="O64" s="38">
        <f>'TX-EGM-GL'!O64+'TX-HPL-GL '!O64</f>
        <v>0.5</v>
      </c>
      <c r="P64" s="60">
        <f>'TX-EGM-GL'!P64+'TX-HPL-GL '!P64</f>
        <v>0</v>
      </c>
      <c r="Q64" s="38">
        <f>'TX-EGM-GL'!Q64+'TX-HPL-GL '!Q64</f>
        <v>0</v>
      </c>
      <c r="R64" s="60">
        <f>'TX-EGM-GL'!R64+'TX-HPL-GL '!R64</f>
        <v>0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1.06</v>
      </c>
      <c r="AD64" s="60">
        <f>'TX-EGM-GL'!AD64+'TX-HPL-GL '!AD64</f>
        <v>0</v>
      </c>
      <c r="AE64" s="38">
        <f>'TX-EGM-GL'!AE64+'TX-HPL-GL '!AE64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1208182</v>
      </c>
      <c r="F65" s="81">
        <f>('TIE-OUT'!P65+'TIE-OUT'!R65)+(RECLASS!P65+RECLASS!R65)</f>
        <v>0</v>
      </c>
      <c r="G65" s="82">
        <f>('TIE-OUT'!Q65+'TIE-OUT'!S65)+(RECLASS!Q65+RECLASS!S65)</f>
        <v>1076449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132226</v>
      </c>
      <c r="N65" s="60">
        <f>'TX-EGM-GL'!N65+'TX-HPL-GL '!N65</f>
        <v>0</v>
      </c>
      <c r="O65" s="38">
        <f>'TX-EGM-GL'!O65+'TX-HPL-GL '!O65</f>
        <v>-389</v>
      </c>
      <c r="P65" s="60">
        <f>'TX-EGM-GL'!P65+'TX-HPL-GL '!P65</f>
        <v>0</v>
      </c>
      <c r="Q65" s="38">
        <f>'TX-EGM-GL'!Q65+'TX-HPL-GL '!Q65</f>
        <v>0</v>
      </c>
      <c r="R65" s="60">
        <f>'TX-EGM-GL'!R65+'TX-HPL-GL '!R65</f>
        <v>0</v>
      </c>
      <c r="S65" s="38">
        <f>'TX-EGM-GL'!S65+'TX-HPL-GL '!S65</f>
        <v>-104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</row>
    <row r="66" spans="1:31" x14ac:dyDescent="0.2">
      <c r="A66" s="9"/>
      <c r="B66" s="7" t="s">
        <v>67</v>
      </c>
      <c r="C66" s="6"/>
      <c r="D66" s="61">
        <f>SUM(D64:D65)</f>
        <v>-45661819</v>
      </c>
      <c r="E66" s="39">
        <f>SUM(E64:E65)</f>
        <v>-4796.3699999998789</v>
      </c>
      <c r="F66" s="61">
        <f t="shared" ref="F66:AD66" si="20">SUM(F64:F65)</f>
        <v>0</v>
      </c>
      <c r="G66" s="39">
        <f t="shared" si="20"/>
        <v>1076449</v>
      </c>
      <c r="H66" s="61">
        <f t="shared" si="20"/>
        <v>-26746360</v>
      </c>
      <c r="I66" s="39">
        <f t="shared" si="20"/>
        <v>-1064673.8600000001</v>
      </c>
      <c r="J66" s="61">
        <f t="shared" si="20"/>
        <v>-16178683</v>
      </c>
      <c r="K66" s="39">
        <f t="shared" si="20"/>
        <v>-146415.94</v>
      </c>
      <c r="L66" s="61">
        <f t="shared" si="20"/>
        <v>-2775077</v>
      </c>
      <c r="M66" s="39">
        <f t="shared" si="20"/>
        <v>130335.87</v>
      </c>
      <c r="N66" s="61">
        <f t="shared" si="20"/>
        <v>38301</v>
      </c>
      <c r="O66" s="39">
        <f t="shared" si="20"/>
        <v>-388.5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-104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 t="shared" ref="W66:AC66" si="21"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1.06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722248.91</v>
      </c>
      <c r="F70" s="64">
        <f>('TIE-OUT'!P70+'TIE-OUT'!R70)+(RECLASS!P70+RECLASS!R70)</f>
        <v>0</v>
      </c>
      <c r="G70" s="68">
        <f>('TIE-OUT'!Q70+'TIE-OUT'!S70)+(RECLASS!Q70+RECLASS!S70)</f>
        <v>722248.91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-250999</v>
      </c>
      <c r="F71" s="81">
        <f>('TIE-OUT'!P71+'TIE-OUT'!R71)+(RECLASS!P71+RECLASS!R71)</f>
        <v>0</v>
      </c>
      <c r="G71" s="82">
        <f>('TIE-OUT'!Q71+'TIE-OUT'!S71)+(RECLASS!Q71+RECLASS!S71)</f>
        <v>-250999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</row>
    <row r="72" spans="1:31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471249.91000000003</v>
      </c>
      <c r="F72" s="61">
        <f t="shared" ref="F72:AD72" si="22">SUM(F70:F71)</f>
        <v>0</v>
      </c>
      <c r="G72" s="39">
        <f t="shared" si="22"/>
        <v>471249.91000000003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 t="shared" ref="W72:AC72" si="23"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787615</v>
      </c>
      <c r="F74" s="60">
        <f>('TIE-OUT'!P74+'TIE-OUT'!R74)+(RECLASS!P74+RECLASS!R74)</f>
        <v>0</v>
      </c>
      <c r="G74" s="60">
        <f>('TIE-OUT'!Q74+'TIE-OUT'!S74)+(RECLASS!Q74+RECLASS!S74)</f>
        <v>901537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40680</v>
      </c>
      <c r="L74" s="60">
        <f>'TX-EGM-GL'!L74+'TX-HPL-GL '!L74</f>
        <v>0</v>
      </c>
      <c r="M74" s="38">
        <f>'TX-EGM-GL'!M74+'TX-HPL-GL '!M74</f>
        <v>-154602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126900</v>
      </c>
      <c r="F75" s="60">
        <f>('TIE-OUT'!P75+'TIE-OUT'!R75)+(RECLASS!P75+RECLASS!R75)</f>
        <v>0</v>
      </c>
      <c r="G75" s="60">
        <f>('TIE-OUT'!Q75+'TIE-OUT'!S75)+(RECLASS!Q75+RECLASS!S75)</f>
        <v>126900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-247584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-245622.75</v>
      </c>
      <c r="J76" s="60">
        <f>'TX-EGM-GL'!J76+'TX-HPL-GL '!J76</f>
        <v>0</v>
      </c>
      <c r="K76" s="38">
        <f>'TX-EGM-GL'!K76+'TX-HPL-GL '!K76</f>
        <v>-1961.25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</row>
    <row r="81" spans="1:67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-5708904</v>
      </c>
      <c r="J81" s="60">
        <f>'TX-EGM-GL'!J81+'TX-HPL-GL '!J81</f>
        <v>0</v>
      </c>
      <c r="K81" s="38">
        <f>'TX-EGM-GL'!K81+'TX-HPL-GL '!K81</f>
        <v>5708904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</row>
    <row r="82" spans="1:67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2135926.9054999966</v>
      </c>
      <c r="F82" s="92">
        <f>F16+F24+F29+F36+F43+F45+F47+F49</f>
        <v>0</v>
      </c>
      <c r="G82" s="93">
        <f>SUM(G72:G81)+G16+G24+G29+G36+G43+G45+G47+G49+G51+G56+G61+G66</f>
        <v>5149773.8099999987</v>
      </c>
      <c r="H82" s="92">
        <f>H16+H24+H29+H36+H43+H45+H47+H49</f>
        <v>0</v>
      </c>
      <c r="I82" s="93">
        <f>SUM(I72:I81)+I16+I24+I29+I36+I43+I45+I47+I49+I51+I56+I61+I66</f>
        <v>-3642211.4149999898</v>
      </c>
      <c r="J82" s="92">
        <f>J16+J24+J29+J36+J43+J45+J47+J49</f>
        <v>0</v>
      </c>
      <c r="K82" s="93">
        <f>SUM(K72:K81)+K16+K24+K29+K36+K43+K45+K47+K49+K51+K56+K61+K66</f>
        <v>1812025.0255</v>
      </c>
      <c r="L82" s="92">
        <f>L16+L24+L29+L36+L43+L45+L47+L49</f>
        <v>0</v>
      </c>
      <c r="M82" s="93">
        <f>SUM(M72:M81)+M16+M24+M29+M36+M43+M45+M47+M49+M51+M56+M61+M66</f>
        <v>-1326954.3561999998</v>
      </c>
      <c r="N82" s="92">
        <f>N16+N24+N29+N36+N43+N45+N47+N49</f>
        <v>0</v>
      </c>
      <c r="O82" s="93">
        <f>SUM(O72:O81)+O16+O24+O29+O36+O43+O45+O47+O49+O51+O56+O61+O66</f>
        <v>166949.83519999994</v>
      </c>
      <c r="P82" s="92">
        <f>P16+P24+P29+P36+P43+P45+P47+P49</f>
        <v>0</v>
      </c>
      <c r="Q82" s="93">
        <f>SUM(Q72:Q81)+Q16+Q24+Q29+Q36+Q43+Q45+Q47+Q49+Q51+Q56+Q61+Q66</f>
        <v>-54292.178999999967</v>
      </c>
      <c r="R82" s="92">
        <f>R16+R24+R29+R36+R43+R45+R47+R49</f>
        <v>0</v>
      </c>
      <c r="S82" s="93">
        <f>SUM(S72:S81)+S16+S24+S29+S36+S43+S45+S47+S49+S51+S56+S61+S66</f>
        <v>-33725.536000000073</v>
      </c>
      <c r="T82" s="92">
        <f>T16+T24+T29+T36+T43+T45+T47+T49</f>
        <v>0</v>
      </c>
      <c r="U82" s="93">
        <f>SUM(U72:U81)+U16+U24+U29+U36+U43+U45+U47+U49+U51+U56+U61+U66</f>
        <v>-157952.15499999947</v>
      </c>
      <c r="V82" s="92">
        <f>V16+V24+V29+V36+V43+V45+V47+V49</f>
        <v>0</v>
      </c>
      <c r="W82" s="93">
        <f>SUM(W72:W81)+W16+W24+W29+W36+W43+W45+W47+W49+W51+W56+W61+W66</f>
        <v>107702.37499999968</v>
      </c>
      <c r="X82" s="92">
        <f>X16+X24+X29+X36+X43+X45+X47+X49</f>
        <v>0</v>
      </c>
      <c r="Y82" s="93">
        <f>SUM(Y72:Y81)+Y16+Y24+Y29+Y36+Y43+Y45+Y47+Y49+Y51+Y56+Y61+Y66</f>
        <v>-399.94699999991803</v>
      </c>
      <c r="Z82" s="92">
        <f>Z16+Z24+Z29+Z36+Z43+Z45+Z47+Z49</f>
        <v>0</v>
      </c>
      <c r="AA82" s="93">
        <f>SUM(AA72:AA81)+AA16+AA24+AA29+AA36+AA43+AA45+AA47+AA49+AA51+AA56+AA61+AA66</f>
        <v>66699.495000000388</v>
      </c>
      <c r="AB82" s="92">
        <f>AB16+AB24+AB29+AB36+AB43+AB45+AB47+AB49</f>
        <v>0</v>
      </c>
      <c r="AC82" s="93">
        <f>SUM(AC72:AC81)+AC16+AC24+AC29+AC36+AC43+AC45+AC47+AC49+AC51+AC56+AC61+AC66</f>
        <v>48311.953000000001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181</v>
      </c>
      <c r="B85" s="3"/>
      <c r="F85" s="31"/>
      <c r="G85" s="31"/>
      <c r="H85" s="31"/>
      <c r="I85" s="31"/>
      <c r="L85" s="45"/>
    </row>
    <row r="86" spans="1:67" s="3" customFormat="1" x14ac:dyDescent="0.2">
      <c r="A86" s="174"/>
      <c r="C86" s="10" t="s">
        <v>177</v>
      </c>
      <c r="D86" s="175">
        <f t="shared" ref="D86:E88" si="25">SUM(F86,H86,J86,L86,N86,P86,R86,T86,V86,X86,Z86,AB86,AD86)</f>
        <v>0</v>
      </c>
      <c r="E86" s="175">
        <f t="shared" si="25"/>
        <v>5825473</v>
      </c>
      <c r="F86" s="175">
        <f>'TX-EGM-GL'!F86+'TX-HPL-GL '!F86</f>
        <v>0</v>
      </c>
      <c r="G86" s="175">
        <f>'TX-EGM-GL'!G86+'TX-HPL-GL '!G86</f>
        <v>5825473</v>
      </c>
      <c r="H86" s="175">
        <f>'TX-EGM-GL'!H86+'TX-HPL-GL '!H86</f>
        <v>0</v>
      </c>
      <c r="I86" s="175">
        <f>'TX-EGM-GL'!I86+'TX-HPL-GL '!I86</f>
        <v>0</v>
      </c>
      <c r="J86" s="175">
        <f>'TX-EGM-GL'!J86+'TX-HPL-GL '!J86</f>
        <v>0</v>
      </c>
      <c r="K86" s="175">
        <f>'TX-EGM-GL'!K86+'TX-HPL-GL '!K86</f>
        <v>0</v>
      </c>
      <c r="L86" s="175">
        <f>'TX-EGM-GL'!L86+'TX-HPL-GL '!L86</f>
        <v>0</v>
      </c>
      <c r="M86" s="175">
        <f>'TX-EGM-GL'!M86+'TX-HPL-GL '!M86</f>
        <v>0</v>
      </c>
      <c r="N86" s="175">
        <f>'TX-EGM-GL'!N86+'TX-HPL-GL '!N86</f>
        <v>0</v>
      </c>
      <c r="O86" s="175">
        <f>'TX-EGM-GL'!O86+'TX-HPL-GL '!O86</f>
        <v>0</v>
      </c>
      <c r="P86" s="175">
        <f>'TX-EGM-GL'!P86+'TX-HPL-GL '!P86</f>
        <v>0</v>
      </c>
      <c r="Q86" s="175">
        <f>'TX-EGM-GL'!Q86+'TX-HPL-GL '!Q86</f>
        <v>0</v>
      </c>
      <c r="R86" s="175">
        <f>'TX-EGM-GL'!R86+'TX-HPL-GL '!R86</f>
        <v>0</v>
      </c>
      <c r="S86" s="175">
        <f>'TX-EGM-GL'!S86+'TX-HPL-GL '!S86</f>
        <v>0</v>
      </c>
      <c r="T86" s="175">
        <f>'TX-EGM-GL'!T86+'TX-HPL-GL '!T86</f>
        <v>0</v>
      </c>
      <c r="U86" s="175">
        <f>'TX-EGM-GL'!U86+'TX-HPL-GL '!U86</f>
        <v>0</v>
      </c>
      <c r="V86" s="175">
        <f>'TX-EGM-GL'!V86+'TX-HPL-GL '!V86</f>
        <v>0</v>
      </c>
      <c r="W86" s="175">
        <f>'TX-EGM-GL'!W86+'TX-HPL-GL '!W86</f>
        <v>0</v>
      </c>
      <c r="X86" s="175">
        <f>'TX-EGM-GL'!X86+'TX-HPL-GL '!X86</f>
        <v>0</v>
      </c>
      <c r="Y86" s="175">
        <f>'TX-EGM-GL'!Y86+'TX-HPL-GL '!Y86</f>
        <v>0</v>
      </c>
      <c r="Z86" s="175">
        <f>'TX-EGM-GL'!Z86+'TX-HPL-GL '!Z86</f>
        <v>0</v>
      </c>
      <c r="AA86" s="175">
        <f>'TX-EGM-GL'!AA86+'TX-HPL-GL '!AA86</f>
        <v>0</v>
      </c>
      <c r="AB86" s="175">
        <f>'TX-EGM-GL'!AB86+'TX-HPL-GL '!AB86</f>
        <v>0</v>
      </c>
      <c r="AC86" s="175">
        <f>'TX-EGM-GL'!AC86+'TX-HPL-GL '!AC86</f>
        <v>0</v>
      </c>
      <c r="AD86" s="175">
        <f>'TX-EGM-GL'!AD86+'TX-HPL-GL '!AD86</f>
        <v>0</v>
      </c>
      <c r="AE86" s="175">
        <f>'TX-EGM-GL'!AE86+'TX-HPL-GL '!AE86</f>
        <v>0</v>
      </c>
    </row>
    <row r="87" spans="1:67" s="3" customFormat="1" x14ac:dyDescent="0.2">
      <c r="A87" s="174"/>
      <c r="C87" s="10" t="s">
        <v>74</v>
      </c>
      <c r="D87" s="176">
        <f t="shared" si="25"/>
        <v>0</v>
      </c>
      <c r="E87" s="176">
        <f t="shared" si="25"/>
        <v>0</v>
      </c>
      <c r="F87" s="176">
        <f>'TX-EGM-GL'!F87+'TX-HPL-GL '!F87</f>
        <v>0</v>
      </c>
      <c r="G87" s="176">
        <f>'TX-EGM-GL'!G87+'TX-HPL-GL '!G87</f>
        <v>0</v>
      </c>
      <c r="H87" s="176">
        <f>'TX-EGM-GL'!H87+'TX-HPL-GL '!H87</f>
        <v>0</v>
      </c>
      <c r="I87" s="176">
        <f>'TX-EGM-GL'!I87+'TX-HPL-GL '!I87</f>
        <v>0</v>
      </c>
      <c r="J87" s="176">
        <f>'TX-EGM-GL'!J87+'TX-HPL-GL '!J87</f>
        <v>0</v>
      </c>
      <c r="K87" s="176">
        <f>'TX-EGM-GL'!K87+'TX-HPL-GL '!K87</f>
        <v>0</v>
      </c>
      <c r="L87" s="176">
        <f>'TX-EGM-GL'!L87+'TX-HPL-GL '!L87</f>
        <v>0</v>
      </c>
      <c r="M87" s="176">
        <f>'TX-EGM-GL'!M87+'TX-HPL-GL '!M87</f>
        <v>0</v>
      </c>
      <c r="N87" s="176">
        <f>'TX-EGM-GL'!N87+'TX-HPL-GL '!N87</f>
        <v>0</v>
      </c>
      <c r="O87" s="176">
        <f>'TX-EGM-GL'!O87+'TX-HPL-GL '!O87</f>
        <v>0</v>
      </c>
      <c r="P87" s="176">
        <f>'TX-EGM-GL'!P87+'TX-HPL-GL '!P87</f>
        <v>0</v>
      </c>
      <c r="Q87" s="176">
        <f>'TX-EGM-GL'!Q87+'TX-HPL-GL '!Q87</f>
        <v>0</v>
      </c>
      <c r="R87" s="176">
        <f>'TX-EGM-GL'!R87+'TX-HPL-GL '!R87</f>
        <v>0</v>
      </c>
      <c r="S87" s="176">
        <f>'TX-EGM-GL'!S87+'TX-HPL-GL '!S87</f>
        <v>0</v>
      </c>
      <c r="T87" s="176">
        <f>'TX-EGM-GL'!T87+'TX-HPL-GL '!T87</f>
        <v>0</v>
      </c>
      <c r="U87" s="176">
        <f>'TX-EGM-GL'!U87+'TX-HPL-GL '!U87</f>
        <v>0</v>
      </c>
      <c r="V87" s="176">
        <f>'TX-EGM-GL'!V87+'TX-HPL-GL '!V87</f>
        <v>0</v>
      </c>
      <c r="W87" s="176">
        <f>'TX-EGM-GL'!W87+'TX-HPL-GL '!W87</f>
        <v>0</v>
      </c>
      <c r="X87" s="176">
        <f>'TX-EGM-GL'!X87+'TX-HPL-GL '!X87</f>
        <v>0</v>
      </c>
      <c r="Y87" s="176">
        <f>'TX-EGM-GL'!Y87+'TX-HPL-GL '!Y87</f>
        <v>0</v>
      </c>
      <c r="Z87" s="176">
        <f>'TX-EGM-GL'!Z87+'TX-HPL-GL '!Z87</f>
        <v>0</v>
      </c>
      <c r="AA87" s="176">
        <f>'TX-EGM-GL'!AA87+'TX-HPL-GL '!AA87</f>
        <v>0</v>
      </c>
      <c r="AB87" s="176">
        <f>'TX-EGM-GL'!AB87+'TX-HPL-GL '!AB87</f>
        <v>0</v>
      </c>
      <c r="AC87" s="176">
        <f>'TX-EGM-GL'!AC87+'TX-HPL-GL '!AC87</f>
        <v>0</v>
      </c>
      <c r="AD87" s="176">
        <f>'TX-EGM-GL'!AD87+'TX-HPL-GL '!AD87</f>
        <v>0</v>
      </c>
      <c r="AE87" s="176">
        <f>'TX-EGM-GL'!AE87+'TX-HPL-GL '!AE87</f>
        <v>0</v>
      </c>
    </row>
    <row r="88" spans="1:67" s="3" customFormat="1" x14ac:dyDescent="0.2">
      <c r="A88" s="174"/>
      <c r="C88" s="10" t="s">
        <v>75</v>
      </c>
      <c r="D88" s="177">
        <f t="shared" si="25"/>
        <v>0</v>
      </c>
      <c r="E88" s="177">
        <f t="shared" si="25"/>
        <v>-5830400</v>
      </c>
      <c r="F88" s="177">
        <f>'TX-EGM-GL'!F88+'TX-HPL-GL '!F88</f>
        <v>0</v>
      </c>
      <c r="G88" s="177">
        <f>'TX-EGM-GL'!G88+'TX-HPL-GL '!G88</f>
        <v>-5830400</v>
      </c>
      <c r="H88" s="177">
        <f>'TX-EGM-GL'!H88+'TX-HPL-GL '!H88</f>
        <v>0</v>
      </c>
      <c r="I88" s="177">
        <f>'TX-EGM-GL'!I88+'TX-HPL-GL '!I88</f>
        <v>0</v>
      </c>
      <c r="J88" s="177">
        <f>'TX-EGM-GL'!J88+'TX-HPL-GL '!J88</f>
        <v>0</v>
      </c>
      <c r="K88" s="177">
        <f>'TX-EGM-GL'!K88+'TX-HPL-GL '!K88</f>
        <v>0</v>
      </c>
      <c r="L88" s="177">
        <f>'TX-EGM-GL'!L88+'TX-HPL-GL '!L88</f>
        <v>0</v>
      </c>
      <c r="M88" s="177">
        <f>'TX-EGM-GL'!M88+'TX-HPL-GL '!M88</f>
        <v>0</v>
      </c>
      <c r="N88" s="177">
        <f>'TX-EGM-GL'!N88+'TX-HPL-GL '!N88</f>
        <v>0</v>
      </c>
      <c r="O88" s="177">
        <f>'TX-EGM-GL'!O88+'TX-HPL-GL '!O88</f>
        <v>0</v>
      </c>
      <c r="P88" s="177">
        <f>'TX-EGM-GL'!P88+'TX-HPL-GL '!P88</f>
        <v>0</v>
      </c>
      <c r="Q88" s="177">
        <f>'TX-EGM-GL'!Q88+'TX-HPL-GL '!Q88</f>
        <v>0</v>
      </c>
      <c r="R88" s="177">
        <f>'TX-EGM-GL'!R88+'TX-HPL-GL '!R88</f>
        <v>0</v>
      </c>
      <c r="S88" s="177">
        <f>'TX-EGM-GL'!S88+'TX-HPL-GL '!S88</f>
        <v>0</v>
      </c>
      <c r="T88" s="177">
        <f>'TX-EGM-GL'!T88+'TX-HPL-GL '!T88</f>
        <v>0</v>
      </c>
      <c r="U88" s="177">
        <f>'TX-EGM-GL'!U88+'TX-HPL-GL '!U88</f>
        <v>0</v>
      </c>
      <c r="V88" s="177">
        <f>'TX-EGM-GL'!V88+'TX-HPL-GL '!V88</f>
        <v>0</v>
      </c>
      <c r="W88" s="177">
        <f>'TX-EGM-GL'!W88+'TX-HPL-GL '!W88</f>
        <v>0</v>
      </c>
      <c r="X88" s="177">
        <f>'TX-EGM-GL'!X88+'TX-HPL-GL '!X88</f>
        <v>0</v>
      </c>
      <c r="Y88" s="177">
        <f>'TX-EGM-GL'!Y88+'TX-HPL-GL '!Y88</f>
        <v>0</v>
      </c>
      <c r="Z88" s="177">
        <f>'TX-EGM-GL'!Z88+'TX-HPL-GL '!Z88</f>
        <v>0</v>
      </c>
      <c r="AA88" s="177">
        <f>'TX-EGM-GL'!AA88+'TX-HPL-GL '!AA88</f>
        <v>0</v>
      </c>
      <c r="AB88" s="177">
        <f>'TX-EGM-GL'!AB88+'TX-HPL-GL '!AB88</f>
        <v>0</v>
      </c>
      <c r="AC88" s="177">
        <f>'TX-EGM-GL'!AC88+'TX-HPL-GL '!AC88</f>
        <v>0</v>
      </c>
      <c r="AD88" s="177">
        <f>'TX-EGM-GL'!AD88+'TX-HPL-GL '!AD88</f>
        <v>0</v>
      </c>
      <c r="AE88" s="177">
        <f>'TX-EGM-GL'!AE88+'TX-HPL-GL '!AE88</f>
        <v>0</v>
      </c>
    </row>
    <row r="89" spans="1:67" s="44" customFormat="1" ht="20.25" customHeight="1" x14ac:dyDescent="0.2">
      <c r="A89" s="181"/>
      <c r="B89" s="182"/>
      <c r="C89" s="187" t="s">
        <v>180</v>
      </c>
      <c r="D89" s="185">
        <f>SUM(D86:D88)</f>
        <v>0</v>
      </c>
      <c r="E89" s="185">
        <f t="shared" ref="E89:M89" si="26">SUM(E86:E88)</f>
        <v>-4927</v>
      </c>
      <c r="F89" s="185">
        <f t="shared" si="26"/>
        <v>0</v>
      </c>
      <c r="G89" s="185">
        <f t="shared" si="26"/>
        <v>-4927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44" customFormat="1" ht="20.25" customHeight="1" x14ac:dyDescent="0.2">
      <c r="A91" s="181"/>
      <c r="B91" s="182"/>
      <c r="C91" s="187" t="s">
        <v>183</v>
      </c>
      <c r="D91" s="185">
        <f>+D82+D89</f>
        <v>0</v>
      </c>
      <c r="E91" s="185">
        <f t="shared" ref="E91:M91" si="28">+E82+E89</f>
        <v>2130999.9054999966</v>
      </c>
      <c r="F91" s="185">
        <f t="shared" si="28"/>
        <v>0</v>
      </c>
      <c r="G91" s="185">
        <f t="shared" si="28"/>
        <v>5144846.8099999987</v>
      </c>
      <c r="H91" s="185">
        <f t="shared" si="28"/>
        <v>0</v>
      </c>
      <c r="I91" s="185">
        <f t="shared" si="28"/>
        <v>-3642211.4149999898</v>
      </c>
      <c r="J91" s="185">
        <f t="shared" si="28"/>
        <v>0</v>
      </c>
      <c r="K91" s="185">
        <f t="shared" si="28"/>
        <v>1812025.0255</v>
      </c>
      <c r="L91" s="185">
        <f t="shared" si="28"/>
        <v>0</v>
      </c>
      <c r="M91" s="185">
        <f t="shared" si="28"/>
        <v>-1326954.3561999998</v>
      </c>
      <c r="N91" s="185">
        <f t="shared" ref="N91:AE91" si="29">+N82+N89</f>
        <v>0</v>
      </c>
      <c r="O91" s="185">
        <f t="shared" si="29"/>
        <v>166949.83519999994</v>
      </c>
      <c r="P91" s="185">
        <f t="shared" si="29"/>
        <v>0</v>
      </c>
      <c r="Q91" s="185">
        <f t="shared" si="29"/>
        <v>-54292.178999999967</v>
      </c>
      <c r="R91" s="185">
        <f t="shared" si="29"/>
        <v>0</v>
      </c>
      <c r="S91" s="185">
        <f t="shared" si="29"/>
        <v>-33725.536000000073</v>
      </c>
      <c r="T91" s="185">
        <f t="shared" si="29"/>
        <v>0</v>
      </c>
      <c r="U91" s="185">
        <f t="shared" si="29"/>
        <v>-157952.15499999947</v>
      </c>
      <c r="V91" s="185">
        <f t="shared" si="29"/>
        <v>0</v>
      </c>
      <c r="W91" s="185">
        <f t="shared" si="29"/>
        <v>107702.37499999968</v>
      </c>
      <c r="X91" s="185">
        <f t="shared" si="29"/>
        <v>0</v>
      </c>
      <c r="Y91" s="185">
        <f t="shared" si="29"/>
        <v>-399.94699999991803</v>
      </c>
      <c r="Z91" s="185">
        <f t="shared" si="29"/>
        <v>0</v>
      </c>
      <c r="AA91" s="185">
        <f t="shared" si="29"/>
        <v>66699.495000000388</v>
      </c>
      <c r="AB91" s="185">
        <f t="shared" si="29"/>
        <v>0</v>
      </c>
      <c r="AC91" s="185">
        <f t="shared" si="29"/>
        <v>48311.953000000001</v>
      </c>
      <c r="AD91" s="185">
        <f t="shared" si="29"/>
        <v>0</v>
      </c>
      <c r="AE91" s="185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R10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25584350</v>
      </c>
      <c r="E11" s="38">
        <f>SUM(G11,I11,K11,M11,O11,Q11,S11,U11,W11,Y11,AA11,AC11,AE11)</f>
        <v>52126423.329999998</v>
      </c>
      <c r="F11" s="60">
        <f>'TIE-OUT'!N11+RECLASS!N11</f>
        <v>0</v>
      </c>
      <c r="G11" s="38">
        <f>'TIE-OUT'!O11+RECLASS!O11</f>
        <v>-314260</v>
      </c>
      <c r="H11" s="129">
        <f>+Actuals!E284</f>
        <v>25705617</v>
      </c>
      <c r="I11" s="130">
        <f>+Actuals!F284</f>
        <v>52794559.859999999</v>
      </c>
      <c r="J11" s="129">
        <f>+Actuals!G284</f>
        <v>-145812</v>
      </c>
      <c r="K11" s="130">
        <f>+Actuals!H284</f>
        <v>-396140.9</v>
      </c>
      <c r="L11" s="129">
        <f>+Actuals!I284</f>
        <v>46693</v>
      </c>
      <c r="M11" s="130">
        <f>+Actuals!J284</f>
        <v>109655.92</v>
      </c>
      <c r="N11" s="129">
        <f>+Actuals!K284</f>
        <v>-23051</v>
      </c>
      <c r="O11" s="130">
        <f>+Actuals!L284</f>
        <v>-68727.95</v>
      </c>
      <c r="P11" s="129">
        <f>+Actuals!M284</f>
        <v>903</v>
      </c>
      <c r="Q11" s="130">
        <f>+Actuals!N284</f>
        <v>1336.4</v>
      </c>
      <c r="R11" s="129">
        <f>+Actuals!O284</f>
        <v>0</v>
      </c>
      <c r="S11" s="130">
        <f>+Actuals!P284</f>
        <v>0</v>
      </c>
      <c r="T11" s="129">
        <f>+Actuals!Q284</f>
        <v>0</v>
      </c>
      <c r="U11" s="130">
        <f>+Actuals!R284</f>
        <v>0</v>
      </c>
      <c r="V11" s="129">
        <f>+Actuals!S484</f>
        <v>0</v>
      </c>
      <c r="W11" s="130">
        <f>+Actuals!T484</f>
        <v>0</v>
      </c>
      <c r="X11" s="129">
        <f>+Actuals!U484</f>
        <v>0</v>
      </c>
      <c r="Y11" s="130">
        <f>+Actuals!V484</f>
        <v>0</v>
      </c>
      <c r="Z11" s="129">
        <f>+Actuals!W484</f>
        <v>0</v>
      </c>
      <c r="AA11" s="130">
        <f>+Actuals!X484</f>
        <v>0</v>
      </c>
      <c r="AB11" s="129">
        <f>+Actuals!Y484</f>
        <v>0</v>
      </c>
      <c r="AC11" s="130">
        <f>+Actuals!Z484</f>
        <v>0</v>
      </c>
      <c r="AD11" s="129">
        <f>+Actuals!AA284</f>
        <v>0</v>
      </c>
      <c r="AE11" s="130">
        <f>+Actuals!AB284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597992.4</v>
      </c>
      <c r="F12" s="60">
        <f>'TIE-OUT'!N12+RECLASS!N12</f>
        <v>0</v>
      </c>
      <c r="G12" s="38">
        <f>'TIE-OUT'!O12+RECLASS!O12</f>
        <v>597992.4</v>
      </c>
      <c r="H12" s="129">
        <f>+Actuals!E285</f>
        <v>0</v>
      </c>
      <c r="I12" s="130">
        <f>+Actuals!F285</f>
        <v>0</v>
      </c>
      <c r="J12" s="129">
        <f>+Actuals!G285</f>
        <v>0</v>
      </c>
      <c r="K12" s="162">
        <f>+Actuals!H285</f>
        <v>0</v>
      </c>
      <c r="L12" s="129">
        <f>+Actuals!I285</f>
        <v>0</v>
      </c>
      <c r="M12" s="130">
        <f>+Actuals!J285</f>
        <v>0</v>
      </c>
      <c r="N12" s="129">
        <f>+Actuals!K285</f>
        <v>0</v>
      </c>
      <c r="O12" s="130">
        <f>+Actuals!L285</f>
        <v>0</v>
      </c>
      <c r="P12" s="129">
        <f>+Actuals!M285</f>
        <v>0</v>
      </c>
      <c r="Q12" s="130">
        <f>+Actuals!N285</f>
        <v>0</v>
      </c>
      <c r="R12" s="129">
        <f>+Actuals!O285</f>
        <v>0</v>
      </c>
      <c r="S12" s="130">
        <f>+Actuals!P285</f>
        <v>0</v>
      </c>
      <c r="T12" s="129">
        <f>+Actuals!Q285</f>
        <v>0</v>
      </c>
      <c r="U12" s="130">
        <f>+Actuals!R285</f>
        <v>0</v>
      </c>
      <c r="V12" s="129">
        <f>+Actuals!S485</f>
        <v>0</v>
      </c>
      <c r="W12" s="130">
        <f>+Actuals!T485</f>
        <v>0</v>
      </c>
      <c r="X12" s="129">
        <f>+Actuals!U485</f>
        <v>0</v>
      </c>
      <c r="Y12" s="130">
        <f>+Actuals!V485</f>
        <v>0</v>
      </c>
      <c r="Z12" s="129">
        <f>+Actuals!W485</f>
        <v>0</v>
      </c>
      <c r="AA12" s="130">
        <f>+Actuals!X485</f>
        <v>0</v>
      </c>
      <c r="AB12" s="129">
        <f>+Actuals!Y485</f>
        <v>0</v>
      </c>
      <c r="AC12" s="130">
        <f>+Actuals!Z485</f>
        <v>0</v>
      </c>
      <c r="AD12" s="129">
        <f>+Actuals!AA285</f>
        <v>0</v>
      </c>
      <c r="AE12" s="130">
        <f>+Actuals!AB285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21435046</v>
      </c>
      <c r="E13" s="38">
        <f t="shared" si="0"/>
        <v>45842195</v>
      </c>
      <c r="F13" s="60">
        <f>'TIE-OUT'!N13+RECLASS!N13</f>
        <v>0</v>
      </c>
      <c r="G13" s="38">
        <f>'TIE-OUT'!O13+RECLASS!O13</f>
        <v>0</v>
      </c>
      <c r="H13" s="129">
        <f>+Actuals!E286</f>
        <v>21435046</v>
      </c>
      <c r="I13" s="130">
        <f>+Actuals!F286</f>
        <v>45842195</v>
      </c>
      <c r="J13" s="129">
        <f>+Actuals!G286</f>
        <v>0</v>
      </c>
      <c r="K13" s="130">
        <f>+Actuals!H286</f>
        <v>0</v>
      </c>
      <c r="L13" s="129">
        <f>+Actuals!I286</f>
        <v>-516638</v>
      </c>
      <c r="M13" s="130">
        <f>+Actuals!J286</f>
        <v>-1112067</v>
      </c>
      <c r="N13" s="129">
        <f>+Actuals!K286</f>
        <v>0</v>
      </c>
      <c r="O13" s="130">
        <f>+Actuals!L286</f>
        <v>0</v>
      </c>
      <c r="P13" s="129">
        <f>+Actuals!M286</f>
        <v>0</v>
      </c>
      <c r="Q13" s="130">
        <f>+Actuals!N286</f>
        <v>0</v>
      </c>
      <c r="R13" s="129">
        <f>+Actuals!O286</f>
        <v>1667833</v>
      </c>
      <c r="S13" s="130">
        <f>+Actuals!P286</f>
        <v>3622693</v>
      </c>
      <c r="T13" s="129">
        <f>+Actuals!Q286</f>
        <v>-1151195</v>
      </c>
      <c r="U13" s="130">
        <f>+Actuals!R286</f>
        <v>-2510626</v>
      </c>
      <c r="V13" s="129">
        <f>+Actuals!S486</f>
        <v>1151195</v>
      </c>
      <c r="W13" s="130">
        <f>+Actuals!T486</f>
        <v>2510626</v>
      </c>
      <c r="X13" s="129">
        <f>+Actuals!U486</f>
        <v>0</v>
      </c>
      <c r="Y13" s="130">
        <f>+Actuals!V486</f>
        <v>0</v>
      </c>
      <c r="Z13" s="129">
        <f>+Actuals!W486</f>
        <v>-1151195</v>
      </c>
      <c r="AA13" s="130">
        <f>+Actuals!X486</f>
        <v>-2510626</v>
      </c>
      <c r="AB13" s="129">
        <f>+Actuals!Y486</f>
        <v>0</v>
      </c>
      <c r="AC13" s="130">
        <f>+Actuals!Z486</f>
        <v>0</v>
      </c>
      <c r="AD13" s="129">
        <f>+Actuals!AA286</f>
        <v>0</v>
      </c>
      <c r="AE13" s="130">
        <f>+Actuals!AB286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9">
        <f>+Actuals!E287</f>
        <v>0</v>
      </c>
      <c r="I14" s="130">
        <f>+Actuals!F287</f>
        <v>0</v>
      </c>
      <c r="J14" s="129">
        <f>+Actuals!G287</f>
        <v>0</v>
      </c>
      <c r="K14" s="130">
        <f>+Actuals!H287</f>
        <v>0</v>
      </c>
      <c r="L14" s="129">
        <f>+Actuals!I287</f>
        <v>0</v>
      </c>
      <c r="M14" s="130">
        <f>+Actuals!J287</f>
        <v>0</v>
      </c>
      <c r="N14" s="129">
        <f>+Actuals!K287</f>
        <v>0</v>
      </c>
      <c r="O14" s="130">
        <f>+Actuals!L287</f>
        <v>0</v>
      </c>
      <c r="P14" s="129">
        <f>+Actuals!M287</f>
        <v>0</v>
      </c>
      <c r="Q14" s="130">
        <f>+Actuals!N287</f>
        <v>0</v>
      </c>
      <c r="R14" s="129">
        <f>+Actuals!O287</f>
        <v>0</v>
      </c>
      <c r="S14" s="130">
        <f>+Actuals!P287</f>
        <v>0</v>
      </c>
      <c r="T14" s="129">
        <f>+Actuals!Q287</f>
        <v>0</v>
      </c>
      <c r="U14" s="130">
        <f>+Actuals!R287</f>
        <v>0</v>
      </c>
      <c r="V14" s="129">
        <f>+Actuals!S487</f>
        <v>0</v>
      </c>
      <c r="W14" s="130">
        <f>+Actuals!T487</f>
        <v>0</v>
      </c>
      <c r="X14" s="129">
        <f>+Actuals!U487</f>
        <v>0</v>
      </c>
      <c r="Y14" s="130">
        <f>+Actuals!V487</f>
        <v>0</v>
      </c>
      <c r="Z14" s="129">
        <f>+Actuals!W487</f>
        <v>0</v>
      </c>
      <c r="AA14" s="130">
        <f>+Actuals!X487</f>
        <v>0</v>
      </c>
      <c r="AB14" s="129">
        <f>+Actuals!Y487</f>
        <v>0</v>
      </c>
      <c r="AC14" s="130">
        <f>+Actuals!Z487</f>
        <v>0</v>
      </c>
      <c r="AD14" s="129">
        <f>+Actuals!AA287</f>
        <v>0</v>
      </c>
      <c r="AE14" s="130">
        <f>+Actuals!AB287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9">
        <f>+Actuals!E288</f>
        <v>0</v>
      </c>
      <c r="I15" s="130">
        <f>+Actuals!F288</f>
        <v>0</v>
      </c>
      <c r="J15" s="129">
        <f>+Actuals!G288</f>
        <v>0</v>
      </c>
      <c r="K15" s="130">
        <f>+Actuals!H288</f>
        <v>0</v>
      </c>
      <c r="L15" s="129">
        <f>+Actuals!I288</f>
        <v>0</v>
      </c>
      <c r="M15" s="130">
        <f>+Actuals!J288</f>
        <v>0</v>
      </c>
      <c r="N15" s="129">
        <f>+Actuals!K288</f>
        <v>0</v>
      </c>
      <c r="O15" s="130">
        <f>+Actuals!L288</f>
        <v>0</v>
      </c>
      <c r="P15" s="129">
        <f>+Actuals!M288</f>
        <v>0</v>
      </c>
      <c r="Q15" s="130">
        <f>+Actuals!N288</f>
        <v>0</v>
      </c>
      <c r="R15" s="129">
        <f>+Actuals!O288</f>
        <v>0</v>
      </c>
      <c r="S15" s="130">
        <f>+Actuals!P288</f>
        <v>0</v>
      </c>
      <c r="T15" s="129">
        <f>+Actuals!Q288</f>
        <v>0</v>
      </c>
      <c r="U15" s="130">
        <f>+Actuals!R288</f>
        <v>0</v>
      </c>
      <c r="V15" s="129">
        <f>+Actuals!S488</f>
        <v>0</v>
      </c>
      <c r="W15" s="130">
        <f>+Actuals!T488</f>
        <v>0</v>
      </c>
      <c r="X15" s="129">
        <f>+Actuals!U488</f>
        <v>0</v>
      </c>
      <c r="Y15" s="130">
        <f>+Actuals!V488</f>
        <v>0</v>
      </c>
      <c r="Z15" s="129">
        <f>+Actuals!W488</f>
        <v>0</v>
      </c>
      <c r="AA15" s="130">
        <f>+Actuals!X488</f>
        <v>0</v>
      </c>
      <c r="AB15" s="129">
        <f>+Actuals!Y488</f>
        <v>0</v>
      </c>
      <c r="AC15" s="130">
        <f>+Actuals!Z488</f>
        <v>0</v>
      </c>
      <c r="AD15" s="129">
        <f>+Actuals!AA288</f>
        <v>0</v>
      </c>
      <c r="AE15" s="130">
        <f>+Actuals!AB288</f>
        <v>0</v>
      </c>
    </row>
    <row r="16" spans="1:31" x14ac:dyDescent="0.2">
      <c r="A16" s="9"/>
      <c r="B16" s="7" t="s">
        <v>33</v>
      </c>
      <c r="C16" s="6"/>
      <c r="D16" s="61">
        <f t="shared" ref="D16:AE16" si="1">SUM(D11:D15)</f>
        <v>47019396</v>
      </c>
      <c r="E16" s="39">
        <f t="shared" si="1"/>
        <v>98566610.729999989</v>
      </c>
      <c r="F16" s="61">
        <f t="shared" si="1"/>
        <v>0</v>
      </c>
      <c r="G16" s="39">
        <f t="shared" si="1"/>
        <v>283732.40000000002</v>
      </c>
      <c r="H16" s="61">
        <f t="shared" si="1"/>
        <v>47140663</v>
      </c>
      <c r="I16" s="39">
        <f t="shared" si="1"/>
        <v>98636754.859999999</v>
      </c>
      <c r="J16" s="61">
        <f t="shared" si="1"/>
        <v>-145812</v>
      </c>
      <c r="K16" s="39">
        <f t="shared" si="1"/>
        <v>-396140.9</v>
      </c>
      <c r="L16" s="61">
        <f t="shared" si="1"/>
        <v>-469945</v>
      </c>
      <c r="M16" s="39">
        <f t="shared" si="1"/>
        <v>-1002411.08</v>
      </c>
      <c r="N16" s="61">
        <f t="shared" si="1"/>
        <v>-23051</v>
      </c>
      <c r="O16" s="39">
        <f t="shared" si="1"/>
        <v>-68727.95</v>
      </c>
      <c r="P16" s="61">
        <f t="shared" si="1"/>
        <v>903</v>
      </c>
      <c r="Q16" s="39">
        <f t="shared" si="1"/>
        <v>1336.4</v>
      </c>
      <c r="R16" s="61">
        <f t="shared" si="1"/>
        <v>1667833</v>
      </c>
      <c r="S16" s="39">
        <f t="shared" si="1"/>
        <v>3622693</v>
      </c>
      <c r="T16" s="61">
        <f t="shared" si="1"/>
        <v>-1151195</v>
      </c>
      <c r="U16" s="39">
        <f t="shared" si="1"/>
        <v>-2510626</v>
      </c>
      <c r="V16" s="61">
        <f t="shared" si="1"/>
        <v>1151195</v>
      </c>
      <c r="W16" s="39">
        <f t="shared" si="1"/>
        <v>2510626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-1151195</v>
      </c>
      <c r="AA16" s="39">
        <f t="shared" si="2"/>
        <v>-2510626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-28036255</v>
      </c>
      <c r="E19" s="38">
        <f t="shared" si="3"/>
        <v>-55959879.759999998</v>
      </c>
      <c r="F19" s="64">
        <f>'TIE-OUT'!N19+RECLASS!N19</f>
        <v>0</v>
      </c>
      <c r="G19" s="68">
        <f>'TIE-OUT'!O19+RECLASS!O19</f>
        <v>0</v>
      </c>
      <c r="H19" s="129">
        <f>+Actuals!E289</f>
        <v>-28173061</v>
      </c>
      <c r="I19" s="130">
        <f>+Actuals!F289</f>
        <v>-56629110.519999996</v>
      </c>
      <c r="J19" s="129">
        <f>+Actuals!G289</f>
        <v>229888</v>
      </c>
      <c r="K19" s="130">
        <f>+Actuals!H289</f>
        <v>865422.15</v>
      </c>
      <c r="L19" s="129">
        <f>+Actuals!I289</f>
        <v>-89018</v>
      </c>
      <c r="M19" s="130">
        <f>+Actuals!J289</f>
        <v>-187918.46</v>
      </c>
      <c r="N19" s="129">
        <f>+Actuals!K289</f>
        <v>0</v>
      </c>
      <c r="O19" s="130">
        <f>+Actuals!L289</f>
        <v>0</v>
      </c>
      <c r="P19" s="129">
        <f>+Actuals!M289</f>
        <v>-1000</v>
      </c>
      <c r="Q19" s="130">
        <f>+Actuals!N289</f>
        <v>-2053.0100000000002</v>
      </c>
      <c r="R19" s="129">
        <f>+Actuals!O289</f>
        <v>0</v>
      </c>
      <c r="S19" s="130">
        <f>+Actuals!P289</f>
        <v>0</v>
      </c>
      <c r="T19" s="129">
        <f>+Actuals!Q289</f>
        <v>0</v>
      </c>
      <c r="U19" s="130">
        <f>+Actuals!R289</f>
        <v>0</v>
      </c>
      <c r="V19" s="129">
        <f>+Actuals!S489</f>
        <v>-3064</v>
      </c>
      <c r="W19" s="130">
        <f>+Actuals!T489</f>
        <v>-6219.92</v>
      </c>
      <c r="X19" s="129">
        <f>+Actuals!U489</f>
        <v>0</v>
      </c>
      <c r="Y19" s="130">
        <f>+Actuals!V489</f>
        <v>0</v>
      </c>
      <c r="Z19" s="129">
        <f>+Actuals!W489</f>
        <v>0</v>
      </c>
      <c r="AA19" s="130">
        <f>+Actuals!X489</f>
        <v>0</v>
      </c>
      <c r="AB19" s="129">
        <f>+Actuals!Y489</f>
        <v>0</v>
      </c>
      <c r="AC19" s="130">
        <f>+Actuals!Z489</f>
        <v>0</v>
      </c>
      <c r="AD19" s="129">
        <f>+Actuals!AA289</f>
        <v>0</v>
      </c>
      <c r="AE19" s="130">
        <f>+Actuals!AB289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-259121.8</v>
      </c>
      <c r="F20" s="60">
        <f>'TIE-OUT'!N20+RECLASS!N20</f>
        <v>0</v>
      </c>
      <c r="G20" s="38">
        <f>'TIE-OUT'!O20+RECLASS!O20</f>
        <v>-259121.8</v>
      </c>
      <c r="H20" s="129">
        <f>+Actuals!E290</f>
        <v>0</v>
      </c>
      <c r="I20" s="130">
        <f>+Actuals!F290</f>
        <v>0</v>
      </c>
      <c r="J20" s="129">
        <f>+Actuals!G290</f>
        <v>0</v>
      </c>
      <c r="K20" s="162">
        <f>+Actuals!H290</f>
        <v>0</v>
      </c>
      <c r="L20" s="129">
        <f>+Actuals!I290</f>
        <v>0</v>
      </c>
      <c r="M20" s="130">
        <f>+Actuals!J290</f>
        <v>0</v>
      </c>
      <c r="N20" s="129">
        <f>+Actuals!K290</f>
        <v>0</v>
      </c>
      <c r="O20" s="130">
        <f>+Actuals!L290</f>
        <v>0</v>
      </c>
      <c r="P20" s="129">
        <f>+Actuals!M290</f>
        <v>0</v>
      </c>
      <c r="Q20" s="130">
        <f>+Actuals!N290</f>
        <v>0</v>
      </c>
      <c r="R20" s="129">
        <f>+Actuals!O290</f>
        <v>0</v>
      </c>
      <c r="S20" s="130">
        <f>+Actuals!P290</f>
        <v>0</v>
      </c>
      <c r="T20" s="129">
        <f>+Actuals!Q290</f>
        <v>0</v>
      </c>
      <c r="U20" s="130">
        <f>+Actuals!R290</f>
        <v>0</v>
      </c>
      <c r="V20" s="129">
        <f>+Actuals!S490</f>
        <v>0</v>
      </c>
      <c r="W20" s="159">
        <v>0</v>
      </c>
      <c r="X20" s="129">
        <f>+Actuals!U490</f>
        <v>0</v>
      </c>
      <c r="Y20" s="130">
        <v>0</v>
      </c>
      <c r="Z20" s="129">
        <f>+Actuals!W490</f>
        <v>0</v>
      </c>
      <c r="AA20" s="130">
        <v>0</v>
      </c>
      <c r="AB20" s="129">
        <f>+Actuals!Y490</f>
        <v>0</v>
      </c>
      <c r="AC20" s="130">
        <v>0</v>
      </c>
      <c r="AD20" s="129">
        <f>+Actuals!AA290</f>
        <v>0</v>
      </c>
      <c r="AE20" s="130">
        <f>+Actuals!AB290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-19226020</v>
      </c>
      <c r="E21" s="38">
        <f t="shared" si="3"/>
        <v>-41053457</v>
      </c>
      <c r="F21" s="60">
        <f>'TIE-OUT'!N21+RECLASS!N21</f>
        <v>0</v>
      </c>
      <c r="G21" s="38">
        <f>'TIE-OUT'!O21+RECLASS!O21</f>
        <v>0</v>
      </c>
      <c r="H21" s="129">
        <f>+Actuals!E291</f>
        <v>-19226020</v>
      </c>
      <c r="I21" s="130">
        <f>+Actuals!F291</f>
        <v>-41053457</v>
      </c>
      <c r="J21" s="129">
        <f>+Actuals!G291</f>
        <v>0</v>
      </c>
      <c r="K21" s="130">
        <f>+Actuals!H291</f>
        <v>0</v>
      </c>
      <c r="L21" s="129">
        <f>+Actuals!I291</f>
        <v>0</v>
      </c>
      <c r="M21" s="130">
        <f>+Actuals!J291</f>
        <v>0</v>
      </c>
      <c r="N21" s="129">
        <f>+Actuals!K291</f>
        <v>0</v>
      </c>
      <c r="O21" s="130">
        <f>+Actuals!L291</f>
        <v>0</v>
      </c>
      <c r="P21" s="129">
        <f>+Actuals!M291</f>
        <v>0</v>
      </c>
      <c r="Q21" s="130">
        <f>+Actuals!N291</f>
        <v>0</v>
      </c>
      <c r="R21" s="129">
        <f>+Actuals!O291</f>
        <v>-1667833</v>
      </c>
      <c r="S21" s="130">
        <f>+Actuals!P291</f>
        <v>-3622693</v>
      </c>
      <c r="T21" s="129">
        <f>+Actuals!Q291</f>
        <v>1667833</v>
      </c>
      <c r="U21" s="130">
        <f>+Actuals!R291</f>
        <v>3622693</v>
      </c>
      <c r="V21" s="129">
        <f>+Actuals!S491</f>
        <v>-1667833</v>
      </c>
      <c r="W21" s="130">
        <f>+Actuals!T491</f>
        <v>-3622693</v>
      </c>
      <c r="X21" s="129">
        <f>+Actuals!U491</f>
        <v>0</v>
      </c>
      <c r="Y21" s="130">
        <f>+Actuals!V491</f>
        <v>0</v>
      </c>
      <c r="Z21" s="129">
        <f>+Actuals!W491</f>
        <v>1667833</v>
      </c>
      <c r="AA21" s="130">
        <f>+Actuals!X491</f>
        <v>3622693</v>
      </c>
      <c r="AB21" s="129">
        <f>+Actuals!Y491</f>
        <v>0</v>
      </c>
      <c r="AC21" s="130">
        <f>+Actuals!Z491</f>
        <v>0</v>
      </c>
      <c r="AD21" s="129">
        <f>+Actuals!AA291</f>
        <v>0</v>
      </c>
      <c r="AE21" s="130">
        <f>+Actuals!AB291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9">
        <f>+Actuals!E292</f>
        <v>0</v>
      </c>
      <c r="I22" s="130">
        <f>+Actuals!F292</f>
        <v>0</v>
      </c>
      <c r="J22" s="129">
        <f>+Actuals!G292</f>
        <v>0</v>
      </c>
      <c r="K22" s="130">
        <f>+Actuals!H292</f>
        <v>0</v>
      </c>
      <c r="L22" s="129">
        <f>+Actuals!I292</f>
        <v>0</v>
      </c>
      <c r="M22" s="130">
        <f>+Actuals!J292</f>
        <v>0</v>
      </c>
      <c r="N22" s="129">
        <f>+Actuals!K292</f>
        <v>0</v>
      </c>
      <c r="O22" s="130">
        <f>+Actuals!L292</f>
        <v>0</v>
      </c>
      <c r="P22" s="129">
        <f>+Actuals!M292</f>
        <v>0</v>
      </c>
      <c r="Q22" s="130">
        <f>+Actuals!N292</f>
        <v>0</v>
      </c>
      <c r="R22" s="129">
        <f>+Actuals!O292</f>
        <v>0</v>
      </c>
      <c r="S22" s="130">
        <f>+Actuals!P292</f>
        <v>0</v>
      </c>
      <c r="T22" s="129">
        <f>+Actuals!Q292</f>
        <v>0</v>
      </c>
      <c r="U22" s="130">
        <f>+Actuals!R292</f>
        <v>0</v>
      </c>
      <c r="V22" s="129">
        <f>+Actuals!S492</f>
        <v>0</v>
      </c>
      <c r="W22" s="130">
        <f>+Actuals!T492</f>
        <v>0</v>
      </c>
      <c r="X22" s="129">
        <f>+Actuals!U492</f>
        <v>0</v>
      </c>
      <c r="Y22" s="130">
        <f>+Actuals!V492</f>
        <v>0</v>
      </c>
      <c r="Z22" s="129">
        <f>+Actuals!W492</f>
        <v>0</v>
      </c>
      <c r="AA22" s="130">
        <f>+Actuals!X492</f>
        <v>0</v>
      </c>
      <c r="AB22" s="129">
        <f>+Actuals!Y492</f>
        <v>0</v>
      </c>
      <c r="AC22" s="130">
        <f>+Actuals!Z492</f>
        <v>0</v>
      </c>
      <c r="AD22" s="129">
        <f>+Actuals!AA292</f>
        <v>0</v>
      </c>
      <c r="AE22" s="130">
        <f>+Actuals!AB292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290422</v>
      </c>
      <c r="E23" s="38">
        <f t="shared" si="3"/>
        <v>604077.75999999989</v>
      </c>
      <c r="F23" s="81">
        <f>'TIE-OUT'!N23+RECLASS!N23</f>
        <v>0</v>
      </c>
      <c r="G23" s="82">
        <f>'TIE-OUT'!O23+RECLASS!O23</f>
        <v>0</v>
      </c>
      <c r="H23" s="129">
        <f>+Actuals!E293</f>
        <v>279890</v>
      </c>
      <c r="I23" s="130">
        <f>+Actuals!F293</f>
        <v>582171.19999999995</v>
      </c>
      <c r="J23" s="129">
        <f>+Actuals!G293</f>
        <v>10545</v>
      </c>
      <c r="K23" s="130">
        <f>+Actuals!H293</f>
        <v>21933.599999999999</v>
      </c>
      <c r="L23" s="129">
        <f>+Actuals!I293</f>
        <v>0</v>
      </c>
      <c r="M23" s="130">
        <f>+Actuals!J293</f>
        <v>0</v>
      </c>
      <c r="N23" s="129">
        <f>+Actuals!K293</f>
        <v>-13</v>
      </c>
      <c r="O23" s="130">
        <f>+Actuals!L293</f>
        <v>-27.04</v>
      </c>
      <c r="P23" s="129">
        <f>+Actuals!M293</f>
        <v>0</v>
      </c>
      <c r="Q23" s="130">
        <f>+Actuals!N293</f>
        <v>0</v>
      </c>
      <c r="R23" s="129">
        <f>+Actuals!O293</f>
        <v>0</v>
      </c>
      <c r="S23" s="130">
        <f>+Actuals!P293</f>
        <v>0</v>
      </c>
      <c r="T23" s="129">
        <f>+Actuals!Q293</f>
        <v>0</v>
      </c>
      <c r="U23" s="130">
        <f>+Actuals!R293</f>
        <v>0</v>
      </c>
      <c r="V23" s="129">
        <f>+Actuals!S493</f>
        <v>0</v>
      </c>
      <c r="W23" s="130">
        <f>+Actuals!T493</f>
        <v>0</v>
      </c>
      <c r="X23" s="129">
        <f>+Actuals!U493</f>
        <v>0</v>
      </c>
      <c r="Y23" s="130">
        <f>+Actuals!V493</f>
        <v>0</v>
      </c>
      <c r="Z23" s="129">
        <f>+Actuals!W493</f>
        <v>0</v>
      </c>
      <c r="AA23" s="130">
        <f>+Actuals!X493</f>
        <v>0</v>
      </c>
      <c r="AB23" s="129">
        <f>+Actuals!Y493</f>
        <v>0</v>
      </c>
      <c r="AC23" s="130">
        <f>+Actuals!Z493</f>
        <v>0</v>
      </c>
      <c r="AD23" s="129">
        <f>+Actuals!AA293</f>
        <v>0</v>
      </c>
      <c r="AE23" s="130">
        <f>+Actuals!AB293</f>
        <v>0</v>
      </c>
    </row>
    <row r="24" spans="1:31" x14ac:dyDescent="0.2">
      <c r="A24" s="9"/>
      <c r="B24" s="7" t="s">
        <v>36</v>
      </c>
      <c r="C24" s="6"/>
      <c r="D24" s="61">
        <f t="shared" ref="D24:AE24" si="4">SUM(D19:D23)</f>
        <v>-46971853</v>
      </c>
      <c r="E24" s="39">
        <f t="shared" si="4"/>
        <v>-96668380.799999997</v>
      </c>
      <c r="F24" s="61">
        <f t="shared" si="4"/>
        <v>0</v>
      </c>
      <c r="G24" s="39">
        <f t="shared" si="4"/>
        <v>-259121.8</v>
      </c>
      <c r="H24" s="61">
        <f t="shared" si="4"/>
        <v>-47119191</v>
      </c>
      <c r="I24" s="39">
        <f t="shared" si="4"/>
        <v>-97100396.319999993</v>
      </c>
      <c r="J24" s="61">
        <f t="shared" si="4"/>
        <v>240433</v>
      </c>
      <c r="K24" s="39">
        <f t="shared" si="4"/>
        <v>887355.75</v>
      </c>
      <c r="L24" s="61">
        <f t="shared" si="4"/>
        <v>-89018</v>
      </c>
      <c r="M24" s="39">
        <f t="shared" si="4"/>
        <v>-187918.46</v>
      </c>
      <c r="N24" s="61">
        <f t="shared" si="4"/>
        <v>-13</v>
      </c>
      <c r="O24" s="39">
        <f t="shared" si="4"/>
        <v>-27.04</v>
      </c>
      <c r="P24" s="61">
        <f t="shared" si="4"/>
        <v>-1000</v>
      </c>
      <c r="Q24" s="39">
        <f t="shared" si="4"/>
        <v>-2053.0100000000002</v>
      </c>
      <c r="R24" s="61">
        <f t="shared" si="4"/>
        <v>-1667833</v>
      </c>
      <c r="S24" s="39">
        <f t="shared" si="4"/>
        <v>-3622693</v>
      </c>
      <c r="T24" s="61">
        <f t="shared" si="4"/>
        <v>1667833</v>
      </c>
      <c r="U24" s="39">
        <f t="shared" si="4"/>
        <v>3622693</v>
      </c>
      <c r="V24" s="61">
        <f t="shared" si="4"/>
        <v>-1670897</v>
      </c>
      <c r="W24" s="39">
        <f t="shared" si="4"/>
        <v>-3628912.92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1667833</v>
      </c>
      <c r="AA24" s="39">
        <f t="shared" si="5"/>
        <v>3622693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'TIE-OUT'!N27+RECLASS!N27</f>
        <v>0</v>
      </c>
      <c r="G27" s="68">
        <f>'TIE-OUT'!O27+RECLASS!O27</f>
        <v>0</v>
      </c>
      <c r="H27" s="129">
        <f>+Actuals!E294</f>
        <v>0</v>
      </c>
      <c r="I27" s="130">
        <f>+Actuals!F294</f>
        <v>0</v>
      </c>
      <c r="J27" s="129">
        <f>+Actuals!G294</f>
        <v>0</v>
      </c>
      <c r="K27" s="130">
        <f>+Actuals!H294</f>
        <v>0</v>
      </c>
      <c r="L27" s="129">
        <f>+Actuals!I294</f>
        <v>0</v>
      </c>
      <c r="M27" s="130">
        <f>+Actuals!J294</f>
        <v>0</v>
      </c>
      <c r="N27" s="129">
        <f>+Actuals!K294</f>
        <v>0</v>
      </c>
      <c r="O27" s="130">
        <f>+Actuals!L294</f>
        <v>0</v>
      </c>
      <c r="P27" s="129">
        <f>+Actuals!M294</f>
        <v>0</v>
      </c>
      <c r="Q27" s="130">
        <f>+Actuals!N294</f>
        <v>0</v>
      </c>
      <c r="R27" s="129">
        <f>+Actuals!O294</f>
        <v>0</v>
      </c>
      <c r="S27" s="130">
        <f>+Actuals!P294</f>
        <v>0</v>
      </c>
      <c r="T27" s="129">
        <f>+Actuals!Q294</f>
        <v>0</v>
      </c>
      <c r="U27" s="130">
        <f>+Actuals!R294</f>
        <v>0</v>
      </c>
      <c r="V27" s="129">
        <f>+Actuals!S494</f>
        <v>0</v>
      </c>
      <c r="W27" s="130">
        <f>+Actuals!T494</f>
        <v>0</v>
      </c>
      <c r="X27" s="129">
        <f>+Actuals!U494</f>
        <v>0</v>
      </c>
      <c r="Y27" s="130">
        <f>+Actuals!V494</f>
        <v>0</v>
      </c>
      <c r="Z27" s="129">
        <f>+Actuals!W494</f>
        <v>0</v>
      </c>
      <c r="AA27" s="130">
        <f>+Actuals!X494</f>
        <v>0</v>
      </c>
      <c r="AB27" s="129">
        <f>+Actuals!Y494</f>
        <v>0</v>
      </c>
      <c r="AC27" s="130">
        <f>+Actuals!Z494</f>
        <v>0</v>
      </c>
      <c r="AD27" s="129">
        <f>+Actuals!AA294</f>
        <v>0</v>
      </c>
      <c r="AE27" s="130">
        <f>+Actuals!AB294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'TIE-OUT'!N28+RECLASS!N28</f>
        <v>0</v>
      </c>
      <c r="G28" s="82">
        <f>'TIE-OUT'!O28+RECLASS!O28</f>
        <v>0</v>
      </c>
      <c r="H28" s="129">
        <f>+Actuals!E295</f>
        <v>0</v>
      </c>
      <c r="I28" s="130">
        <f>+Actuals!F295</f>
        <v>0</v>
      </c>
      <c r="J28" s="129">
        <f>+Actuals!G295</f>
        <v>0</v>
      </c>
      <c r="K28" s="130">
        <f>+Actuals!H295</f>
        <v>0</v>
      </c>
      <c r="L28" s="129">
        <f>+Actuals!I295</f>
        <v>0</v>
      </c>
      <c r="M28" s="130">
        <f>+Actuals!J295</f>
        <v>0</v>
      </c>
      <c r="N28" s="129">
        <f>+Actuals!K295</f>
        <v>0</v>
      </c>
      <c r="O28" s="130">
        <f>+Actuals!L295</f>
        <v>0</v>
      </c>
      <c r="P28" s="129">
        <f>+Actuals!M295</f>
        <v>0</v>
      </c>
      <c r="Q28" s="130">
        <f>+Actuals!N295</f>
        <v>0</v>
      </c>
      <c r="R28" s="129">
        <f>+Actuals!O295</f>
        <v>0</v>
      </c>
      <c r="S28" s="130">
        <f>+Actuals!P295</f>
        <v>0</v>
      </c>
      <c r="T28" s="129">
        <f>+Actuals!Q295</f>
        <v>0</v>
      </c>
      <c r="U28" s="130">
        <f>+Actuals!R295</f>
        <v>0</v>
      </c>
      <c r="V28" s="129">
        <f>+Actuals!S495</f>
        <v>0</v>
      </c>
      <c r="W28" s="130">
        <f>+Actuals!T495</f>
        <v>0</v>
      </c>
      <c r="X28" s="129">
        <f>+Actuals!U495</f>
        <v>0</v>
      </c>
      <c r="Y28" s="130">
        <f>+Actuals!V495</f>
        <v>0</v>
      </c>
      <c r="Z28" s="129">
        <f>+Actuals!W495</f>
        <v>0</v>
      </c>
      <c r="AA28" s="130">
        <f>+Actuals!X495</f>
        <v>0</v>
      </c>
      <c r="AB28" s="129">
        <f>+Actuals!Y495</f>
        <v>0</v>
      </c>
      <c r="AC28" s="130">
        <f>+Actuals!Z495</f>
        <v>0</v>
      </c>
      <c r="AD28" s="129">
        <f>+Actuals!AA295</f>
        <v>0</v>
      </c>
      <c r="AE28" s="130">
        <f>+Actuals!AB295</f>
        <v>0</v>
      </c>
    </row>
    <row r="29" spans="1:31" x14ac:dyDescent="0.2">
      <c r="A29" s="9"/>
      <c r="B29" s="7" t="s">
        <v>40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ref="X29:AC29" si="7">SUM(X27:X28)</f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-16944</v>
      </c>
      <c r="E32" s="38">
        <f t="shared" si="8"/>
        <v>-34566.036999999989</v>
      </c>
      <c r="F32" s="64">
        <f>'TIE-OUT'!N32+RECLASS!N32</f>
        <v>0</v>
      </c>
      <c r="G32" s="68">
        <f>'TIE-OUT'!O32+RECLASS!O32</f>
        <v>0</v>
      </c>
      <c r="H32" s="129">
        <f>+Actuals!E296</f>
        <v>27555</v>
      </c>
      <c r="I32" s="130">
        <f>+Actuals!F296</f>
        <v>57314.39</v>
      </c>
      <c r="J32" s="129">
        <f>+Actuals!G296</f>
        <v>-79572</v>
      </c>
      <c r="K32" s="130">
        <f>+Actuals!H296</f>
        <v>-165873.87899999999</v>
      </c>
      <c r="L32" s="129">
        <f>+Actuals!I296</f>
        <v>-71682</v>
      </c>
      <c r="M32" s="130">
        <f>+Actuals!J296</f>
        <v>-206378.17499999999</v>
      </c>
      <c r="N32" s="129">
        <f>+Actuals!K296</f>
        <v>105958</v>
      </c>
      <c r="O32" s="130">
        <f>+Actuals!L296</f>
        <v>294524.511</v>
      </c>
      <c r="P32" s="129">
        <f>+Actuals!M296</f>
        <v>797</v>
      </c>
      <c r="Q32" s="130">
        <f>+Actuals!N296</f>
        <v>-14152.884</v>
      </c>
      <c r="R32" s="129">
        <f>+Actuals!O296</f>
        <v>0</v>
      </c>
      <c r="S32" s="130">
        <f>+Actuals!P296</f>
        <v>0</v>
      </c>
      <c r="T32" s="129">
        <f>+Actuals!Q296</f>
        <v>0</v>
      </c>
      <c r="U32" s="130">
        <f>+Actuals!R296</f>
        <v>0</v>
      </c>
      <c r="V32" s="129">
        <f>+Actuals!S496</f>
        <v>0</v>
      </c>
      <c r="W32" s="130">
        <f>+Actuals!T496</f>
        <v>0</v>
      </c>
      <c r="X32" s="129">
        <f>+Actuals!U496</f>
        <v>0</v>
      </c>
      <c r="Y32" s="130">
        <f>+Actuals!V496</f>
        <v>0</v>
      </c>
      <c r="Z32" s="129">
        <f>+Actuals!W496</f>
        <v>0</v>
      </c>
      <c r="AA32" s="130">
        <f>+Actuals!X496</f>
        <v>0</v>
      </c>
      <c r="AB32" s="129">
        <f>+Actuals!Y496</f>
        <v>0</v>
      </c>
      <c r="AC32" s="130">
        <f>+Actuals!Z496</f>
        <v>0</v>
      </c>
      <c r="AD32" s="129">
        <f>+Actuals!AA296</f>
        <v>0</v>
      </c>
      <c r="AE32" s="130">
        <f>+Actuals!AB296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-4013</v>
      </c>
      <c r="E33" s="38">
        <f t="shared" si="8"/>
        <v>-8793.2800000000007</v>
      </c>
      <c r="F33" s="60">
        <f>'TIE-OUT'!N33+RECLASS!N33</f>
        <v>0</v>
      </c>
      <c r="G33" s="38">
        <f>'TIE-OUT'!O33+RECLASS!O33</f>
        <v>0</v>
      </c>
      <c r="H33" s="129">
        <f>+Actuals!E297</f>
        <v>0</v>
      </c>
      <c r="I33" s="130">
        <f>+Actuals!F297</f>
        <v>0</v>
      </c>
      <c r="J33" s="129">
        <f>+Actuals!G297</f>
        <v>-4011</v>
      </c>
      <c r="K33" s="130">
        <f>+Actuals!H297</f>
        <v>-8789.42</v>
      </c>
      <c r="L33" s="129">
        <f>+Actuals!I297</f>
        <v>-2</v>
      </c>
      <c r="M33" s="130">
        <f>+Actuals!J297</f>
        <v>-3.86</v>
      </c>
      <c r="N33" s="129">
        <f>+Actuals!K297</f>
        <v>0</v>
      </c>
      <c r="O33" s="130">
        <f>+Actuals!L297</f>
        <v>0</v>
      </c>
      <c r="P33" s="129">
        <f>+Actuals!M297</f>
        <v>0</v>
      </c>
      <c r="Q33" s="130">
        <f>+Actuals!N297</f>
        <v>0</v>
      </c>
      <c r="R33" s="129">
        <f>+Actuals!O297</f>
        <v>0</v>
      </c>
      <c r="S33" s="130">
        <f>+Actuals!P297</f>
        <v>0</v>
      </c>
      <c r="T33" s="129">
        <f>+Actuals!Q297</f>
        <v>0</v>
      </c>
      <c r="U33" s="130">
        <f>+Actuals!R297</f>
        <v>0</v>
      </c>
      <c r="V33" s="129">
        <f>+Actuals!S497</f>
        <v>0</v>
      </c>
      <c r="W33" s="130">
        <f>+Actuals!T497</f>
        <v>0</v>
      </c>
      <c r="X33" s="129">
        <f>+Actuals!U497</f>
        <v>0</v>
      </c>
      <c r="Y33" s="130">
        <f>+Actuals!V497</f>
        <v>0</v>
      </c>
      <c r="Z33" s="129">
        <f>+Actuals!W497</f>
        <v>0</v>
      </c>
      <c r="AA33" s="130">
        <f>+Actuals!X497</f>
        <v>0</v>
      </c>
      <c r="AB33" s="129">
        <f>+Actuals!Y497</f>
        <v>0</v>
      </c>
      <c r="AC33" s="130">
        <f>+Actuals!Z497</f>
        <v>0</v>
      </c>
      <c r="AD33" s="129">
        <f>+Actuals!AA297</f>
        <v>0</v>
      </c>
      <c r="AE33" s="130">
        <f>+Actuals!AB297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428</v>
      </c>
      <c r="E34" s="38">
        <f t="shared" si="8"/>
        <v>901.77</v>
      </c>
      <c r="F34" s="60">
        <f>'TIE-OUT'!N34+RECLASS!N34</f>
        <v>0</v>
      </c>
      <c r="G34" s="38">
        <f>'TIE-OUT'!O34+RECLASS!O34</f>
        <v>0</v>
      </c>
      <c r="H34" s="129">
        <f>+Actuals!E298</f>
        <v>0</v>
      </c>
      <c r="I34" s="130">
        <f>+Actuals!F298</f>
        <v>0</v>
      </c>
      <c r="J34" s="129">
        <f>+Actuals!G298</f>
        <v>86</v>
      </c>
      <c r="K34" s="130">
        <f>+Actuals!H298</f>
        <v>191.09</v>
      </c>
      <c r="L34" s="129">
        <f>+Actuals!I298</f>
        <v>342</v>
      </c>
      <c r="M34" s="130">
        <f>+Actuals!J298</f>
        <v>710.68</v>
      </c>
      <c r="N34" s="129">
        <f>+Actuals!K298</f>
        <v>0</v>
      </c>
      <c r="O34" s="130">
        <f>+Actuals!L298</f>
        <v>0</v>
      </c>
      <c r="P34" s="129">
        <f>+Actuals!M298</f>
        <v>0</v>
      </c>
      <c r="Q34" s="130">
        <f>+Actuals!N298</f>
        <v>0</v>
      </c>
      <c r="R34" s="129">
        <f>+Actuals!O298</f>
        <v>0</v>
      </c>
      <c r="S34" s="130">
        <f>+Actuals!P298</f>
        <v>0</v>
      </c>
      <c r="T34" s="129">
        <f>+Actuals!Q298</f>
        <v>0</v>
      </c>
      <c r="U34" s="130">
        <f>+Actuals!R298</f>
        <v>0</v>
      </c>
      <c r="V34" s="129">
        <f>+Actuals!S498</f>
        <v>0</v>
      </c>
      <c r="W34" s="130">
        <f>+Actuals!T498</f>
        <v>0</v>
      </c>
      <c r="X34" s="129">
        <f>+Actuals!U498</f>
        <v>0</v>
      </c>
      <c r="Y34" s="130">
        <f>+Actuals!V498</f>
        <v>0</v>
      </c>
      <c r="Z34" s="129">
        <f>+Actuals!W498</f>
        <v>0</v>
      </c>
      <c r="AA34" s="130">
        <f>+Actuals!X498</f>
        <v>0</v>
      </c>
      <c r="AB34" s="129">
        <f>+Actuals!Y498</f>
        <v>0</v>
      </c>
      <c r="AC34" s="130">
        <f>+Actuals!Z498</f>
        <v>0</v>
      </c>
      <c r="AD34" s="129">
        <f>+Actuals!AA298</f>
        <v>0</v>
      </c>
      <c r="AE34" s="130">
        <f>+Actuals!AB298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12669</v>
      </c>
      <c r="E35" s="38">
        <f t="shared" si="8"/>
        <v>26352.01</v>
      </c>
      <c r="F35" s="81">
        <f>'TIE-OUT'!N35+RECLASS!N35</f>
        <v>0</v>
      </c>
      <c r="G35" s="82">
        <f>'TIE-OUT'!O35+RECLASS!O35</f>
        <v>0</v>
      </c>
      <c r="H35" s="129">
        <f>+Actuals!E299</f>
        <v>-16411</v>
      </c>
      <c r="I35" s="130">
        <f>+Actuals!F299</f>
        <v>0.01</v>
      </c>
      <c r="J35" s="129">
        <f>+Actuals!G299</f>
        <v>29080</v>
      </c>
      <c r="K35" s="130">
        <f>+Actuals!H299</f>
        <v>0</v>
      </c>
      <c r="L35" s="129">
        <f>+Actuals!I299</f>
        <v>0</v>
      </c>
      <c r="M35" s="130">
        <f>+Actuals!J299</f>
        <v>0</v>
      </c>
      <c r="N35" s="129">
        <f>+Actuals!K299</f>
        <v>0</v>
      </c>
      <c r="O35" s="130">
        <f>+Actuals!L299</f>
        <v>0</v>
      </c>
      <c r="P35" s="129">
        <f>+Actuals!M299</f>
        <v>0</v>
      </c>
      <c r="Q35" s="130">
        <f>+Actuals!N299</f>
        <v>26352</v>
      </c>
      <c r="R35" s="129">
        <f>+Actuals!O299</f>
        <v>0</v>
      </c>
      <c r="S35" s="130">
        <f>+Actuals!P299</f>
        <v>0</v>
      </c>
      <c r="T35" s="129">
        <f>+Actuals!Q299</f>
        <v>0</v>
      </c>
      <c r="U35" s="130">
        <f>+Actuals!R299</f>
        <v>0</v>
      </c>
      <c r="V35" s="129">
        <f>+Actuals!S499</f>
        <v>0</v>
      </c>
      <c r="W35" s="130">
        <f>+Actuals!T499</f>
        <v>0</v>
      </c>
      <c r="X35" s="129">
        <f>+Actuals!U499</f>
        <v>0</v>
      </c>
      <c r="Y35" s="130">
        <f>+Actuals!V499</f>
        <v>0</v>
      </c>
      <c r="Z35" s="129">
        <f>+Actuals!W499</f>
        <v>0</v>
      </c>
      <c r="AA35" s="130">
        <f>+Actuals!X499</f>
        <v>0</v>
      </c>
      <c r="AB35" s="129">
        <f>+Actuals!Y499</f>
        <v>0</v>
      </c>
      <c r="AC35" s="130">
        <f>+Actuals!Z499</f>
        <v>0</v>
      </c>
      <c r="AD35" s="129">
        <f>+Actuals!AA299</f>
        <v>0</v>
      </c>
      <c r="AE35" s="130">
        <f>+Actuals!AB299</f>
        <v>0</v>
      </c>
    </row>
    <row r="36" spans="1:31" x14ac:dyDescent="0.2">
      <c r="A36" s="9"/>
      <c r="B36" s="7" t="s">
        <v>46</v>
      </c>
      <c r="C36" s="6"/>
      <c r="D36" s="61">
        <f t="shared" ref="D36:AE36" si="9">SUM(D32:D35)</f>
        <v>-7860</v>
      </c>
      <c r="E36" s="39">
        <f t="shared" si="9"/>
        <v>-16105.536999999993</v>
      </c>
      <c r="F36" s="61">
        <f t="shared" si="9"/>
        <v>0</v>
      </c>
      <c r="G36" s="39">
        <f t="shared" si="9"/>
        <v>0</v>
      </c>
      <c r="H36" s="61">
        <f t="shared" si="9"/>
        <v>11144</v>
      </c>
      <c r="I36" s="39">
        <f t="shared" si="9"/>
        <v>57314.400000000001</v>
      </c>
      <c r="J36" s="61">
        <f t="shared" si="9"/>
        <v>-54417</v>
      </c>
      <c r="K36" s="39">
        <f t="shared" si="9"/>
        <v>-174472.209</v>
      </c>
      <c r="L36" s="61">
        <f t="shared" si="9"/>
        <v>-71342</v>
      </c>
      <c r="M36" s="39">
        <f t="shared" si="9"/>
        <v>-205671.35499999998</v>
      </c>
      <c r="N36" s="61">
        <f t="shared" si="9"/>
        <v>105958</v>
      </c>
      <c r="O36" s="39">
        <f t="shared" si="9"/>
        <v>294524.511</v>
      </c>
      <c r="P36" s="61">
        <f t="shared" si="9"/>
        <v>797</v>
      </c>
      <c r="Q36" s="39">
        <f t="shared" si="9"/>
        <v>12199.116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9">
        <f>+Actuals!E300</f>
        <v>0</v>
      </c>
      <c r="I39" s="130">
        <f>+Actuals!F300</f>
        <v>0</v>
      </c>
      <c r="J39" s="129">
        <f>+Actuals!G300</f>
        <v>0</v>
      </c>
      <c r="K39" s="130">
        <f>+Actuals!H300</f>
        <v>0</v>
      </c>
      <c r="L39" s="129">
        <f>+Actuals!I300</f>
        <v>0</v>
      </c>
      <c r="M39" s="130">
        <f>+Actuals!J300</f>
        <v>0</v>
      </c>
      <c r="N39" s="129">
        <f>+Actuals!K300</f>
        <v>0</v>
      </c>
      <c r="O39" s="130">
        <f>+Actuals!L300</f>
        <v>0</v>
      </c>
      <c r="P39" s="129">
        <f>+Actuals!M300</f>
        <v>0</v>
      </c>
      <c r="Q39" s="130">
        <f>+Actuals!N300</f>
        <v>0</v>
      </c>
      <c r="R39" s="129">
        <f>+Actuals!O300</f>
        <v>0</v>
      </c>
      <c r="S39" s="130">
        <f>+Actuals!P300</f>
        <v>0</v>
      </c>
      <c r="T39" s="129">
        <f>+Actuals!Q300</f>
        <v>0</v>
      </c>
      <c r="U39" s="130">
        <f>+Actuals!R300</f>
        <v>0</v>
      </c>
      <c r="V39" s="129">
        <f>+Actuals!S500</f>
        <v>0</v>
      </c>
      <c r="W39" s="130">
        <f>+Actuals!T500</f>
        <v>0</v>
      </c>
      <c r="X39" s="129">
        <f>+Actuals!U500</f>
        <v>0</v>
      </c>
      <c r="Y39" s="130">
        <f>+Actuals!V500</f>
        <v>0</v>
      </c>
      <c r="Z39" s="129">
        <f>+Actuals!W500</f>
        <v>0</v>
      </c>
      <c r="AA39" s="130">
        <f>+Actuals!X500</f>
        <v>0</v>
      </c>
      <c r="AB39" s="129">
        <f>+Actuals!Y500</f>
        <v>0</v>
      </c>
      <c r="AC39" s="130">
        <f>+Actuals!Z500</f>
        <v>0</v>
      </c>
      <c r="AD39" s="129">
        <f>+Actuals!AA300</f>
        <v>0</v>
      </c>
      <c r="AE39" s="130">
        <f>+Actuals!AB300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9">
        <f>+Actuals!E301</f>
        <v>0</v>
      </c>
      <c r="I40" s="130">
        <f>+Actuals!F301</f>
        <v>0</v>
      </c>
      <c r="J40" s="129">
        <f>+Actuals!G301</f>
        <v>0</v>
      </c>
      <c r="K40" s="130">
        <f>+Actuals!H301</f>
        <v>0</v>
      </c>
      <c r="L40" s="129">
        <f>+Actuals!I301</f>
        <v>0</v>
      </c>
      <c r="M40" s="130">
        <f>+Actuals!J301</f>
        <v>0</v>
      </c>
      <c r="N40" s="129">
        <f>+Actuals!K301</f>
        <v>0</v>
      </c>
      <c r="O40" s="130">
        <f>+Actuals!L301</f>
        <v>0</v>
      </c>
      <c r="P40" s="129">
        <f>+Actuals!M301</f>
        <v>0</v>
      </c>
      <c r="Q40" s="130">
        <f>+Actuals!N301</f>
        <v>0</v>
      </c>
      <c r="R40" s="129">
        <f>+Actuals!O301</f>
        <v>0</v>
      </c>
      <c r="S40" s="130">
        <f>+Actuals!P301</f>
        <v>0</v>
      </c>
      <c r="T40" s="129">
        <f>+Actuals!Q301</f>
        <v>0</v>
      </c>
      <c r="U40" s="130">
        <f>+Actuals!R301</f>
        <v>0</v>
      </c>
      <c r="V40" s="129">
        <f>+Actuals!S501</f>
        <v>0</v>
      </c>
      <c r="W40" s="130">
        <f>+Actuals!T501</f>
        <v>0</v>
      </c>
      <c r="X40" s="129">
        <f>+Actuals!U501</f>
        <v>0</v>
      </c>
      <c r="Y40" s="130">
        <f>+Actuals!V501</f>
        <v>0</v>
      </c>
      <c r="Z40" s="129">
        <f>+Actuals!W501</f>
        <v>0</v>
      </c>
      <c r="AA40" s="130">
        <f>+Actuals!X501</f>
        <v>0</v>
      </c>
      <c r="AB40" s="129">
        <f>+Actuals!Y501</f>
        <v>0</v>
      </c>
      <c r="AC40" s="130">
        <f>+Actuals!Z501</f>
        <v>0</v>
      </c>
      <c r="AD40" s="129">
        <f>+Actuals!AA301</f>
        <v>0</v>
      </c>
      <c r="AE40" s="130">
        <f>+Actuals!AB301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9">
        <f>+Actuals!E302</f>
        <v>0</v>
      </c>
      <c r="I41" s="130">
        <f>+Actuals!F302</f>
        <v>0</v>
      </c>
      <c r="J41" s="129">
        <f>+Actuals!G302</f>
        <v>0</v>
      </c>
      <c r="K41" s="130">
        <f>+Actuals!H302</f>
        <v>0</v>
      </c>
      <c r="L41" s="129">
        <f>+Actuals!I302</f>
        <v>0</v>
      </c>
      <c r="M41" s="130">
        <f>+Actuals!J302</f>
        <v>0</v>
      </c>
      <c r="N41" s="129">
        <f>+Actuals!K302</f>
        <v>0</v>
      </c>
      <c r="O41" s="130">
        <f>+Actuals!L302</f>
        <v>0</v>
      </c>
      <c r="P41" s="129">
        <f>+Actuals!M302</f>
        <v>0</v>
      </c>
      <c r="Q41" s="130">
        <f>+Actuals!N302</f>
        <v>0</v>
      </c>
      <c r="R41" s="129">
        <f>+Actuals!O302</f>
        <v>0</v>
      </c>
      <c r="S41" s="130">
        <f>+Actuals!P302</f>
        <v>0</v>
      </c>
      <c r="T41" s="129">
        <f>+Actuals!Q302</f>
        <v>0</v>
      </c>
      <c r="U41" s="130">
        <f>+Actuals!R302</f>
        <v>0</v>
      </c>
      <c r="V41" s="129">
        <f>+Actuals!S502</f>
        <v>0</v>
      </c>
      <c r="W41" s="130">
        <f>+Actuals!T502</f>
        <v>0</v>
      </c>
      <c r="X41" s="129">
        <f>+Actuals!U502</f>
        <v>0</v>
      </c>
      <c r="Y41" s="130">
        <f>+Actuals!V502</f>
        <v>0</v>
      </c>
      <c r="Z41" s="129">
        <f>+Actuals!W502</f>
        <v>0</v>
      </c>
      <c r="AA41" s="130">
        <f>+Actuals!X502</f>
        <v>0</v>
      </c>
      <c r="AB41" s="129">
        <f>+Actuals!Y502</f>
        <v>0</v>
      </c>
      <c r="AC41" s="130">
        <f>+Actuals!Z502</f>
        <v>0</v>
      </c>
      <c r="AD41" s="129">
        <f>+Actuals!AA302</f>
        <v>0</v>
      </c>
      <c r="AE41" s="130">
        <f>+Actuals!AB302</f>
        <v>0</v>
      </c>
    </row>
    <row r="42" spans="1:31" x14ac:dyDescent="0.2">
      <c r="A42" s="9"/>
      <c r="B42" s="7"/>
      <c r="C42" s="53" t="s">
        <v>51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9">
        <f>+Actuals!E303</f>
        <v>0</v>
      </c>
      <c r="I45" s="130">
        <f>+Actuals!F303</f>
        <v>0</v>
      </c>
      <c r="J45" s="129">
        <f>+Actuals!G303</f>
        <v>0</v>
      </c>
      <c r="K45" s="130">
        <f>+Actuals!H303</f>
        <v>0</v>
      </c>
      <c r="L45" s="129">
        <f>+Actuals!I303</f>
        <v>0</v>
      </c>
      <c r="M45" s="130">
        <f>+Actuals!J303</f>
        <v>0</v>
      </c>
      <c r="N45" s="129">
        <f>+Actuals!K303</f>
        <v>0</v>
      </c>
      <c r="O45" s="130">
        <f>+Actuals!L303</f>
        <v>0</v>
      </c>
      <c r="P45" s="129">
        <f>+Actuals!M303</f>
        <v>0</v>
      </c>
      <c r="Q45" s="130">
        <f>+Actuals!N303</f>
        <v>0</v>
      </c>
      <c r="R45" s="129">
        <f>+Actuals!O303</f>
        <v>0</v>
      </c>
      <c r="S45" s="130">
        <f>+Actuals!P303</f>
        <v>0</v>
      </c>
      <c r="T45" s="129">
        <f>+Actuals!Q303</f>
        <v>0</v>
      </c>
      <c r="U45" s="130">
        <f>+Actuals!R303</f>
        <v>0</v>
      </c>
      <c r="V45" s="129">
        <f>+Actuals!S503</f>
        <v>0</v>
      </c>
      <c r="W45" s="130">
        <f>+Actuals!T503</f>
        <v>0</v>
      </c>
      <c r="X45" s="129">
        <f>+Actuals!U503</f>
        <v>0</v>
      </c>
      <c r="Y45" s="130">
        <f>+Actuals!V503</f>
        <v>0</v>
      </c>
      <c r="Z45" s="129">
        <f>+Actuals!W503</f>
        <v>0</v>
      </c>
      <c r="AA45" s="130">
        <f>+Actuals!X503</f>
        <v>0</v>
      </c>
      <c r="AB45" s="129">
        <f>+Actuals!Y503</f>
        <v>0</v>
      </c>
      <c r="AC45" s="130">
        <f>+Actuals!Z503</f>
        <v>0</v>
      </c>
      <c r="AD45" s="129">
        <f>+Actuals!AA303</f>
        <v>0</v>
      </c>
      <c r="AE45" s="130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9">
        <f>+Actuals!E304</f>
        <v>0</v>
      </c>
      <c r="I47" s="130">
        <f>+Actuals!F304</f>
        <v>0</v>
      </c>
      <c r="J47" s="129">
        <f>+Actuals!G304</f>
        <v>0</v>
      </c>
      <c r="K47" s="130">
        <f>+Actuals!H304</f>
        <v>0</v>
      </c>
      <c r="L47" s="129">
        <f>+Actuals!I304</f>
        <v>0</v>
      </c>
      <c r="M47" s="130">
        <f>+Actuals!J304</f>
        <v>0</v>
      </c>
      <c r="N47" s="129">
        <f>+Actuals!K304</f>
        <v>0</v>
      </c>
      <c r="O47" s="130">
        <f>+Actuals!L304</f>
        <v>0</v>
      </c>
      <c r="P47" s="129">
        <f>+Actuals!M304</f>
        <v>0</v>
      </c>
      <c r="Q47" s="130">
        <f>+Actuals!N304</f>
        <v>0</v>
      </c>
      <c r="R47" s="129">
        <f>+Actuals!O304</f>
        <v>0</v>
      </c>
      <c r="S47" s="130">
        <f>+Actuals!P304</f>
        <v>0</v>
      </c>
      <c r="T47" s="129">
        <f>+Actuals!Q304</f>
        <v>0</v>
      </c>
      <c r="U47" s="130">
        <f>+Actuals!R304</f>
        <v>0</v>
      </c>
      <c r="V47" s="129">
        <f>+Actuals!S504</f>
        <v>0</v>
      </c>
      <c r="W47" s="130">
        <f>+Actuals!T504</f>
        <v>0</v>
      </c>
      <c r="X47" s="129">
        <f>+Actuals!U504</f>
        <v>0</v>
      </c>
      <c r="Y47" s="130">
        <f>+Actuals!V504</f>
        <v>0</v>
      </c>
      <c r="Z47" s="129">
        <f>+Actuals!W504</f>
        <v>0</v>
      </c>
      <c r="AA47" s="130">
        <f>+Actuals!X504</f>
        <v>0</v>
      </c>
      <c r="AB47" s="129">
        <f>+Actuals!Y504</f>
        <v>0</v>
      </c>
      <c r="AC47" s="130">
        <f>+Actuals!Z504</f>
        <v>0</v>
      </c>
      <c r="AD47" s="129">
        <f>+Actuals!AA304</f>
        <v>0</v>
      </c>
      <c r="AE47" s="130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-39683</v>
      </c>
      <c r="E49" s="38">
        <f>SUM(G49,I49,K49,M49,O49,Q49,S49,U49,W49,Y49,AA49,AC49,AE49)</f>
        <v>-82540.640000000363</v>
      </c>
      <c r="F49" s="60">
        <f>'TIE-OUT'!N49+RECLASS!N49</f>
        <v>0</v>
      </c>
      <c r="G49" s="38">
        <f>'TIE-OUT'!O49+RECLASS!O49</f>
        <v>0</v>
      </c>
      <c r="H49" s="129">
        <f>+Actuals!E305</f>
        <v>-32616</v>
      </c>
      <c r="I49" s="130">
        <f>+Actuals!F305</f>
        <v>-67841.279999999999</v>
      </c>
      <c r="J49" s="129">
        <f>+Actuals!G305</f>
        <v>-40204</v>
      </c>
      <c r="K49" s="130">
        <f>+Actuals!H305</f>
        <v>-83624.320000000007</v>
      </c>
      <c r="L49" s="129">
        <f>+Actuals!I305</f>
        <v>630305</v>
      </c>
      <c r="M49" s="130">
        <f>+Actuals!J305</f>
        <v>1311034.3999999999</v>
      </c>
      <c r="N49" s="129">
        <f>+Actuals!K305</f>
        <v>-82894</v>
      </c>
      <c r="O49" s="130">
        <f>+Actuals!L305</f>
        <v>-172419.52</v>
      </c>
      <c r="P49" s="129">
        <f>+Actuals!M305</f>
        <v>-700</v>
      </c>
      <c r="Q49" s="130">
        <f>+Actuals!N305</f>
        <v>-1456</v>
      </c>
      <c r="R49" s="129">
        <f>+Actuals!O305</f>
        <v>0</v>
      </c>
      <c r="S49" s="130">
        <f>+Actuals!P305</f>
        <v>0</v>
      </c>
      <c r="T49" s="129">
        <f>+Actuals!Q305</f>
        <v>-516638</v>
      </c>
      <c r="U49" s="130">
        <f>+Actuals!R305</f>
        <v>-1074607.04</v>
      </c>
      <c r="V49" s="129">
        <f>+Actuals!S505</f>
        <v>519702</v>
      </c>
      <c r="W49" s="130">
        <f>+Actuals!T505</f>
        <v>1080980.1599999999</v>
      </c>
      <c r="X49" s="129">
        <f>+Actuals!U505</f>
        <v>0</v>
      </c>
      <c r="Y49" s="130">
        <f>+Actuals!V505</f>
        <v>0</v>
      </c>
      <c r="Z49" s="129">
        <f>+Actuals!W505</f>
        <v>-516638</v>
      </c>
      <c r="AA49" s="130">
        <f>+Actuals!X505</f>
        <v>-1074607.04</v>
      </c>
      <c r="AB49" s="129">
        <f>+Actuals!Y505</f>
        <v>0</v>
      </c>
      <c r="AC49" s="130">
        <f>+Actuals!Z505</f>
        <v>0</v>
      </c>
      <c r="AD49" s="129">
        <f>+Actuals!AA305</f>
        <v>0</v>
      </c>
      <c r="AE49" s="130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-290422</v>
      </c>
      <c r="E51" s="38">
        <f>SUM(G51,I51,K51,M51,O51,Q51,S51,U51,W51,Y51,AA51,AC51,AE51)</f>
        <v>-604077.75999999989</v>
      </c>
      <c r="F51" s="60">
        <f>'TIE-OUT'!N51+RECLASS!N51</f>
        <v>0</v>
      </c>
      <c r="G51" s="38">
        <f>'TIE-OUT'!O51+RECLASS!O51</f>
        <v>0</v>
      </c>
      <c r="H51" s="129">
        <f>+Actuals!E306</f>
        <v>-279890</v>
      </c>
      <c r="I51" s="130">
        <f>+Actuals!F306</f>
        <v>-582171.19999999995</v>
      </c>
      <c r="J51" s="129">
        <f>+Actuals!G306</f>
        <v>-10545</v>
      </c>
      <c r="K51" s="130">
        <f>+Actuals!H306</f>
        <v>-21933.599999999999</v>
      </c>
      <c r="L51" s="129">
        <f>+Actuals!I306</f>
        <v>0</v>
      </c>
      <c r="M51" s="130">
        <f>+Actuals!J306</f>
        <v>0</v>
      </c>
      <c r="N51" s="129">
        <f>+Actuals!K306</f>
        <v>13</v>
      </c>
      <c r="O51" s="130">
        <f>+Actuals!L306</f>
        <v>27.04</v>
      </c>
      <c r="P51" s="129">
        <f>+Actuals!M306</f>
        <v>0</v>
      </c>
      <c r="Q51" s="130">
        <f>+Actuals!N306</f>
        <v>0</v>
      </c>
      <c r="R51" s="129">
        <f>+Actuals!O306</f>
        <v>0</v>
      </c>
      <c r="S51" s="130">
        <f>+Actuals!P306</f>
        <v>0</v>
      </c>
      <c r="T51" s="129">
        <f>+Actuals!Q306</f>
        <v>0</v>
      </c>
      <c r="U51" s="130">
        <f>+Actuals!R306</f>
        <v>0</v>
      </c>
      <c r="V51" s="129">
        <f>+Actuals!S506</f>
        <v>0</v>
      </c>
      <c r="W51" s="130">
        <f>+Actuals!T506</f>
        <v>0</v>
      </c>
      <c r="X51" s="129">
        <f>+Actuals!U506</f>
        <v>0</v>
      </c>
      <c r="Y51" s="130">
        <f>+Actuals!V506</f>
        <v>0</v>
      </c>
      <c r="Z51" s="129">
        <f>+Actuals!W506</f>
        <v>0</v>
      </c>
      <c r="AA51" s="130">
        <f>+Actuals!X506</f>
        <v>0</v>
      </c>
      <c r="AB51" s="129">
        <f>+Actuals!Y506</f>
        <v>0</v>
      </c>
      <c r="AC51" s="130">
        <f>+Actuals!Z506</f>
        <v>0</v>
      </c>
      <c r="AD51" s="129">
        <f>+Actuals!AA306</f>
        <v>0</v>
      </c>
      <c r="AE51" s="130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-11109229</v>
      </c>
      <c r="E54" s="38">
        <f>SUM(G54,I54,K54,M54,O54,Q54,S54,U54,W54,Y54,AA54,AC54,AE54)</f>
        <v>-241577.63</v>
      </c>
      <c r="F54" s="64">
        <f>'TIE-OUT'!N54+RECLASS!N54</f>
        <v>0</v>
      </c>
      <c r="G54" s="68">
        <f>'TIE-OUT'!O54+RECLASS!O54</f>
        <v>0</v>
      </c>
      <c r="H54" s="129">
        <f>+Actuals!E307</f>
        <v>-11109229</v>
      </c>
      <c r="I54" s="130">
        <f>+Actuals!F307</f>
        <v>-232774.96</v>
      </c>
      <c r="J54" s="129">
        <f>+Actuals!G307</f>
        <v>0</v>
      </c>
      <c r="K54" s="130">
        <f>+Actuals!H307</f>
        <v>-18014.919999999998</v>
      </c>
      <c r="L54" s="129">
        <f>+Actuals!I307</f>
        <v>0</v>
      </c>
      <c r="M54" s="130">
        <f>+Actuals!J307</f>
        <v>7201.25</v>
      </c>
      <c r="N54" s="129">
        <f>+Actuals!K307</f>
        <v>0</v>
      </c>
      <c r="O54" s="130">
        <f>+Actuals!L307</f>
        <v>4.83</v>
      </c>
      <c r="P54" s="129">
        <f>+Actuals!M307</f>
        <v>0</v>
      </c>
      <c r="Q54" s="130">
        <f>+Actuals!N307</f>
        <v>0</v>
      </c>
      <c r="R54" s="129">
        <f>+Actuals!O307</f>
        <v>0</v>
      </c>
      <c r="S54" s="130">
        <f>+Actuals!P307</f>
        <v>0</v>
      </c>
      <c r="T54" s="129">
        <f>+Actuals!Q307</f>
        <v>0</v>
      </c>
      <c r="U54" s="130">
        <f>+Actuals!R307</f>
        <v>0</v>
      </c>
      <c r="V54" s="129">
        <f>+Actuals!S507</f>
        <v>0</v>
      </c>
      <c r="W54" s="130">
        <f>+Actuals!T507</f>
        <v>0</v>
      </c>
      <c r="X54" s="129">
        <f>+Actuals!U507</f>
        <v>0</v>
      </c>
      <c r="Y54" s="130">
        <f>+Actuals!V507</f>
        <v>2006.17</v>
      </c>
      <c r="Z54" s="129">
        <f>+Actuals!W507</f>
        <v>0</v>
      </c>
      <c r="AA54" s="130">
        <f>+Actuals!X507</f>
        <v>0</v>
      </c>
      <c r="AB54" s="129">
        <f>+Actuals!Y507</f>
        <v>0</v>
      </c>
      <c r="AC54" s="130">
        <f>+Actuals!Z507</f>
        <v>0</v>
      </c>
      <c r="AD54" s="129">
        <f>+Actuals!AA307</f>
        <v>0</v>
      </c>
      <c r="AE54" s="130">
        <f>+Actuals!AB307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-1495894.56</v>
      </c>
      <c r="F55" s="81">
        <f>'TIE-OUT'!N55+RECLASS!N55</f>
        <v>0</v>
      </c>
      <c r="G55" s="82">
        <f>'TIE-OUT'!O55+RECLASS!O55</f>
        <v>1125789</v>
      </c>
      <c r="H55" s="129">
        <f>+Actuals!E308</f>
        <v>0</v>
      </c>
      <c r="I55" s="130">
        <f>+Actuals!F308</f>
        <v>-2630767.09</v>
      </c>
      <c r="J55" s="129">
        <f>+Actuals!G308</f>
        <v>0</v>
      </c>
      <c r="K55" s="130">
        <f>+Actuals!H308</f>
        <v>18802.64</v>
      </c>
      <c r="L55" s="129">
        <f>+Actuals!I308</f>
        <v>0</v>
      </c>
      <c r="M55" s="130">
        <f>+Actuals!J308</f>
        <v>-0.01</v>
      </c>
      <c r="N55" s="129">
        <f>+Actuals!K308</f>
        <v>0</v>
      </c>
      <c r="O55" s="130">
        <f>+Actuals!L308</f>
        <v>0</v>
      </c>
      <c r="P55" s="129">
        <f>+Actuals!M308</f>
        <v>0</v>
      </c>
      <c r="Q55" s="130">
        <f>+Actuals!N308</f>
        <v>0</v>
      </c>
      <c r="R55" s="129">
        <f>+Actuals!O308</f>
        <v>0</v>
      </c>
      <c r="S55" s="130">
        <f>+Actuals!P308</f>
        <v>0</v>
      </c>
      <c r="T55" s="129">
        <f>+Actuals!Q308</f>
        <v>0</v>
      </c>
      <c r="U55" s="130">
        <f>+Actuals!R308</f>
        <v>0</v>
      </c>
      <c r="V55" s="129">
        <f>+Actuals!S508</f>
        <v>0</v>
      </c>
      <c r="W55" s="130">
        <f>+Actuals!T508</f>
        <v>0</v>
      </c>
      <c r="X55" s="129">
        <f>+Actuals!U508</f>
        <v>0</v>
      </c>
      <c r="Y55" s="130">
        <f>+Actuals!V508</f>
        <v>-9719.1</v>
      </c>
      <c r="Z55" s="129">
        <f>+Actuals!W508</f>
        <v>0</v>
      </c>
      <c r="AA55" s="130">
        <f>+Actuals!X508</f>
        <v>0</v>
      </c>
      <c r="AB55" s="129">
        <f>+Actuals!Y508</f>
        <v>0</v>
      </c>
      <c r="AC55" s="130">
        <f>+Actuals!Z508</f>
        <v>0</v>
      </c>
      <c r="AD55" s="129">
        <f>+Actuals!AA308</f>
        <v>0</v>
      </c>
      <c r="AE55" s="130">
        <f>+Actuals!AB308</f>
        <v>0</v>
      </c>
    </row>
    <row r="56" spans="1:31" x14ac:dyDescent="0.2">
      <c r="A56" s="9"/>
      <c r="B56" s="7" t="s">
        <v>60</v>
      </c>
      <c r="C56" s="6"/>
      <c r="D56" s="61">
        <f t="shared" ref="D56:AE56" si="16">SUM(D54:D55)</f>
        <v>-11109229</v>
      </c>
      <c r="E56" s="39">
        <f t="shared" si="16"/>
        <v>-1737472.19</v>
      </c>
      <c r="F56" s="61">
        <f t="shared" si="16"/>
        <v>0</v>
      </c>
      <c r="G56" s="39">
        <f t="shared" si="16"/>
        <v>1125789</v>
      </c>
      <c r="H56" s="61">
        <f t="shared" si="16"/>
        <v>-11109229</v>
      </c>
      <c r="I56" s="39">
        <f t="shared" si="16"/>
        <v>-2863542.05</v>
      </c>
      <c r="J56" s="61">
        <f t="shared" si="16"/>
        <v>0</v>
      </c>
      <c r="K56" s="39">
        <f t="shared" si="16"/>
        <v>787.72000000000116</v>
      </c>
      <c r="L56" s="61">
        <f t="shared" si="16"/>
        <v>0</v>
      </c>
      <c r="M56" s="39">
        <f t="shared" si="16"/>
        <v>7201.24</v>
      </c>
      <c r="N56" s="61">
        <f t="shared" si="16"/>
        <v>0</v>
      </c>
      <c r="O56" s="39">
        <f t="shared" si="16"/>
        <v>4.83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ref="X56:AC56" si="17">SUM(X54:X55)</f>
        <v>0</v>
      </c>
      <c r="Y56" s="39">
        <f t="shared" si="17"/>
        <v>-7712.93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9">
        <f>+Actuals!E309</f>
        <v>0</v>
      </c>
      <c r="I59" s="130">
        <f>+Actuals!F309</f>
        <v>0</v>
      </c>
      <c r="J59" s="129">
        <f>+Actuals!G309</f>
        <v>0</v>
      </c>
      <c r="K59" s="130">
        <f>+Actuals!H309</f>
        <v>0</v>
      </c>
      <c r="L59" s="129">
        <f>+Actuals!I309</f>
        <v>0</v>
      </c>
      <c r="M59" s="130">
        <f>+Actuals!J309</f>
        <v>0</v>
      </c>
      <c r="N59" s="129">
        <f>+Actuals!K309</f>
        <v>0</v>
      </c>
      <c r="O59" s="130">
        <f>+Actuals!L309</f>
        <v>0</v>
      </c>
      <c r="P59" s="129">
        <f>+Actuals!M309</f>
        <v>0</v>
      </c>
      <c r="Q59" s="130">
        <f>+Actuals!N309</f>
        <v>0</v>
      </c>
      <c r="R59" s="129">
        <f>+Actuals!O309</f>
        <v>0</v>
      </c>
      <c r="S59" s="130">
        <f>+Actuals!P309</f>
        <v>0</v>
      </c>
      <c r="T59" s="129">
        <f>+Actuals!Q309</f>
        <v>0</v>
      </c>
      <c r="U59" s="130">
        <f>+Actuals!R309</f>
        <v>0</v>
      </c>
      <c r="V59" s="129">
        <f>+Actuals!S509</f>
        <v>0</v>
      </c>
      <c r="W59" s="130">
        <f>+Actuals!T509</f>
        <v>0</v>
      </c>
      <c r="X59" s="129">
        <f>+Actuals!U509</f>
        <v>0</v>
      </c>
      <c r="Y59" s="130">
        <f>+Actuals!V509</f>
        <v>0</v>
      </c>
      <c r="Z59" s="129">
        <f>+Actuals!W509</f>
        <v>0</v>
      </c>
      <c r="AA59" s="130">
        <f>+Actuals!X509</f>
        <v>0</v>
      </c>
      <c r="AB59" s="129">
        <f>+Actuals!Y509</f>
        <v>0</v>
      </c>
      <c r="AC59" s="130">
        <f>+Actuals!Z509</f>
        <v>0</v>
      </c>
      <c r="AD59" s="129">
        <f>+Actuals!AA309</f>
        <v>0</v>
      </c>
      <c r="AE59" s="130">
        <f>+Actuals!AB309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9">
        <f>+Actuals!E310</f>
        <v>0</v>
      </c>
      <c r="I60" s="130">
        <f>+Actuals!F310</f>
        <v>0</v>
      </c>
      <c r="J60" s="129">
        <f>+Actuals!G310</f>
        <v>0</v>
      </c>
      <c r="K60" s="130">
        <f>+Actuals!H310</f>
        <v>0</v>
      </c>
      <c r="L60" s="129">
        <f>+Actuals!I310</f>
        <v>0</v>
      </c>
      <c r="M60" s="130">
        <f>+Actuals!J310</f>
        <v>0</v>
      </c>
      <c r="N60" s="129">
        <f>+Actuals!K310</f>
        <v>0</v>
      </c>
      <c r="O60" s="130">
        <f>+Actuals!L310</f>
        <v>0</v>
      </c>
      <c r="P60" s="129">
        <f>+Actuals!M310</f>
        <v>0</v>
      </c>
      <c r="Q60" s="130">
        <f>+Actuals!N310</f>
        <v>0</v>
      </c>
      <c r="R60" s="129">
        <f>+Actuals!O310</f>
        <v>0</v>
      </c>
      <c r="S60" s="130">
        <f>+Actuals!P310</f>
        <v>0</v>
      </c>
      <c r="T60" s="129">
        <f>+Actuals!Q310</f>
        <v>0</v>
      </c>
      <c r="U60" s="130">
        <f>+Actuals!R310</f>
        <v>0</v>
      </c>
      <c r="V60" s="129">
        <f>+Actuals!S510</f>
        <v>0</v>
      </c>
      <c r="W60" s="130">
        <f>+Actuals!T510</f>
        <v>0</v>
      </c>
      <c r="X60" s="129">
        <f>+Actuals!U510</f>
        <v>0</v>
      </c>
      <c r="Y60" s="130">
        <f>+Actuals!V510</f>
        <v>0</v>
      </c>
      <c r="Z60" s="129">
        <f>+Actuals!W510</f>
        <v>0</v>
      </c>
      <c r="AA60" s="130">
        <f>+Actuals!X510</f>
        <v>0</v>
      </c>
      <c r="AB60" s="129">
        <f>+Actuals!Y510</f>
        <v>0</v>
      </c>
      <c r="AC60" s="130">
        <f>+Actuals!Z510</f>
        <v>0</v>
      </c>
      <c r="AD60" s="129">
        <f>+Actuals!AA310</f>
        <v>0</v>
      </c>
      <c r="AE60" s="130">
        <f>+Actuals!AB310</f>
        <v>0</v>
      </c>
    </row>
    <row r="61" spans="1:31" x14ac:dyDescent="0.2">
      <c r="A61" s="9"/>
      <c r="B61" s="62" t="s">
        <v>64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9">
        <f>+Actuals!E311</f>
        <v>0</v>
      </c>
      <c r="I64" s="130">
        <f>+Actuals!F311</f>
        <v>0</v>
      </c>
      <c r="J64" s="129">
        <f>+Actuals!G311</f>
        <v>0</v>
      </c>
      <c r="K64" s="130">
        <f>+Actuals!H311</f>
        <v>0</v>
      </c>
      <c r="L64" s="129">
        <f>+Actuals!I311</f>
        <v>0</v>
      </c>
      <c r="M64" s="130">
        <f>+Actuals!J311</f>
        <v>0</v>
      </c>
      <c r="N64" s="129">
        <f>+Actuals!K311</f>
        <v>0</v>
      </c>
      <c r="O64" s="130">
        <f>+Actuals!L311</f>
        <v>0</v>
      </c>
      <c r="P64" s="129">
        <f>+Actuals!M311</f>
        <v>0</v>
      </c>
      <c r="Q64" s="130">
        <f>+Actuals!N311</f>
        <v>0</v>
      </c>
      <c r="R64" s="129">
        <f>+Actuals!O311</f>
        <v>0</v>
      </c>
      <c r="S64" s="130">
        <f>+Actuals!P311</f>
        <v>0</v>
      </c>
      <c r="T64" s="129">
        <f>+Actuals!Q311</f>
        <v>0</v>
      </c>
      <c r="U64" s="130">
        <f>+Actuals!R311</f>
        <v>0</v>
      </c>
      <c r="V64" s="129">
        <f>+Actuals!S511</f>
        <v>0</v>
      </c>
      <c r="W64" s="130">
        <f>+Actuals!T511</f>
        <v>0</v>
      </c>
      <c r="X64" s="129">
        <f>+Actuals!U511</f>
        <v>0</v>
      </c>
      <c r="Y64" s="130">
        <f>+Actuals!V511</f>
        <v>0</v>
      </c>
      <c r="Z64" s="129">
        <f>+Actuals!W511</f>
        <v>0</v>
      </c>
      <c r="AA64" s="130">
        <f>+Actuals!X511</f>
        <v>0</v>
      </c>
      <c r="AB64" s="129">
        <f>+Actuals!Y511</f>
        <v>0</v>
      </c>
      <c r="AC64" s="130">
        <f>+Actuals!Z511</f>
        <v>0</v>
      </c>
      <c r="AD64" s="129">
        <f>+Actuals!AA311</f>
        <v>0</v>
      </c>
      <c r="AE64" s="130">
        <f>+Actuals!AB311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9">
        <f>+Actuals!E312</f>
        <v>0</v>
      </c>
      <c r="I65" s="130">
        <f>+Actuals!F312</f>
        <v>0</v>
      </c>
      <c r="J65" s="129">
        <f>+Actuals!G312</f>
        <v>0</v>
      </c>
      <c r="K65" s="130">
        <f>+Actuals!H312</f>
        <v>0</v>
      </c>
      <c r="L65" s="129">
        <f>+Actuals!I312</f>
        <v>0</v>
      </c>
      <c r="M65" s="130">
        <f>+Actuals!J312</f>
        <v>0</v>
      </c>
      <c r="N65" s="129">
        <f>+Actuals!K312</f>
        <v>0</v>
      </c>
      <c r="O65" s="130">
        <f>+Actuals!L312</f>
        <v>0</v>
      </c>
      <c r="P65" s="129">
        <f>+Actuals!M312</f>
        <v>0</v>
      </c>
      <c r="Q65" s="130">
        <f>+Actuals!N312</f>
        <v>0</v>
      </c>
      <c r="R65" s="129">
        <f>+Actuals!O312</f>
        <v>0</v>
      </c>
      <c r="S65" s="130">
        <f>+Actuals!P312</f>
        <v>0</v>
      </c>
      <c r="T65" s="129">
        <f>+Actuals!Q312</f>
        <v>0</v>
      </c>
      <c r="U65" s="130">
        <f>+Actuals!R312</f>
        <v>0</v>
      </c>
      <c r="V65" s="129">
        <f>+Actuals!S512</f>
        <v>0</v>
      </c>
      <c r="W65" s="130">
        <f>+Actuals!T512</f>
        <v>0</v>
      </c>
      <c r="X65" s="129">
        <f>+Actuals!U512</f>
        <v>0</v>
      </c>
      <c r="Y65" s="130">
        <f>+Actuals!V512</f>
        <v>0</v>
      </c>
      <c r="Z65" s="129">
        <f>+Actuals!W512</f>
        <v>0</v>
      </c>
      <c r="AA65" s="130">
        <f>+Actuals!X512</f>
        <v>0</v>
      </c>
      <c r="AB65" s="129">
        <f>+Actuals!Y512</f>
        <v>0</v>
      </c>
      <c r="AC65" s="130">
        <f>+Actuals!Z512</f>
        <v>0</v>
      </c>
      <c r="AD65" s="129">
        <f>+Actuals!AA312</f>
        <v>0</v>
      </c>
      <c r="AE65" s="130">
        <f>+Actuals!AB312</f>
        <v>0</v>
      </c>
    </row>
    <row r="66" spans="1:31" x14ac:dyDescent="0.2">
      <c r="A66" s="9"/>
      <c r="B66" s="7" t="s">
        <v>67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2029682</v>
      </c>
      <c r="F70" s="64">
        <f>'TIE-OUT'!N70+RECLASS!N70</f>
        <v>0</v>
      </c>
      <c r="G70" s="68">
        <f>'TIE-OUT'!O70+RECLASS!O70</f>
        <v>2029682</v>
      </c>
      <c r="H70" s="129">
        <f>+Actuals!E313</f>
        <v>0</v>
      </c>
      <c r="I70" s="130">
        <f>+Actuals!F313</f>
        <v>0</v>
      </c>
      <c r="J70" s="129">
        <f>+Actuals!G313</f>
        <v>0</v>
      </c>
      <c r="K70" s="130">
        <f>+Actuals!H313</f>
        <v>0</v>
      </c>
      <c r="L70" s="129">
        <f>+Actuals!I313</f>
        <v>0</v>
      </c>
      <c r="M70" s="130">
        <f>+Actuals!J313</f>
        <v>0</v>
      </c>
      <c r="N70" s="129">
        <f>+Actuals!K313</f>
        <v>0</v>
      </c>
      <c r="O70" s="130">
        <f>+Actuals!L313</f>
        <v>0</v>
      </c>
      <c r="P70" s="129">
        <f>+Actuals!M313</f>
        <v>0</v>
      </c>
      <c r="Q70" s="130">
        <f>+Actuals!N313</f>
        <v>0</v>
      </c>
      <c r="R70" s="129">
        <f>+Actuals!O313</f>
        <v>0</v>
      </c>
      <c r="S70" s="130">
        <f>+Actuals!P313</f>
        <v>0</v>
      </c>
      <c r="T70" s="129">
        <f>+Actuals!Q313</f>
        <v>0</v>
      </c>
      <c r="U70" s="130">
        <f>+Actuals!R313</f>
        <v>0</v>
      </c>
      <c r="V70" s="129">
        <f>+Actuals!S513</f>
        <v>0</v>
      </c>
      <c r="W70" s="130">
        <f>+Actuals!T513</f>
        <v>0</v>
      </c>
      <c r="X70" s="129">
        <f>+Actuals!U513</f>
        <v>0</v>
      </c>
      <c r="Y70" s="130">
        <f>+Actuals!V513</f>
        <v>0</v>
      </c>
      <c r="Z70" s="129">
        <f>+Actuals!W513</f>
        <v>0</v>
      </c>
      <c r="AA70" s="130">
        <f>+Actuals!X513</f>
        <v>0</v>
      </c>
      <c r="AB70" s="129">
        <f>+Actuals!Y513</f>
        <v>0</v>
      </c>
      <c r="AC70" s="130">
        <f>+Actuals!Z513</f>
        <v>0</v>
      </c>
      <c r="AD70" s="129">
        <f>+Actuals!AA313</f>
        <v>0</v>
      </c>
      <c r="AE70" s="130">
        <f>+Actuals!AB313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-1493640</v>
      </c>
      <c r="F71" s="81">
        <f>'TIE-OUT'!N71+RECLASS!N71</f>
        <v>0</v>
      </c>
      <c r="G71" s="82">
        <f>'TIE-OUT'!O71+RECLASS!O71</f>
        <v>-1493640</v>
      </c>
      <c r="H71" s="129">
        <f>+Actuals!E314</f>
        <v>0</v>
      </c>
      <c r="I71" s="130">
        <f>+Actuals!F314</f>
        <v>0</v>
      </c>
      <c r="J71" s="129">
        <f>+Actuals!G314</f>
        <v>0</v>
      </c>
      <c r="K71" s="130">
        <f>+Actuals!H314</f>
        <v>0</v>
      </c>
      <c r="L71" s="129">
        <f>+Actuals!I314</f>
        <v>0</v>
      </c>
      <c r="M71" s="130">
        <f>+Actuals!J314</f>
        <v>0</v>
      </c>
      <c r="N71" s="129">
        <f>+Actuals!K314</f>
        <v>0</v>
      </c>
      <c r="O71" s="130">
        <f>+Actuals!L314</f>
        <v>0</v>
      </c>
      <c r="P71" s="129">
        <f>+Actuals!M314</f>
        <v>0</v>
      </c>
      <c r="Q71" s="130">
        <f>+Actuals!N314</f>
        <v>0</v>
      </c>
      <c r="R71" s="129">
        <f>+Actuals!O314</f>
        <v>0</v>
      </c>
      <c r="S71" s="130">
        <f>+Actuals!P314</f>
        <v>0</v>
      </c>
      <c r="T71" s="129">
        <f>+Actuals!Q314</f>
        <v>0</v>
      </c>
      <c r="U71" s="130">
        <f>+Actuals!R314</f>
        <v>0</v>
      </c>
      <c r="V71" s="129">
        <f>+Actuals!S514</f>
        <v>0</v>
      </c>
      <c r="W71" s="130">
        <f>+Actuals!T514</f>
        <v>0</v>
      </c>
      <c r="X71" s="129">
        <f>+Actuals!U514</f>
        <v>0</v>
      </c>
      <c r="Y71" s="130">
        <f>+Actuals!V514</f>
        <v>0</v>
      </c>
      <c r="Z71" s="129">
        <f>+Actuals!W514</f>
        <v>0</v>
      </c>
      <c r="AA71" s="130">
        <f>+Actuals!X514</f>
        <v>0</v>
      </c>
      <c r="AB71" s="129">
        <f>+Actuals!Y514</f>
        <v>0</v>
      </c>
      <c r="AC71" s="130">
        <f>+Actuals!Z514</f>
        <v>0</v>
      </c>
      <c r="AD71" s="129">
        <f>+Actuals!AA314</f>
        <v>0</v>
      </c>
      <c r="AE71" s="130">
        <f>+Actuals!AB314</f>
        <v>0</v>
      </c>
    </row>
    <row r="72" spans="1:31" x14ac:dyDescent="0.2">
      <c r="A72" s="9"/>
      <c r="B72" s="3"/>
      <c r="C72" s="55" t="s">
        <v>72</v>
      </c>
      <c r="D72" s="61">
        <f t="shared" ref="D72:AE72" si="22">SUM(D70:D71)</f>
        <v>0</v>
      </c>
      <c r="E72" s="39">
        <f t="shared" si="22"/>
        <v>536042</v>
      </c>
      <c r="F72" s="61">
        <f t="shared" si="22"/>
        <v>0</v>
      </c>
      <c r="G72" s="39">
        <f t="shared" si="22"/>
        <v>536042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9">
        <f>+Actuals!E315</f>
        <v>0</v>
      </c>
      <c r="I73" s="130">
        <f>+Actuals!F315</f>
        <v>0</v>
      </c>
      <c r="J73" s="129">
        <f>+Actuals!G315</f>
        <v>0</v>
      </c>
      <c r="K73" s="130">
        <f>+Actuals!H315</f>
        <v>0</v>
      </c>
      <c r="L73" s="129">
        <f>+Actuals!I315</f>
        <v>0</v>
      </c>
      <c r="M73" s="130">
        <f>+Actuals!J315</f>
        <v>0</v>
      </c>
      <c r="N73" s="129">
        <f>+Actuals!K315</f>
        <v>0</v>
      </c>
      <c r="O73" s="130">
        <f>+Actuals!L315</f>
        <v>0</v>
      </c>
      <c r="P73" s="129">
        <f>+Actuals!M315</f>
        <v>0</v>
      </c>
      <c r="Q73" s="130">
        <f>+Actuals!N315</f>
        <v>0</v>
      </c>
      <c r="R73" s="129">
        <f>+Actuals!O315</f>
        <v>0</v>
      </c>
      <c r="S73" s="130">
        <f>+Actuals!P315</f>
        <v>0</v>
      </c>
      <c r="T73" s="129">
        <f>+Actuals!Q315</f>
        <v>0</v>
      </c>
      <c r="U73" s="130">
        <f>+Actuals!R315</f>
        <v>0</v>
      </c>
      <c r="V73" s="129">
        <f>+Actuals!S515</f>
        <v>0</v>
      </c>
      <c r="W73" s="130">
        <f>+Actuals!T515</f>
        <v>0</v>
      </c>
      <c r="X73" s="129">
        <f>+Actuals!U515</f>
        <v>0</v>
      </c>
      <c r="Y73" s="130">
        <f>+Actuals!V515</f>
        <v>0</v>
      </c>
      <c r="Z73" s="129">
        <f>+Actuals!W515</f>
        <v>0</v>
      </c>
      <c r="AA73" s="130">
        <f>+Actuals!X515</f>
        <v>0</v>
      </c>
      <c r="AB73" s="129">
        <f>+Actuals!Y515</f>
        <v>0</v>
      </c>
      <c r="AC73" s="130">
        <f>+Actuals!Z515</f>
        <v>0</v>
      </c>
      <c r="AD73" s="129">
        <f>+Actuals!AA315</f>
        <v>0</v>
      </c>
      <c r="AE73" s="130">
        <f>+Actuals!AB315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-73631.049999999988</v>
      </c>
      <c r="F74" s="60">
        <f>'TIE-OUT'!N74+RECLASS!N74</f>
        <v>0</v>
      </c>
      <c r="G74" s="60">
        <f>'TIE-OUT'!O74+RECLASS!O74</f>
        <v>67828</v>
      </c>
      <c r="H74" s="129">
        <f>+Actuals!E316</f>
        <v>0</v>
      </c>
      <c r="I74" s="130">
        <f>+Actuals!F316+132511</f>
        <v>132511</v>
      </c>
      <c r="J74" s="129">
        <f>+Actuals!G316</f>
        <v>0</v>
      </c>
      <c r="K74" s="159">
        <f>-132511-141459.05</f>
        <v>-273970.05</v>
      </c>
      <c r="L74" s="129">
        <f>+Actuals!I316</f>
        <v>0</v>
      </c>
      <c r="M74" s="130">
        <f>+Actuals!J316</f>
        <v>0</v>
      </c>
      <c r="N74" s="129">
        <f>+Actuals!K316</f>
        <v>0</v>
      </c>
      <c r="O74" s="130">
        <f>+Actuals!L316</f>
        <v>0</v>
      </c>
      <c r="P74" s="129">
        <f>+Actuals!M316</f>
        <v>0</v>
      </c>
      <c r="Q74" s="130">
        <f>+Actuals!N316</f>
        <v>0</v>
      </c>
      <c r="R74" s="129">
        <f>+Actuals!O316</f>
        <v>0</v>
      </c>
      <c r="S74" s="130">
        <f>+Actuals!P316</f>
        <v>0</v>
      </c>
      <c r="T74" s="129">
        <f>+Actuals!Q316</f>
        <v>0</v>
      </c>
      <c r="U74" s="130">
        <f>+Actuals!R316</f>
        <v>0</v>
      </c>
      <c r="V74" s="129">
        <f>+Actuals!S516</f>
        <v>0</v>
      </c>
      <c r="W74" s="130">
        <f>+Actuals!T516</f>
        <v>0</v>
      </c>
      <c r="X74" s="129">
        <f>+Actuals!U516</f>
        <v>0</v>
      </c>
      <c r="Y74" s="130">
        <f>+Actuals!V516</f>
        <v>0</v>
      </c>
      <c r="Z74" s="129">
        <f>+Actuals!W516</f>
        <v>0</v>
      </c>
      <c r="AA74" s="130">
        <f>+Actuals!X516</f>
        <v>0</v>
      </c>
      <c r="AB74" s="129">
        <f>+Actuals!Y516</f>
        <v>0</v>
      </c>
      <c r="AC74" s="130">
        <f>+Actuals!Z516</f>
        <v>0</v>
      </c>
      <c r="AD74" s="129">
        <f>+Actuals!AA316</f>
        <v>0</v>
      </c>
      <c r="AE74" s="130">
        <f>+Actuals!AB316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0</v>
      </c>
      <c r="F75" s="60">
        <f>'TIE-OUT'!N75+RECLASS!N75</f>
        <v>0</v>
      </c>
      <c r="G75" s="60">
        <f>'TIE-OUT'!O75+RECLASS!O75</f>
        <v>0</v>
      </c>
      <c r="H75" s="129">
        <f>+Actuals!E317</f>
        <v>0</v>
      </c>
      <c r="I75" s="130">
        <f>+Actuals!F317</f>
        <v>0</v>
      </c>
      <c r="J75" s="129">
        <f>+Actuals!G317</f>
        <v>0</v>
      </c>
      <c r="K75" s="130">
        <f>+Actuals!H317</f>
        <v>0</v>
      </c>
      <c r="L75" s="129">
        <f>+Actuals!I317</f>
        <v>0</v>
      </c>
      <c r="M75" s="130">
        <f>+Actuals!J317</f>
        <v>0</v>
      </c>
      <c r="N75" s="129">
        <f>+Actuals!K317</f>
        <v>0</v>
      </c>
      <c r="O75" s="130">
        <f>+Actuals!L317</f>
        <v>0</v>
      </c>
      <c r="P75" s="129">
        <f>+Actuals!M317</f>
        <v>0</v>
      </c>
      <c r="Q75" s="130">
        <f>+Actuals!N317</f>
        <v>0</v>
      </c>
      <c r="R75" s="129">
        <f>+Actuals!O317</f>
        <v>0</v>
      </c>
      <c r="S75" s="130">
        <f>+Actuals!P317</f>
        <v>0</v>
      </c>
      <c r="T75" s="129">
        <f>+Actuals!Q317</f>
        <v>0</v>
      </c>
      <c r="U75" s="130">
        <f>+Actuals!R317</f>
        <v>0</v>
      </c>
      <c r="V75" s="129">
        <f>+Actuals!S517</f>
        <v>0</v>
      </c>
      <c r="W75" s="130">
        <f>+Actuals!T517</f>
        <v>0</v>
      </c>
      <c r="X75" s="129">
        <f>+Actuals!U517</f>
        <v>0</v>
      </c>
      <c r="Y75" s="130">
        <f>+Actuals!V517</f>
        <v>0</v>
      </c>
      <c r="Z75" s="129">
        <f>+Actuals!W517</f>
        <v>0</v>
      </c>
      <c r="AA75" s="130">
        <f>+Actuals!X517</f>
        <v>0</v>
      </c>
      <c r="AB75" s="129">
        <f>+Actuals!Y517</f>
        <v>0</v>
      </c>
      <c r="AC75" s="130">
        <f>+Actuals!Z517</f>
        <v>0</v>
      </c>
      <c r="AD75" s="129">
        <f>+Actuals!AA317</f>
        <v>0</v>
      </c>
      <c r="AE75" s="130">
        <f>+Actuals!AB317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-23472.43</v>
      </c>
      <c r="F76" s="60">
        <f>'TIE-OUT'!N76+RECLASS!N76</f>
        <v>0</v>
      </c>
      <c r="G76" s="60">
        <f>'TIE-OUT'!O76+RECLASS!O76</f>
        <v>0</v>
      </c>
      <c r="H76" s="129">
        <f>+Actuals!E318</f>
        <v>0</v>
      </c>
      <c r="I76" s="130">
        <f>+Actuals!F318</f>
        <v>0</v>
      </c>
      <c r="J76" s="129">
        <f>+Actuals!G318</f>
        <v>0</v>
      </c>
      <c r="K76" s="130">
        <f>+Actuals!H318</f>
        <v>-23472.43</v>
      </c>
      <c r="L76" s="129">
        <f>+Actuals!I318</f>
        <v>0</v>
      </c>
      <c r="M76" s="130">
        <f>+Actuals!J318</f>
        <v>0</v>
      </c>
      <c r="N76" s="129">
        <f>+Actuals!K318</f>
        <v>0</v>
      </c>
      <c r="O76" s="130">
        <f>+Actuals!L318</f>
        <v>0</v>
      </c>
      <c r="P76" s="129">
        <f>+Actuals!M318</f>
        <v>0</v>
      </c>
      <c r="Q76" s="130">
        <f>+Actuals!N318</f>
        <v>0</v>
      </c>
      <c r="R76" s="129">
        <f>+Actuals!O318</f>
        <v>0</v>
      </c>
      <c r="S76" s="130">
        <f>+Actuals!P318</f>
        <v>0</v>
      </c>
      <c r="T76" s="129">
        <f>+Actuals!Q318</f>
        <v>0</v>
      </c>
      <c r="U76" s="130">
        <f>+Actuals!R318</f>
        <v>0</v>
      </c>
      <c r="V76" s="129">
        <f>+Actuals!S518</f>
        <v>0</v>
      </c>
      <c r="W76" s="130">
        <f>+Actuals!T518</f>
        <v>0</v>
      </c>
      <c r="X76" s="129">
        <f>+Actuals!U518</f>
        <v>0</v>
      </c>
      <c r="Y76" s="130">
        <f>+Actuals!V518</f>
        <v>0</v>
      </c>
      <c r="Z76" s="129">
        <f>+Actuals!W518</f>
        <v>0</v>
      </c>
      <c r="AA76" s="130">
        <f>+Actuals!X518</f>
        <v>0</v>
      </c>
      <c r="AB76" s="129">
        <f>+Actuals!Y518</f>
        <v>0</v>
      </c>
      <c r="AC76" s="130">
        <f>+Actuals!Z518</f>
        <v>0</v>
      </c>
      <c r="AD76" s="129">
        <f>+Actuals!AA318</f>
        <v>0</v>
      </c>
      <c r="AE76" s="130">
        <f>+Actuals!AB318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9">
        <f>+Actuals!E319</f>
        <v>0</v>
      </c>
      <c r="I77" s="130">
        <f>+Actuals!F319</f>
        <v>0</v>
      </c>
      <c r="J77" s="129">
        <f>+Actuals!G319</f>
        <v>0</v>
      </c>
      <c r="K77" s="130">
        <f>+Actuals!H319</f>
        <v>0</v>
      </c>
      <c r="L77" s="129">
        <f>+Actuals!I319</f>
        <v>0</v>
      </c>
      <c r="M77" s="130">
        <f>+Actuals!J319</f>
        <v>0</v>
      </c>
      <c r="N77" s="129">
        <f>+Actuals!K319</f>
        <v>0</v>
      </c>
      <c r="O77" s="130">
        <f>+Actuals!L319</f>
        <v>0</v>
      </c>
      <c r="P77" s="129">
        <f>+Actuals!M319</f>
        <v>0</v>
      </c>
      <c r="Q77" s="130">
        <f>+Actuals!N319</f>
        <v>0</v>
      </c>
      <c r="R77" s="129">
        <f>+Actuals!O319</f>
        <v>0</v>
      </c>
      <c r="S77" s="130">
        <f>+Actuals!P319</f>
        <v>0</v>
      </c>
      <c r="T77" s="129">
        <f>+Actuals!Q319</f>
        <v>0</v>
      </c>
      <c r="U77" s="130">
        <f>+Actuals!R319</f>
        <v>0</v>
      </c>
      <c r="V77" s="129">
        <f>+Actuals!S519</f>
        <v>0</v>
      </c>
      <c r="W77" s="130">
        <f>+Actuals!T519</f>
        <v>0</v>
      </c>
      <c r="X77" s="129">
        <f>+Actuals!U519</f>
        <v>0</v>
      </c>
      <c r="Y77" s="130">
        <f>+Actuals!V519</f>
        <v>0</v>
      </c>
      <c r="Z77" s="129">
        <f>+Actuals!W519</f>
        <v>0</v>
      </c>
      <c r="AA77" s="130">
        <f>+Actuals!X519</f>
        <v>0</v>
      </c>
      <c r="AB77" s="129">
        <f>+Actuals!Y519</f>
        <v>0</v>
      </c>
      <c r="AC77" s="130">
        <f>+Actuals!Z519</f>
        <v>0</v>
      </c>
      <c r="AD77" s="129">
        <f>+Actuals!AA319</f>
        <v>0</v>
      </c>
      <c r="AE77" s="130">
        <f>+Actuals!AB319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9">
        <f>+Actuals!E320</f>
        <v>0</v>
      </c>
      <c r="I78" s="130">
        <f>+Actuals!F320</f>
        <v>0</v>
      </c>
      <c r="J78" s="129">
        <f>+Actuals!G320</f>
        <v>0</v>
      </c>
      <c r="K78" s="130">
        <f>+Actuals!H320</f>
        <v>0</v>
      </c>
      <c r="L78" s="129">
        <f>+Actuals!I320</f>
        <v>0</v>
      </c>
      <c r="M78" s="130">
        <f>+Actuals!J320</f>
        <v>0</v>
      </c>
      <c r="N78" s="129">
        <f>+Actuals!K320</f>
        <v>0</v>
      </c>
      <c r="O78" s="130">
        <f>+Actuals!L320</f>
        <v>0</v>
      </c>
      <c r="P78" s="129">
        <f>+Actuals!M320</f>
        <v>0</v>
      </c>
      <c r="Q78" s="130">
        <f>+Actuals!N320</f>
        <v>0</v>
      </c>
      <c r="R78" s="129">
        <f>+Actuals!O320</f>
        <v>0</v>
      </c>
      <c r="S78" s="130">
        <f>+Actuals!P320</f>
        <v>0</v>
      </c>
      <c r="T78" s="129">
        <f>+Actuals!Q320</f>
        <v>0</v>
      </c>
      <c r="U78" s="130">
        <f>+Actuals!R320</f>
        <v>0</v>
      </c>
      <c r="V78" s="129">
        <f>+Actuals!S520</f>
        <v>0</v>
      </c>
      <c r="W78" s="130">
        <f>+Actuals!T520</f>
        <v>0</v>
      </c>
      <c r="X78" s="129">
        <f>+Actuals!U520</f>
        <v>0</v>
      </c>
      <c r="Y78" s="130">
        <f>+Actuals!V520</f>
        <v>0</v>
      </c>
      <c r="Z78" s="129">
        <f>+Actuals!W520</f>
        <v>0</v>
      </c>
      <c r="AA78" s="130">
        <f>+Actuals!X520</f>
        <v>0</v>
      </c>
      <c r="AB78" s="129">
        <f>+Actuals!Y520</f>
        <v>0</v>
      </c>
      <c r="AC78" s="130">
        <f>+Actuals!Z520</f>
        <v>0</v>
      </c>
      <c r="AD78" s="129">
        <f>+Actuals!AA320</f>
        <v>0</v>
      </c>
      <c r="AE78" s="130">
        <f>+Actuals!AB320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9">
        <f>+Actuals!E321</f>
        <v>0</v>
      </c>
      <c r="I79" s="130">
        <f>+Actuals!F321</f>
        <v>0</v>
      </c>
      <c r="J79" s="129">
        <f>+Actuals!G321</f>
        <v>0</v>
      </c>
      <c r="K79" s="130">
        <f>+Actuals!H321</f>
        <v>0</v>
      </c>
      <c r="L79" s="129">
        <f>+Actuals!I321</f>
        <v>0</v>
      </c>
      <c r="M79" s="130">
        <f>+Actuals!J321</f>
        <v>0</v>
      </c>
      <c r="N79" s="129">
        <f>+Actuals!K321</f>
        <v>0</v>
      </c>
      <c r="O79" s="130">
        <f>+Actuals!L321</f>
        <v>0</v>
      </c>
      <c r="P79" s="129">
        <f>+Actuals!M321</f>
        <v>0</v>
      </c>
      <c r="Q79" s="130">
        <f>+Actuals!N321</f>
        <v>0</v>
      </c>
      <c r="R79" s="129">
        <f>+Actuals!O321</f>
        <v>0</v>
      </c>
      <c r="S79" s="130">
        <f>+Actuals!P321</f>
        <v>0</v>
      </c>
      <c r="T79" s="129">
        <f>+Actuals!Q321</f>
        <v>0</v>
      </c>
      <c r="U79" s="130">
        <f>+Actuals!R321</f>
        <v>0</v>
      </c>
      <c r="V79" s="129">
        <f>+Actuals!S521</f>
        <v>0</v>
      </c>
      <c r="W79" s="130">
        <f>+Actuals!T521</f>
        <v>0</v>
      </c>
      <c r="X79" s="129">
        <f>+Actuals!U521</f>
        <v>0</v>
      </c>
      <c r="Y79" s="130">
        <f>+Actuals!V521</f>
        <v>0</v>
      </c>
      <c r="Z79" s="129">
        <f>+Actuals!W521</f>
        <v>0</v>
      </c>
      <c r="AA79" s="130">
        <f>+Actuals!X521</f>
        <v>0</v>
      </c>
      <c r="AB79" s="129">
        <f>+Actuals!Y521</f>
        <v>0</v>
      </c>
      <c r="AC79" s="130">
        <f>+Actuals!Z521</f>
        <v>0</v>
      </c>
      <c r="AD79" s="129">
        <f>+Actuals!AA321</f>
        <v>0</v>
      </c>
      <c r="AE79" s="130">
        <f>+Actuals!AB321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9">
        <f>+Actuals!E322</f>
        <v>0</v>
      </c>
      <c r="I80" s="130">
        <f>+Actuals!F322</f>
        <v>0</v>
      </c>
      <c r="J80" s="129">
        <f>+Actuals!G322</f>
        <v>0</v>
      </c>
      <c r="K80" s="130">
        <f>+Actuals!H322</f>
        <v>0</v>
      </c>
      <c r="L80" s="129">
        <f>+Actuals!I322</f>
        <v>0</v>
      </c>
      <c r="M80" s="130">
        <f>+Actuals!J322</f>
        <v>0</v>
      </c>
      <c r="N80" s="129">
        <f>+Actuals!K322</f>
        <v>0</v>
      </c>
      <c r="O80" s="130">
        <f>+Actuals!L322</f>
        <v>0</v>
      </c>
      <c r="P80" s="129">
        <f>+Actuals!M322</f>
        <v>0</v>
      </c>
      <c r="Q80" s="130">
        <f>+Actuals!N322</f>
        <v>0</v>
      </c>
      <c r="R80" s="129">
        <f>+Actuals!O322</f>
        <v>0</v>
      </c>
      <c r="S80" s="130">
        <f>+Actuals!P322</f>
        <v>0</v>
      </c>
      <c r="T80" s="129">
        <f>+Actuals!Q322</f>
        <v>0</v>
      </c>
      <c r="U80" s="130">
        <f>+Actuals!R322</f>
        <v>0</v>
      </c>
      <c r="V80" s="129">
        <f>+Actuals!S522</f>
        <v>0</v>
      </c>
      <c r="W80" s="130">
        <f>+Actuals!T522</f>
        <v>0</v>
      </c>
      <c r="X80" s="129">
        <f>+Actuals!U522</f>
        <v>0</v>
      </c>
      <c r="Y80" s="130">
        <f>+Actuals!V522</f>
        <v>0</v>
      </c>
      <c r="Z80" s="129">
        <f>+Actuals!W522</f>
        <v>0</v>
      </c>
      <c r="AA80" s="130">
        <f>+Actuals!X522</f>
        <v>0</v>
      </c>
      <c r="AB80" s="129">
        <f>+Actuals!Y522</f>
        <v>0</v>
      </c>
      <c r="AC80" s="130">
        <f>+Actuals!Z522</f>
        <v>0</v>
      </c>
      <c r="AD80" s="129">
        <f>+Actuals!AA322</f>
        <v>0</v>
      </c>
      <c r="AE80" s="130">
        <f>+Actuals!AB322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61694.39</v>
      </c>
      <c r="F81" s="60">
        <f>'TIE-OUT'!N81+RECLASS!N81</f>
        <v>0</v>
      </c>
      <c r="G81" s="60">
        <f>'TIE-OUT'!O81+RECLASS!O81</f>
        <v>0</v>
      </c>
      <c r="H81" s="129">
        <f>+Actuals!E323</f>
        <v>0</v>
      </c>
      <c r="I81" s="130">
        <f>+Actuals!F323</f>
        <v>59668.86</v>
      </c>
      <c r="J81" s="129">
        <f>+Actuals!G323</f>
        <v>0</v>
      </c>
      <c r="K81" s="130">
        <f>+Actuals!H323</f>
        <v>-4319</v>
      </c>
      <c r="L81" s="129">
        <f>+Actuals!I323</f>
        <v>0</v>
      </c>
      <c r="M81" s="130">
        <f>+Actuals!J323</f>
        <v>0</v>
      </c>
      <c r="N81" s="129">
        <f>+Actuals!K323</f>
        <v>0</v>
      </c>
      <c r="O81" s="130">
        <f>+Actuals!L323</f>
        <v>6344.53</v>
      </c>
      <c r="P81" s="129">
        <f>+Actuals!M323</f>
        <v>0</v>
      </c>
      <c r="Q81" s="130">
        <f>+Actuals!N323</f>
        <v>0</v>
      </c>
      <c r="R81" s="129">
        <f>+Actuals!O323</f>
        <v>0</v>
      </c>
      <c r="S81" s="130">
        <f>+Actuals!P323</f>
        <v>0</v>
      </c>
      <c r="T81" s="129">
        <f>+Actuals!Q323</f>
        <v>0</v>
      </c>
      <c r="U81" s="130">
        <f>+Actuals!R323</f>
        <v>0</v>
      </c>
      <c r="V81" s="129">
        <f>+Actuals!S523</f>
        <v>0</v>
      </c>
      <c r="W81" s="130">
        <f>+Actuals!T523</f>
        <v>0</v>
      </c>
      <c r="X81" s="129">
        <f>+Actuals!U523</f>
        <v>0</v>
      </c>
      <c r="Y81" s="130">
        <f>+Actuals!V523</f>
        <v>0</v>
      </c>
      <c r="Z81" s="129">
        <f>+Actuals!W523</f>
        <v>0</v>
      </c>
      <c r="AA81" s="130">
        <f>+Actuals!X523</f>
        <v>0</v>
      </c>
      <c r="AB81" s="129">
        <f>+Actuals!Y523</f>
        <v>0</v>
      </c>
      <c r="AC81" s="130">
        <f>+Actuals!Z523</f>
        <v>0</v>
      </c>
      <c r="AD81" s="129">
        <f>+Actuals!AA323</f>
        <v>0</v>
      </c>
      <c r="AE81" s="130">
        <f>+Actuals!AB323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-41333.287000011187</v>
      </c>
      <c r="F82" s="92">
        <f>F16+F24+F29+F36+F43+F45+F47+F49</f>
        <v>0</v>
      </c>
      <c r="G82" s="93">
        <f>SUM(G72:G81)+G16+G24+G29+G36+G43+G45+G47+G49+G51+G56+G61+G66</f>
        <v>1754269.6</v>
      </c>
      <c r="H82" s="92">
        <f>H16+H24+H29+H36+H43+H45+H47+H49</f>
        <v>0</v>
      </c>
      <c r="I82" s="93">
        <f>SUM(I72:I81)+I16+I24+I29+I36+I43+I45+I47+I49+I51+I56+I61+I66</f>
        <v>-1727701.7299999939</v>
      </c>
      <c r="J82" s="92">
        <f>J16+J24+J29+J36+J43+J45+J47+J49</f>
        <v>0</v>
      </c>
      <c r="K82" s="160">
        <f>SUM(K72:K81)+K16+K24+K29+K36+K43+K45+K47+K49+K51+K56+K61+K66</f>
        <v>-89789.039000000019</v>
      </c>
      <c r="L82" s="92">
        <f>L16+L24+L29+L36+L43+L45+L47+L49</f>
        <v>0</v>
      </c>
      <c r="M82" s="93">
        <f>SUM(M72:M81)+M16+M24+M29+M36+M43+M45+M47+M49+M51+M56+M61+M66</f>
        <v>-77765.255000000107</v>
      </c>
      <c r="N82" s="92">
        <f>N16+N24+N29+N36+N43+N45+N47+N49</f>
        <v>0</v>
      </c>
      <c r="O82" s="93">
        <f>SUM(O72:O81)+O16+O24+O29+O36+O43+O45+O47+O49+O51+O56+O61+O66</f>
        <v>59726.40100000002</v>
      </c>
      <c r="P82" s="92">
        <f>P16+P24+P29+P36+P43+P45+P47+P49</f>
        <v>0</v>
      </c>
      <c r="Q82" s="93">
        <f>SUM(Q72:Q81)+Q16+Q24+Q29+Q36+Q43+Q45+Q47+Q49+Q51+Q56+Q61+Q66</f>
        <v>10026.505999999999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37459.959999999963</v>
      </c>
      <c r="V82" s="92">
        <f>V16+V24+V29+V36+V43+V45+V47+V49</f>
        <v>0</v>
      </c>
      <c r="W82" s="93">
        <f>SUM(W72:W81)+W16+W24+W29+W36+W43+W45+W47+W49+W51+W56+W61+W66</f>
        <v>-37306.760000000009</v>
      </c>
      <c r="X82" s="92">
        <f>X16+X24+X29+X36+X43+X45+X47+X49</f>
        <v>0</v>
      </c>
      <c r="Y82" s="93">
        <f>SUM(Y72:Y81)+Y16+Y24+Y29+Y36+Y43+Y45+Y47+Y49+Y51+Y56+Y61+Y66</f>
        <v>-7712.93</v>
      </c>
      <c r="Z82" s="92">
        <f>Z16+Z24+Z29+Z36+Z43+Z45+Z47+Z49</f>
        <v>0</v>
      </c>
      <c r="AA82" s="93">
        <f>SUM(AA72:AA81)+AA16+AA24+AA29+AA36+AA43+AA45+AA47+AA49+AA51+AA56+AA61+AA66</f>
        <v>37459.959999999963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R10" activePane="bottomRight" state="frozen"/>
      <selection activeCell="U630" sqref="U630"/>
      <selection pane="topRight" activeCell="U630" sqref="U630"/>
      <selection pane="bottomLeft" activeCell="U630" sqref="U630"/>
      <selection pane="bottomRight" activeCell="U630" sqref="U6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  <col min="52" max="56" width="0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172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5798202</v>
      </c>
      <c r="E11" s="38">
        <f>SUM(G11,I11,K11,M11,O11,Q11,S11,U11,W11,Y11,AA11,AC11,AE11)</f>
        <v>14298634</v>
      </c>
      <c r="F11" s="60">
        <f>'TIE-OUT'!X11+RECLASS!X11</f>
        <v>0</v>
      </c>
      <c r="G11" s="38">
        <f>'TIE-OUT'!Y11+RECLASS!Y11</f>
        <v>-6145118</v>
      </c>
      <c r="H11" s="132">
        <f>+Actuals!E84+5788337</f>
        <v>5788337</v>
      </c>
      <c r="I11" s="133">
        <f>+Actuals!F84+11967868-6168715</f>
        <v>5799153</v>
      </c>
      <c r="J11" s="132">
        <f>+Actuals!G84</f>
        <v>0</v>
      </c>
      <c r="K11" s="149">
        <f>+Actuals!H84</f>
        <v>0</v>
      </c>
      <c r="L11" s="132">
        <f>+Actuals!I84</f>
        <v>0</v>
      </c>
      <c r="M11" s="133">
        <f>+Actuals!J84</f>
        <v>0</v>
      </c>
      <c r="N11" s="132">
        <f>+Actuals!K84</f>
        <v>0</v>
      </c>
      <c r="O11" s="133">
        <f>+Actuals!L84</f>
        <v>0</v>
      </c>
      <c r="P11" s="132">
        <v>9865</v>
      </c>
      <c r="Q11" s="133">
        <v>14644599</v>
      </c>
      <c r="R11" s="132">
        <f>+Actuals!O84</f>
        <v>0</v>
      </c>
      <c r="S11" s="133">
        <f>+Actuals!P84</f>
        <v>0</v>
      </c>
      <c r="T11" s="132">
        <f>+Actuals!Q84</f>
        <v>0</v>
      </c>
      <c r="U11" s="133">
        <f>+Actuals!R84</f>
        <v>0</v>
      </c>
      <c r="V11" s="129">
        <f>+Actuals!S124</f>
        <v>0</v>
      </c>
      <c r="W11" s="130">
        <f>+Actuals!T124</f>
        <v>0</v>
      </c>
      <c r="X11" s="132">
        <f>+Actuals!U124</f>
        <v>0</v>
      </c>
      <c r="Y11" s="133">
        <f>+Actuals!V124</f>
        <v>0</v>
      </c>
      <c r="Z11" s="132">
        <f>+Actuals!W124</f>
        <v>0</v>
      </c>
      <c r="AA11" s="133">
        <f>+Actuals!X124</f>
        <v>0</v>
      </c>
      <c r="AB11" s="132">
        <f>+Actuals!Y124</f>
        <v>0</v>
      </c>
      <c r="AC11" s="133">
        <f>+Actuals!Z124</f>
        <v>0</v>
      </c>
      <c r="AD11" s="132">
        <f>+Actuals!AA84</f>
        <v>0</v>
      </c>
      <c r="AE11" s="133">
        <f>+Actuals!AB84</f>
        <v>0</v>
      </c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2">
        <f>+Actuals!E85</f>
        <v>0</v>
      </c>
      <c r="I12" s="133">
        <f>+Actuals!F85</f>
        <v>0</v>
      </c>
      <c r="J12" s="132">
        <f>+Actuals!G85</f>
        <v>0</v>
      </c>
      <c r="K12" s="149">
        <f>+Actuals!H85</f>
        <v>0</v>
      </c>
      <c r="L12" s="132">
        <f>+Actuals!I85</f>
        <v>0</v>
      </c>
      <c r="M12" s="133">
        <f>+Actuals!J85</f>
        <v>0</v>
      </c>
      <c r="N12" s="132">
        <f>+Actuals!K85</f>
        <v>0</v>
      </c>
      <c r="O12" s="133">
        <f>+Actuals!L85</f>
        <v>0</v>
      </c>
      <c r="P12" s="132">
        <f>+Actuals!M85</f>
        <v>0</v>
      </c>
      <c r="Q12" s="133">
        <f>+Actuals!N85</f>
        <v>0</v>
      </c>
      <c r="R12" s="132">
        <f>+Actuals!O85</f>
        <v>0</v>
      </c>
      <c r="S12" s="133">
        <f>+Actuals!P85</f>
        <v>0</v>
      </c>
      <c r="T12" s="132">
        <f>+Actuals!Q85</f>
        <v>0</v>
      </c>
      <c r="U12" s="133">
        <f>+Actuals!R85</f>
        <v>0</v>
      </c>
      <c r="V12" s="129">
        <f>+Actuals!S125</f>
        <v>0</v>
      </c>
      <c r="W12" s="130">
        <f>+Actuals!T125</f>
        <v>0</v>
      </c>
      <c r="X12" s="132">
        <f>+Actuals!U125</f>
        <v>0</v>
      </c>
      <c r="Y12" s="133">
        <f>+Actuals!V125</f>
        <v>0</v>
      </c>
      <c r="Z12" s="132">
        <f>+Actuals!W125</f>
        <v>0</v>
      </c>
      <c r="AA12" s="133">
        <f>+Actuals!X125</f>
        <v>0</v>
      </c>
      <c r="AB12" s="132">
        <f>+Actuals!Y125</f>
        <v>0</v>
      </c>
      <c r="AC12" s="133">
        <f>+Actuals!Z125</f>
        <v>0</v>
      </c>
      <c r="AD12" s="132">
        <f>+Actuals!AA85</f>
        <v>0</v>
      </c>
      <c r="AE12" s="133">
        <f>+Actuals!AB85</f>
        <v>0</v>
      </c>
    </row>
    <row r="13" spans="1:31" x14ac:dyDescent="0.2">
      <c r="A13" s="9">
        <v>3</v>
      </c>
      <c r="B13" s="7"/>
      <c r="C13" s="18" t="s">
        <v>30</v>
      </c>
      <c r="D13" s="60">
        <f t="shared" si="0"/>
        <v>19806567</v>
      </c>
      <c r="E13" s="38">
        <f t="shared" si="0"/>
        <v>48575377</v>
      </c>
      <c r="F13" s="60">
        <f>'TIE-OUT'!X13+RECLASS!X13</f>
        <v>0</v>
      </c>
      <c r="G13" s="38">
        <f>'TIE-OUT'!Y13+RECLASS!Y13</f>
        <v>0</v>
      </c>
      <c r="H13" s="132">
        <f>+Actuals!E86+19806567</f>
        <v>19806567</v>
      </c>
      <c r="I13" s="133">
        <f>+Actuals!F86+48575377</f>
        <v>48575377</v>
      </c>
      <c r="J13" s="132">
        <f>+Actuals!G86</f>
        <v>0</v>
      </c>
      <c r="K13" s="149">
        <f>+Actuals!H86</f>
        <v>0</v>
      </c>
      <c r="L13" s="132">
        <f>+Actuals!I86</f>
        <v>0</v>
      </c>
      <c r="M13" s="133">
        <f>+Actuals!J86</f>
        <v>0</v>
      </c>
      <c r="N13" s="132">
        <f>+Actuals!K86</f>
        <v>0</v>
      </c>
      <c r="O13" s="133">
        <f>+Actuals!L86</f>
        <v>0</v>
      </c>
      <c r="P13" s="132">
        <f>+Actuals!M86</f>
        <v>0</v>
      </c>
      <c r="Q13" s="133">
        <f>+Actuals!N86</f>
        <v>0</v>
      </c>
      <c r="R13" s="132">
        <f>+Actuals!O86</f>
        <v>0</v>
      </c>
      <c r="S13" s="133">
        <f>+Actuals!P86</f>
        <v>0</v>
      </c>
      <c r="T13" s="132">
        <f>+Actuals!Q86</f>
        <v>0</v>
      </c>
      <c r="U13" s="133">
        <f>+Actuals!R86</f>
        <v>0</v>
      </c>
      <c r="V13" s="129">
        <f>+Actuals!S126</f>
        <v>0</v>
      </c>
      <c r="W13" s="130">
        <f>+Actuals!T126</f>
        <v>0</v>
      </c>
      <c r="X13" s="132">
        <f>+Actuals!U126</f>
        <v>0</v>
      </c>
      <c r="Y13" s="133">
        <f>+Actuals!V126</f>
        <v>0</v>
      </c>
      <c r="Z13" s="132">
        <f>+Actuals!W126</f>
        <v>0</v>
      </c>
      <c r="AA13" s="133">
        <f>+Actuals!X126</f>
        <v>0</v>
      </c>
      <c r="AB13" s="132">
        <f>+Actuals!Y126</f>
        <v>0</v>
      </c>
      <c r="AC13" s="133">
        <f>+Actuals!Z126</f>
        <v>0</v>
      </c>
      <c r="AD13" s="132">
        <f>+Actuals!AA86</f>
        <v>0</v>
      </c>
      <c r="AE13" s="133">
        <f>+Actuals!AB86</f>
        <v>0</v>
      </c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2">
        <f>+Actuals!E87</f>
        <v>0</v>
      </c>
      <c r="I14" s="133">
        <f>+Actuals!F87</f>
        <v>0</v>
      </c>
      <c r="J14" s="132">
        <f>+Actuals!G87</f>
        <v>0</v>
      </c>
      <c r="K14" s="149">
        <f>+Actuals!H87</f>
        <v>0</v>
      </c>
      <c r="L14" s="132">
        <f>+Actuals!I87</f>
        <v>0</v>
      </c>
      <c r="M14" s="133">
        <f>+Actuals!J87</f>
        <v>0</v>
      </c>
      <c r="N14" s="132">
        <f>+Actuals!K87</f>
        <v>0</v>
      </c>
      <c r="O14" s="133">
        <f>+Actuals!L87</f>
        <v>0</v>
      </c>
      <c r="P14" s="132">
        <f>+Actuals!M87</f>
        <v>0</v>
      </c>
      <c r="Q14" s="133">
        <f>+Actuals!N87</f>
        <v>0</v>
      </c>
      <c r="R14" s="132">
        <f>+Actuals!O87</f>
        <v>0</v>
      </c>
      <c r="S14" s="133">
        <f>+Actuals!P87</f>
        <v>0</v>
      </c>
      <c r="T14" s="132">
        <f>+Actuals!Q87</f>
        <v>0</v>
      </c>
      <c r="U14" s="133">
        <f>+Actuals!R87</f>
        <v>0</v>
      </c>
      <c r="V14" s="129">
        <f>+Actuals!S127</f>
        <v>0</v>
      </c>
      <c r="W14" s="130">
        <f>+Actuals!T127</f>
        <v>0</v>
      </c>
      <c r="X14" s="132">
        <f>+Actuals!U127</f>
        <v>0</v>
      </c>
      <c r="Y14" s="133">
        <f>+Actuals!V127</f>
        <v>0</v>
      </c>
      <c r="Z14" s="132">
        <f>+Actuals!W127</f>
        <v>0</v>
      </c>
      <c r="AA14" s="133">
        <f>+Actuals!X127</f>
        <v>0</v>
      </c>
      <c r="AB14" s="132">
        <f>+Actuals!Y127</f>
        <v>0</v>
      </c>
      <c r="AC14" s="133">
        <f>+Actuals!Z127</f>
        <v>0</v>
      </c>
      <c r="AD14" s="132">
        <f>+Actuals!AA87</f>
        <v>0</v>
      </c>
      <c r="AE14" s="133">
        <f>+Actuals!AB87</f>
        <v>0</v>
      </c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279317</v>
      </c>
      <c r="F15" s="81">
        <f>'TIE-OUT'!X15+RECLASS!X15</f>
        <v>0</v>
      </c>
      <c r="G15" s="82">
        <f>'TIE-OUT'!Y15+RECLASS!Y15</f>
        <v>279317</v>
      </c>
      <c r="H15" s="132">
        <f>+Actuals!E88</f>
        <v>0</v>
      </c>
      <c r="I15" s="133">
        <v>10400000</v>
      </c>
      <c r="J15" s="132">
        <f>+Actuals!G88</f>
        <v>0</v>
      </c>
      <c r="K15" s="149">
        <v>-10400000</v>
      </c>
      <c r="L15" s="132">
        <f>+Actuals!I88</f>
        <v>0</v>
      </c>
      <c r="M15" s="133">
        <f>+Actuals!J88</f>
        <v>0</v>
      </c>
      <c r="N15" s="132">
        <f>+Actuals!K88</f>
        <v>0</v>
      </c>
      <c r="O15" s="133">
        <f>+Actuals!L88</f>
        <v>0</v>
      </c>
      <c r="P15" s="132">
        <f>+Actuals!M88</f>
        <v>0</v>
      </c>
      <c r="Q15" s="133">
        <f>+Actuals!N88</f>
        <v>0</v>
      </c>
      <c r="R15" s="132">
        <f>+Actuals!O88</f>
        <v>0</v>
      </c>
      <c r="S15" s="133">
        <f>+Actuals!P88</f>
        <v>0</v>
      </c>
      <c r="T15" s="132">
        <f>+Actuals!Q88</f>
        <v>0</v>
      </c>
      <c r="U15" s="133">
        <f>+Actuals!R88</f>
        <v>0</v>
      </c>
      <c r="V15" s="129">
        <f>+Actuals!S128</f>
        <v>0</v>
      </c>
      <c r="W15" s="131">
        <f>+Actuals!T128</f>
        <v>0</v>
      </c>
      <c r="X15" s="132">
        <f>+Actuals!U128</f>
        <v>0</v>
      </c>
      <c r="Y15" s="133">
        <f>+Actuals!V128</f>
        <v>0</v>
      </c>
      <c r="Z15" s="132">
        <f>+Actuals!W128</f>
        <v>0</v>
      </c>
      <c r="AA15" s="133">
        <f>+Actuals!X128</f>
        <v>0</v>
      </c>
      <c r="AB15" s="132">
        <f>+Actuals!Y128</f>
        <v>0</v>
      </c>
      <c r="AC15" s="133">
        <f>+Actuals!Z128</f>
        <v>0</v>
      </c>
      <c r="AD15" s="132">
        <f>+Actuals!AA88</f>
        <v>0</v>
      </c>
      <c r="AE15" s="133">
        <f>+Actuals!AB88</f>
        <v>0</v>
      </c>
    </row>
    <row r="16" spans="1:31" x14ac:dyDescent="0.2">
      <c r="A16" s="9"/>
      <c r="B16" s="7" t="s">
        <v>33</v>
      </c>
      <c r="C16" s="6"/>
      <c r="D16" s="61">
        <f t="shared" ref="D16:AE16" si="1">SUM(D11:D15)</f>
        <v>25604769</v>
      </c>
      <c r="E16" s="39">
        <f t="shared" si="1"/>
        <v>63153328</v>
      </c>
      <c r="F16" s="61">
        <f t="shared" si="1"/>
        <v>0</v>
      </c>
      <c r="G16" s="39">
        <f t="shared" si="1"/>
        <v>-5865801</v>
      </c>
      <c r="H16" s="61">
        <f t="shared" si="1"/>
        <v>25594904</v>
      </c>
      <c r="I16" s="39">
        <f t="shared" si="1"/>
        <v>64774530</v>
      </c>
      <c r="J16" s="61">
        <f t="shared" si="1"/>
        <v>0</v>
      </c>
      <c r="K16" s="150">
        <f t="shared" si="1"/>
        <v>-10400000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>SUM(P11:P15)</f>
        <v>9865</v>
      </c>
      <c r="Q16" s="39">
        <f>SUM(Q11:Q15)</f>
        <v>14644599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82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-5718634</v>
      </c>
      <c r="E19" s="38">
        <f t="shared" si="3"/>
        <v>-11189822</v>
      </c>
      <c r="F19" s="64">
        <f>'TIE-OUT'!X19+RECLASS!X19</f>
        <v>0</v>
      </c>
      <c r="G19" s="68">
        <f>'TIE-OUT'!Y19+RECLASS!Y19</f>
        <v>-252973</v>
      </c>
      <c r="H19" s="132">
        <f>+Actuals!E89+541480</f>
        <v>541480</v>
      </c>
      <c r="I19" s="133">
        <f>+Actuals!F89+1205876</f>
        <v>1205876</v>
      </c>
      <c r="J19" s="132">
        <f>+Actuals!G89</f>
        <v>0</v>
      </c>
      <c r="K19" s="149">
        <f>+Actuals!H89</f>
        <v>0</v>
      </c>
      <c r="L19" s="132">
        <f>+Actuals!I89</f>
        <v>0</v>
      </c>
      <c r="M19" s="133">
        <f>+Actuals!J89</f>
        <v>0</v>
      </c>
      <c r="N19" s="132">
        <f>+Actuals!K89</f>
        <v>0</v>
      </c>
      <c r="O19" s="133">
        <f>+Actuals!L89</f>
        <v>0</v>
      </c>
      <c r="P19" s="132">
        <v>-6260114</v>
      </c>
      <c r="Q19" s="133">
        <v>-12142725</v>
      </c>
      <c r="R19" s="132">
        <f>+Actuals!O89</f>
        <v>0</v>
      </c>
      <c r="S19" s="133">
        <f>+Actuals!P89</f>
        <v>0</v>
      </c>
      <c r="T19" s="132">
        <f>+Actuals!Q89</f>
        <v>0</v>
      </c>
      <c r="U19" s="133">
        <f>+Actuals!R89</f>
        <v>0</v>
      </c>
      <c r="V19" s="129">
        <f>+Actuals!S129</f>
        <v>0</v>
      </c>
      <c r="W19" s="130">
        <f>+Actuals!T129</f>
        <v>0</v>
      </c>
      <c r="X19" s="132">
        <f>+Actuals!U129</f>
        <v>0</v>
      </c>
      <c r="Y19" s="133">
        <f>+Actuals!V129</f>
        <v>0</v>
      </c>
      <c r="Z19" s="132">
        <f>+Actuals!W129</f>
        <v>0</v>
      </c>
      <c r="AA19" s="133">
        <f>+Actuals!X129</f>
        <v>0</v>
      </c>
      <c r="AB19" s="132">
        <f>+Actuals!Y129</f>
        <v>0</v>
      </c>
      <c r="AC19" s="133">
        <f>+Actuals!Z129</f>
        <v>0</v>
      </c>
      <c r="AD19" s="132">
        <f>+Actuals!AA89</f>
        <v>0</v>
      </c>
      <c r="AE19" s="133">
        <f>+Actuals!AB89</f>
        <v>0</v>
      </c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2">
        <f>+Actuals!E90</f>
        <v>0</v>
      </c>
      <c r="I20" s="133">
        <f>+Actuals!F90</f>
        <v>0</v>
      </c>
      <c r="J20" s="132">
        <f>+Actuals!G90</f>
        <v>0</v>
      </c>
      <c r="K20" s="149">
        <f>+Actuals!H90</f>
        <v>0</v>
      </c>
      <c r="L20" s="132">
        <f>+Actuals!I90</f>
        <v>0</v>
      </c>
      <c r="M20" s="133">
        <f>+Actuals!J90</f>
        <v>0</v>
      </c>
      <c r="N20" s="132">
        <f>+Actuals!K90</f>
        <v>0</v>
      </c>
      <c r="O20" s="133">
        <f>+Actuals!L90</f>
        <v>0</v>
      </c>
      <c r="P20" s="132">
        <f>+Actuals!M90</f>
        <v>0</v>
      </c>
      <c r="Q20" s="133">
        <f>+Actuals!N90</f>
        <v>0</v>
      </c>
      <c r="R20" s="132">
        <f>+Actuals!O90</f>
        <v>0</v>
      </c>
      <c r="S20" s="133">
        <f>+Actuals!P90</f>
        <v>0</v>
      </c>
      <c r="T20" s="132">
        <f>+Actuals!Q90</f>
        <v>0</v>
      </c>
      <c r="U20" s="133">
        <f>+Actuals!R90</f>
        <v>0</v>
      </c>
      <c r="V20" s="129">
        <f>+Actuals!S130</f>
        <v>0</v>
      </c>
      <c r="W20" s="130">
        <f>+Actuals!T130</f>
        <v>0</v>
      </c>
      <c r="X20" s="132">
        <f>+Actuals!U130</f>
        <v>0</v>
      </c>
      <c r="Y20" s="133">
        <f>+Actuals!V130</f>
        <v>0</v>
      </c>
      <c r="Z20" s="132">
        <f>+Actuals!W130</f>
        <v>0</v>
      </c>
      <c r="AA20" s="133">
        <f>+Actuals!X130</f>
        <v>0</v>
      </c>
      <c r="AB20" s="132">
        <f>+Actuals!Y130</f>
        <v>0</v>
      </c>
      <c r="AC20" s="133">
        <f>+Actuals!Z130</f>
        <v>0</v>
      </c>
      <c r="AD20" s="132">
        <f>+Actuals!AA90</f>
        <v>0</v>
      </c>
      <c r="AE20" s="133">
        <f>+Actuals!AB90</f>
        <v>0</v>
      </c>
    </row>
    <row r="21" spans="1:31" x14ac:dyDescent="0.2">
      <c r="A21" s="9">
        <v>8</v>
      </c>
      <c r="B21" s="7"/>
      <c r="C21" s="18" t="s">
        <v>30</v>
      </c>
      <c r="D21" s="60">
        <f t="shared" si="3"/>
        <v>-25428560</v>
      </c>
      <c r="E21" s="38">
        <f t="shared" si="3"/>
        <v>-60695726</v>
      </c>
      <c r="F21" s="60">
        <f>'TIE-OUT'!X21+RECLASS!X21</f>
        <v>0</v>
      </c>
      <c r="G21" s="38">
        <f>'TIE-OUT'!Y21+RECLASS!Y21</f>
        <v>0</v>
      </c>
      <c r="H21" s="132">
        <f>+Actuals!E91-25428560</f>
        <v>-25428560</v>
      </c>
      <c r="I21" s="133">
        <f>+Actuals!F91-60695726</f>
        <v>-60695726</v>
      </c>
      <c r="J21" s="132">
        <f>+Actuals!G91</f>
        <v>0</v>
      </c>
      <c r="K21" s="149">
        <f>+Actuals!H91</f>
        <v>0</v>
      </c>
      <c r="L21" s="132">
        <f>+Actuals!I91</f>
        <v>0</v>
      </c>
      <c r="M21" s="133">
        <f>+Actuals!J91</f>
        <v>0</v>
      </c>
      <c r="N21" s="132">
        <f>+Actuals!K91</f>
        <v>0</v>
      </c>
      <c r="O21" s="133">
        <f>+Actuals!L91</f>
        <v>0</v>
      </c>
      <c r="P21" s="132">
        <f>+Actuals!M91</f>
        <v>0</v>
      </c>
      <c r="Q21" s="133">
        <f>+Actuals!N91</f>
        <v>0</v>
      </c>
      <c r="R21" s="132">
        <f>+Actuals!O91</f>
        <v>0</v>
      </c>
      <c r="S21" s="133">
        <f>+Actuals!P91</f>
        <v>0</v>
      </c>
      <c r="T21" s="132">
        <f>+Actuals!Q91</f>
        <v>0</v>
      </c>
      <c r="U21" s="133">
        <f>+Actuals!R91</f>
        <v>0</v>
      </c>
      <c r="V21" s="129">
        <f>+Actuals!S131</f>
        <v>0</v>
      </c>
      <c r="W21" s="130">
        <f>+Actuals!T131</f>
        <v>0</v>
      </c>
      <c r="X21" s="132">
        <f>+Actuals!U131</f>
        <v>0</v>
      </c>
      <c r="Y21" s="133">
        <f>+Actuals!V131</f>
        <v>0</v>
      </c>
      <c r="Z21" s="132">
        <f>+Actuals!W131</f>
        <v>0</v>
      </c>
      <c r="AA21" s="133">
        <f>+Actuals!X131</f>
        <v>0</v>
      </c>
      <c r="AB21" s="132">
        <f>+Actuals!Y131</f>
        <v>0</v>
      </c>
      <c r="AC21" s="133">
        <f>+Actuals!Z131</f>
        <v>0</v>
      </c>
      <c r="AD21" s="132">
        <f>+Actuals!AA91</f>
        <v>0</v>
      </c>
      <c r="AE21" s="133">
        <f>+Actuals!AB91</f>
        <v>0</v>
      </c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2">
        <f>+Actuals!E92</f>
        <v>0</v>
      </c>
      <c r="I22" s="133">
        <f>+Actuals!F92</f>
        <v>0</v>
      </c>
      <c r="J22" s="132">
        <f>+Actuals!G92</f>
        <v>0</v>
      </c>
      <c r="K22" s="149">
        <f>+Actuals!H92</f>
        <v>0</v>
      </c>
      <c r="L22" s="132">
        <f>+Actuals!I92</f>
        <v>0</v>
      </c>
      <c r="M22" s="133">
        <f>+Actuals!J92</f>
        <v>0</v>
      </c>
      <c r="N22" s="132">
        <f>+Actuals!K92</f>
        <v>0</v>
      </c>
      <c r="O22" s="133">
        <f>+Actuals!L92</f>
        <v>0</v>
      </c>
      <c r="P22" s="132">
        <f>+Actuals!M92</f>
        <v>0</v>
      </c>
      <c r="Q22" s="133">
        <f>+Actuals!N92</f>
        <v>0</v>
      </c>
      <c r="R22" s="132">
        <f>+Actuals!O92</f>
        <v>0</v>
      </c>
      <c r="S22" s="133">
        <f>+Actuals!P92</f>
        <v>0</v>
      </c>
      <c r="T22" s="132">
        <f>+Actuals!Q92</f>
        <v>0</v>
      </c>
      <c r="U22" s="133">
        <f>+Actuals!R92</f>
        <v>0</v>
      </c>
      <c r="V22" s="129">
        <f>+Actuals!S132</f>
        <v>0</v>
      </c>
      <c r="W22" s="130">
        <f>+Actuals!T132</f>
        <v>0</v>
      </c>
      <c r="X22" s="132">
        <f>+Actuals!U132</f>
        <v>0</v>
      </c>
      <c r="Y22" s="133">
        <f>+Actuals!V132</f>
        <v>0</v>
      </c>
      <c r="Z22" s="132">
        <f>+Actuals!W132</f>
        <v>0</v>
      </c>
      <c r="AA22" s="133">
        <f>+Actuals!X132</f>
        <v>0</v>
      </c>
      <c r="AB22" s="132">
        <f>+Actuals!Y132</f>
        <v>0</v>
      </c>
      <c r="AC22" s="133">
        <f>+Actuals!Z132</f>
        <v>0</v>
      </c>
      <c r="AD22" s="132">
        <f>+Actuals!AA92</f>
        <v>0</v>
      </c>
      <c r="AE22" s="133">
        <f>+Actuals!AB92</f>
        <v>0</v>
      </c>
    </row>
    <row r="23" spans="1:31" x14ac:dyDescent="0.2">
      <c r="A23" s="9">
        <v>10</v>
      </c>
      <c r="B23" s="7"/>
      <c r="C23" s="18" t="s">
        <v>35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132">
        <f>+Actuals!E93</f>
        <v>0</v>
      </c>
      <c r="I23" s="133">
        <f>+Actuals!F93</f>
        <v>0</v>
      </c>
      <c r="J23" s="132">
        <f>+Actuals!G93</f>
        <v>0</v>
      </c>
      <c r="K23" s="149">
        <f>+Actuals!H93</f>
        <v>0</v>
      </c>
      <c r="L23" s="132">
        <f>+Actuals!I93</f>
        <v>0</v>
      </c>
      <c r="M23" s="133">
        <f>+Actuals!J93</f>
        <v>0</v>
      </c>
      <c r="N23" s="132">
        <f>+Actuals!K93</f>
        <v>0</v>
      </c>
      <c r="O23" s="133">
        <f>+Actuals!L93</f>
        <v>0</v>
      </c>
      <c r="P23" s="132">
        <v>0</v>
      </c>
      <c r="Q23" s="133">
        <v>0</v>
      </c>
      <c r="R23" s="132">
        <f>+Actuals!O93</f>
        <v>0</v>
      </c>
      <c r="S23" s="133">
        <f>+Actuals!P93</f>
        <v>0</v>
      </c>
      <c r="T23" s="132">
        <f>+Actuals!Q93</f>
        <v>0</v>
      </c>
      <c r="U23" s="133">
        <f>+Actuals!R93</f>
        <v>0</v>
      </c>
      <c r="V23" s="129">
        <f>+Actuals!S133</f>
        <v>0</v>
      </c>
      <c r="W23" s="131">
        <f>+Actuals!T133</f>
        <v>0</v>
      </c>
      <c r="X23" s="132">
        <f>+Actuals!U133</f>
        <v>0</v>
      </c>
      <c r="Y23" s="133">
        <f>+Actuals!V133</f>
        <v>0</v>
      </c>
      <c r="Z23" s="132">
        <f>+Actuals!W133</f>
        <v>0</v>
      </c>
      <c r="AA23" s="133">
        <f>+Actuals!X133</f>
        <v>0</v>
      </c>
      <c r="AB23" s="132">
        <f>+Actuals!Y133</f>
        <v>0</v>
      </c>
      <c r="AC23" s="133">
        <f>+Actuals!Z133</f>
        <v>0</v>
      </c>
      <c r="AD23" s="132">
        <f>+Actuals!AA93</f>
        <v>0</v>
      </c>
      <c r="AE23" s="133">
        <f>+Actuals!AB93</f>
        <v>0</v>
      </c>
    </row>
    <row r="24" spans="1:31" x14ac:dyDescent="0.2">
      <c r="A24" s="9"/>
      <c r="B24" s="7" t="s">
        <v>36</v>
      </c>
      <c r="C24" s="6"/>
      <c r="D24" s="61">
        <f t="shared" ref="D24:AE24" si="4">SUM(D19:D23)</f>
        <v>-31147194</v>
      </c>
      <c r="E24" s="39">
        <f t="shared" si="4"/>
        <v>-71885548</v>
      </c>
      <c r="F24" s="61">
        <f t="shared" si="4"/>
        <v>0</v>
      </c>
      <c r="G24" s="39">
        <f t="shared" si="4"/>
        <v>-252973</v>
      </c>
      <c r="H24" s="61">
        <f t="shared" si="4"/>
        <v>-24887080</v>
      </c>
      <c r="I24" s="39">
        <f t="shared" si="4"/>
        <v>-59489850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>SUM(P19:P23)</f>
        <v>-6260114</v>
      </c>
      <c r="Q24" s="39">
        <f>SUM(Q19:Q23)</f>
        <v>-12142725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ref="X24:AC24" si="5">SUM(X19:X23)</f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132">
        <f>+Actuals!E94</f>
        <v>0</v>
      </c>
      <c r="I27" s="133">
        <f>+Actuals!F94</f>
        <v>0</v>
      </c>
      <c r="J27" s="132">
        <f>+Actuals!G94</f>
        <v>0</v>
      </c>
      <c r="K27" s="149">
        <f>+Actuals!H94</f>
        <v>0</v>
      </c>
      <c r="L27" s="132">
        <f>+Actuals!I94</f>
        <v>0</v>
      </c>
      <c r="M27" s="133">
        <f>+Actuals!J94</f>
        <v>0</v>
      </c>
      <c r="N27" s="132">
        <f>+Actuals!K94</f>
        <v>0</v>
      </c>
      <c r="O27" s="133">
        <f>+Actuals!L94</f>
        <v>0</v>
      </c>
      <c r="P27" s="132">
        <f>+Actuals!M94</f>
        <v>0</v>
      </c>
      <c r="Q27" s="133">
        <f>+Actuals!N94</f>
        <v>0</v>
      </c>
      <c r="R27" s="132">
        <f>+Actuals!O94</f>
        <v>0</v>
      </c>
      <c r="S27" s="133">
        <f>+Actuals!P94</f>
        <v>0</v>
      </c>
      <c r="T27" s="132">
        <f>+Actuals!Q94</f>
        <v>0</v>
      </c>
      <c r="U27" s="133">
        <f>+Actuals!R94</f>
        <v>0</v>
      </c>
      <c r="V27" s="129">
        <f>+Actuals!S134</f>
        <v>0</v>
      </c>
      <c r="W27" s="130">
        <f>+Actuals!T134</f>
        <v>0</v>
      </c>
      <c r="X27" s="132">
        <f>+Actuals!U134</f>
        <v>0</v>
      </c>
      <c r="Y27" s="133">
        <f>+Actuals!V134</f>
        <v>0</v>
      </c>
      <c r="Z27" s="132">
        <f>+Actuals!W134</f>
        <v>0</v>
      </c>
      <c r="AA27" s="133">
        <f>+Actuals!X134</f>
        <v>0</v>
      </c>
      <c r="AB27" s="132">
        <f>+Actuals!Y134</f>
        <v>0</v>
      </c>
      <c r="AC27" s="133">
        <f>+Actuals!Z134</f>
        <v>0</v>
      </c>
      <c r="AD27" s="132">
        <f>+Actuals!AA94</f>
        <v>0</v>
      </c>
      <c r="AE27" s="133">
        <f>+Actuals!AB94</f>
        <v>0</v>
      </c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132">
        <f>+Actuals!E95</f>
        <v>0</v>
      </c>
      <c r="I28" s="133">
        <f>+Actuals!F95</f>
        <v>0</v>
      </c>
      <c r="J28" s="132">
        <f>+Actuals!G95</f>
        <v>0</v>
      </c>
      <c r="K28" s="149">
        <f>+Actuals!H95</f>
        <v>0</v>
      </c>
      <c r="L28" s="132">
        <f>+Actuals!I95</f>
        <v>0</v>
      </c>
      <c r="M28" s="133">
        <f>+Actuals!J95</f>
        <v>0</v>
      </c>
      <c r="N28" s="132">
        <f>+Actuals!K95</f>
        <v>0</v>
      </c>
      <c r="O28" s="133">
        <f>+Actuals!L95</f>
        <v>0</v>
      </c>
      <c r="P28" s="132">
        <f>+Actuals!M95</f>
        <v>0</v>
      </c>
      <c r="Q28" s="133">
        <f>+Actuals!N95</f>
        <v>0</v>
      </c>
      <c r="R28" s="132">
        <f>+Actuals!O95</f>
        <v>0</v>
      </c>
      <c r="S28" s="133">
        <f>+Actuals!P95</f>
        <v>0</v>
      </c>
      <c r="T28" s="132">
        <f>+Actuals!Q95</f>
        <v>0</v>
      </c>
      <c r="U28" s="133">
        <f>+Actuals!R95</f>
        <v>0</v>
      </c>
      <c r="V28" s="129">
        <f>+Actuals!S135</f>
        <v>0</v>
      </c>
      <c r="W28" s="130">
        <f>+Actuals!T135</f>
        <v>0</v>
      </c>
      <c r="X28" s="132">
        <f>+Actuals!U135</f>
        <v>0</v>
      </c>
      <c r="Y28" s="133">
        <f>+Actuals!V135</f>
        <v>0</v>
      </c>
      <c r="Z28" s="132">
        <f>+Actuals!W135</f>
        <v>0</v>
      </c>
      <c r="AA28" s="133">
        <f>+Actuals!X135</f>
        <v>0</v>
      </c>
      <c r="AB28" s="132">
        <f>+Actuals!Y135</f>
        <v>0</v>
      </c>
      <c r="AC28" s="133">
        <f>+Actuals!Z135</f>
        <v>0</v>
      </c>
      <c r="AD28" s="132">
        <f>+Actuals!AA95</f>
        <v>0</v>
      </c>
      <c r="AE28" s="133">
        <f>+Actuals!AB95</f>
        <v>0</v>
      </c>
    </row>
    <row r="29" spans="1:31" x14ac:dyDescent="0.2">
      <c r="A29" s="9"/>
      <c r="B29" s="7" t="s">
        <v>40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>SUM(P27:P28)</f>
        <v>0</v>
      </c>
      <c r="Q29" s="39">
        <f>SUM(Q27:Q28)</f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ref="X29:AC29" si="7">SUM(X27:X28)</f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132"/>
      <c r="I31" s="133"/>
      <c r="J31" s="132"/>
      <c r="K31" s="149"/>
      <c r="L31" s="132"/>
      <c r="M31" s="133"/>
      <c r="N31" s="132"/>
      <c r="O31" s="133"/>
      <c r="P31" s="132"/>
      <c r="Q31" s="133"/>
      <c r="R31" s="132"/>
      <c r="S31" s="133"/>
      <c r="T31" s="132"/>
      <c r="U31" s="133"/>
      <c r="V31" s="60"/>
      <c r="W31" s="38"/>
      <c r="X31" s="132"/>
      <c r="Y31" s="133"/>
      <c r="Z31" s="132"/>
      <c r="AA31" s="133"/>
      <c r="AB31" s="132"/>
      <c r="AC31" s="133"/>
      <c r="AD31" s="132"/>
      <c r="AE31" s="133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19059</v>
      </c>
      <c r="E32" s="38">
        <f t="shared" si="8"/>
        <v>42443</v>
      </c>
      <c r="F32" s="64">
        <f>'TIE-OUT'!X32+RECLASS!X32</f>
        <v>0</v>
      </c>
      <c r="G32" s="68">
        <f>'TIE-OUT'!Y32+RECLASS!Y32</f>
        <v>0</v>
      </c>
      <c r="H32" s="132">
        <f>+Actuals!E96+222325-6329133</f>
        <v>-6106808</v>
      </c>
      <c r="I32" s="133">
        <f>+Actuals!F96+495118-14094979</f>
        <v>-13599861</v>
      </c>
      <c r="J32" s="132">
        <f>-203266+6329133</f>
        <v>6125867</v>
      </c>
      <c r="K32" s="149">
        <f>-451949+14094979</f>
        <v>13643030</v>
      </c>
      <c r="L32" s="132">
        <v>181</v>
      </c>
      <c r="M32" s="133">
        <v>14686</v>
      </c>
      <c r="N32" s="132">
        <f>+Actuals!K96</f>
        <v>0</v>
      </c>
      <c r="O32" s="133">
        <v>-2098</v>
      </c>
      <c r="P32" s="132">
        <v>-181</v>
      </c>
      <c r="Q32" s="133">
        <v>-13314</v>
      </c>
      <c r="R32" s="132">
        <f>+Actuals!O96</f>
        <v>0</v>
      </c>
      <c r="S32" s="133">
        <f>+Actuals!P96</f>
        <v>0</v>
      </c>
      <c r="T32" s="132">
        <f>+Actuals!Q96</f>
        <v>0</v>
      </c>
      <c r="U32" s="133">
        <f>+Actuals!R96</f>
        <v>0</v>
      </c>
      <c r="V32" s="129">
        <f>+Actuals!S136</f>
        <v>0</v>
      </c>
      <c r="W32" s="130">
        <f>+Actuals!T136</f>
        <v>0</v>
      </c>
      <c r="X32" s="132">
        <f>+Actuals!U136</f>
        <v>0</v>
      </c>
      <c r="Y32" s="133">
        <f>+Actuals!V136</f>
        <v>0</v>
      </c>
      <c r="Z32" s="132">
        <f>+Actuals!W136</f>
        <v>0</v>
      </c>
      <c r="AA32" s="133">
        <f>+Actuals!X136</f>
        <v>0</v>
      </c>
      <c r="AB32" s="132">
        <f>+Actuals!Y136</f>
        <v>0</v>
      </c>
      <c r="AC32" s="133">
        <f>+Actuals!Z136</f>
        <v>0</v>
      </c>
      <c r="AD32" s="132">
        <f>+Actuals!AA96</f>
        <v>0</v>
      </c>
      <c r="AE32" s="133">
        <f>+Actuals!AB96</f>
        <v>0</v>
      </c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2">
        <f>+Actuals!E97</f>
        <v>0</v>
      </c>
      <c r="I33" s="133">
        <f>+Actuals!F97</f>
        <v>0</v>
      </c>
      <c r="J33" s="132">
        <f>+Actuals!G97</f>
        <v>0</v>
      </c>
      <c r="K33" s="149">
        <f>+Actuals!H97</f>
        <v>0</v>
      </c>
      <c r="L33" s="132">
        <f>+Actuals!I97</f>
        <v>0</v>
      </c>
      <c r="M33" s="133">
        <f>+Actuals!J97</f>
        <v>0</v>
      </c>
      <c r="N33" s="132">
        <f>+Actuals!K97</f>
        <v>0</v>
      </c>
      <c r="O33" s="133">
        <f>+Actuals!L97</f>
        <v>0</v>
      </c>
      <c r="P33" s="132">
        <f>+Actuals!M97</f>
        <v>0</v>
      </c>
      <c r="Q33" s="133">
        <f>+Actuals!N97</f>
        <v>0</v>
      </c>
      <c r="R33" s="132">
        <f>+Actuals!O97</f>
        <v>0</v>
      </c>
      <c r="S33" s="133">
        <f>+Actuals!P97</f>
        <v>0</v>
      </c>
      <c r="T33" s="132">
        <f>+Actuals!Q97</f>
        <v>0</v>
      </c>
      <c r="U33" s="133">
        <f>+Actuals!R97</f>
        <v>0</v>
      </c>
      <c r="V33" s="129">
        <f>+Actuals!S137</f>
        <v>0</v>
      </c>
      <c r="W33" s="130">
        <f>+Actuals!T137</f>
        <v>0</v>
      </c>
      <c r="X33" s="132">
        <f>+Actuals!U137</f>
        <v>0</v>
      </c>
      <c r="Y33" s="133">
        <f>+Actuals!V137</f>
        <v>0</v>
      </c>
      <c r="Z33" s="132">
        <f>+Actuals!W137</f>
        <v>0</v>
      </c>
      <c r="AA33" s="133">
        <f>+Actuals!X137</f>
        <v>0</v>
      </c>
      <c r="AB33" s="132">
        <f>+Actuals!Y137</f>
        <v>0</v>
      </c>
      <c r="AC33" s="133">
        <f>+Actuals!Z137</f>
        <v>0</v>
      </c>
      <c r="AD33" s="132">
        <f>+Actuals!AA97</f>
        <v>0</v>
      </c>
      <c r="AE33" s="133">
        <f>+Actuals!AB97</f>
        <v>0</v>
      </c>
    </row>
    <row r="34" spans="1:31" x14ac:dyDescent="0.2">
      <c r="A34" s="9">
        <v>15</v>
      </c>
      <c r="B34" s="7"/>
      <c r="C34" s="18" t="s">
        <v>44</v>
      </c>
      <c r="D34" s="60">
        <f t="shared" si="8"/>
        <v>3298</v>
      </c>
      <c r="E34" s="38">
        <f t="shared" si="8"/>
        <v>7570</v>
      </c>
      <c r="F34" s="60">
        <f>'TIE-OUT'!X34+RECLASS!X34</f>
        <v>0</v>
      </c>
      <c r="G34" s="38">
        <f>'TIE-OUT'!Y34+RECLASS!Y34</f>
        <v>0</v>
      </c>
      <c r="H34" s="132">
        <f>+Actuals!E98</f>
        <v>0</v>
      </c>
      <c r="I34" s="133">
        <f>+Actuals!F98</f>
        <v>0</v>
      </c>
      <c r="J34" s="132">
        <v>3298</v>
      </c>
      <c r="K34" s="149">
        <v>7570</v>
      </c>
      <c r="L34" s="132">
        <f>+Actuals!I98</f>
        <v>0</v>
      </c>
      <c r="M34" s="133">
        <f>+Actuals!J98</f>
        <v>0</v>
      </c>
      <c r="N34" s="132">
        <f>+Actuals!K98</f>
        <v>0</v>
      </c>
      <c r="O34" s="133">
        <f>+Actuals!L98</f>
        <v>0</v>
      </c>
      <c r="P34" s="132">
        <f>+Actuals!M98</f>
        <v>0</v>
      </c>
      <c r="Q34" s="133">
        <f>+Actuals!N98</f>
        <v>0</v>
      </c>
      <c r="R34" s="132">
        <f>+Actuals!O98</f>
        <v>0</v>
      </c>
      <c r="S34" s="133">
        <f>+Actuals!P98</f>
        <v>0</v>
      </c>
      <c r="T34" s="132">
        <f>+Actuals!Q98</f>
        <v>0</v>
      </c>
      <c r="U34" s="133">
        <f>+Actuals!R98</f>
        <v>0</v>
      </c>
      <c r="V34" s="129">
        <f>+Actuals!S138</f>
        <v>0</v>
      </c>
      <c r="W34" s="130">
        <f>+Actuals!T138</f>
        <v>0</v>
      </c>
      <c r="X34" s="132">
        <f>+Actuals!U138</f>
        <v>0</v>
      </c>
      <c r="Y34" s="133">
        <f>+Actuals!V138</f>
        <v>0</v>
      </c>
      <c r="Z34" s="132">
        <f>+Actuals!W138</f>
        <v>0</v>
      </c>
      <c r="AA34" s="133">
        <f>+Actuals!X138</f>
        <v>0</v>
      </c>
      <c r="AB34" s="132">
        <f>+Actuals!Y138</f>
        <v>0</v>
      </c>
      <c r="AC34" s="133">
        <f>+Actuals!Z138</f>
        <v>0</v>
      </c>
      <c r="AD34" s="132">
        <f>+Actuals!AA98</f>
        <v>0</v>
      </c>
      <c r="AE34" s="133">
        <f>+Actuals!AB98</f>
        <v>0</v>
      </c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2">
        <f>+Actuals!E99</f>
        <v>0</v>
      </c>
      <c r="I35" s="133">
        <f>+Actuals!F99</f>
        <v>0</v>
      </c>
      <c r="J35" s="132">
        <f>+Actuals!G99</f>
        <v>0</v>
      </c>
      <c r="K35" s="149">
        <f>+Actuals!H99</f>
        <v>0</v>
      </c>
      <c r="L35" s="132">
        <f>+Actuals!I99</f>
        <v>0</v>
      </c>
      <c r="M35" s="133">
        <f>+Actuals!J99</f>
        <v>0</v>
      </c>
      <c r="N35" s="132">
        <f>+Actuals!K99</f>
        <v>0</v>
      </c>
      <c r="O35" s="133">
        <f>+Actuals!L99</f>
        <v>0</v>
      </c>
      <c r="P35" s="132">
        <f>+Actuals!M99</f>
        <v>0</v>
      </c>
      <c r="Q35" s="133">
        <f>+Actuals!N99</f>
        <v>0</v>
      </c>
      <c r="R35" s="132">
        <f>+Actuals!O99</f>
        <v>0</v>
      </c>
      <c r="S35" s="133">
        <f>+Actuals!P99</f>
        <v>0</v>
      </c>
      <c r="T35" s="132">
        <f>+Actuals!Q99</f>
        <v>0</v>
      </c>
      <c r="U35" s="133">
        <f>+Actuals!R99</f>
        <v>0</v>
      </c>
      <c r="V35" s="129">
        <f>+Actuals!S139</f>
        <v>0</v>
      </c>
      <c r="W35" s="130">
        <f>+Actuals!T139</f>
        <v>0</v>
      </c>
      <c r="X35" s="132">
        <f>+Actuals!U139</f>
        <v>0</v>
      </c>
      <c r="Y35" s="133">
        <f>+Actuals!V139</f>
        <v>0</v>
      </c>
      <c r="Z35" s="132">
        <f>+Actuals!W139</f>
        <v>0</v>
      </c>
      <c r="AA35" s="133">
        <f>+Actuals!X139</f>
        <v>0</v>
      </c>
      <c r="AB35" s="132">
        <f>+Actuals!Y139</f>
        <v>0</v>
      </c>
      <c r="AC35" s="133">
        <f>+Actuals!Z139</f>
        <v>0</v>
      </c>
      <c r="AD35" s="132">
        <f>+Actuals!AA99</f>
        <v>0</v>
      </c>
      <c r="AE35" s="133">
        <f>+Actuals!AB99</f>
        <v>0</v>
      </c>
    </row>
    <row r="36" spans="1:31" x14ac:dyDescent="0.2">
      <c r="A36" s="9"/>
      <c r="B36" s="7" t="s">
        <v>46</v>
      </c>
      <c r="C36" s="6"/>
      <c r="D36" s="61">
        <f t="shared" ref="D36:AE36" si="9">SUM(D32:D35)</f>
        <v>22357</v>
      </c>
      <c r="E36" s="39">
        <f t="shared" si="9"/>
        <v>50013</v>
      </c>
      <c r="F36" s="61">
        <f t="shared" si="9"/>
        <v>0</v>
      </c>
      <c r="G36" s="39">
        <f t="shared" si="9"/>
        <v>0</v>
      </c>
      <c r="H36" s="61">
        <f t="shared" si="9"/>
        <v>-6106808</v>
      </c>
      <c r="I36" s="39">
        <f t="shared" si="9"/>
        <v>-13599861</v>
      </c>
      <c r="J36" s="61">
        <f t="shared" si="9"/>
        <v>6129165</v>
      </c>
      <c r="K36" s="150">
        <f t="shared" si="9"/>
        <v>13650600</v>
      </c>
      <c r="L36" s="61">
        <f t="shared" si="9"/>
        <v>181</v>
      </c>
      <c r="M36" s="39">
        <f t="shared" si="9"/>
        <v>14686</v>
      </c>
      <c r="N36" s="61">
        <f t="shared" si="9"/>
        <v>0</v>
      </c>
      <c r="O36" s="39">
        <f t="shared" si="9"/>
        <v>-2098</v>
      </c>
      <c r="P36" s="61">
        <f>SUM(P32:P35)</f>
        <v>-181</v>
      </c>
      <c r="Q36" s="39">
        <f>SUM(Q32:Q35)</f>
        <v>-13314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ref="X36:AC36" si="10">SUM(X32:X35)</f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4426699</v>
      </c>
      <c r="E39" s="38">
        <f t="shared" si="11"/>
        <v>10812059</v>
      </c>
      <c r="F39" s="64">
        <f>'TIE-OUT'!X39+RECLASS!X39</f>
        <v>0</v>
      </c>
      <c r="G39" s="68">
        <f>'TIE-OUT'!Y39+RECLASS!Y39</f>
        <v>0</v>
      </c>
      <c r="H39" s="132">
        <f>+Actuals!E100+5398984</f>
        <v>5398984</v>
      </c>
      <c r="I39" s="133">
        <f>+Actuals!F100+13205714</f>
        <v>13205714</v>
      </c>
      <c r="J39" s="132">
        <v>-916236</v>
      </c>
      <c r="K39" s="149">
        <v>-2257627</v>
      </c>
      <c r="L39" s="132">
        <v>-56049</v>
      </c>
      <c r="M39" s="133">
        <v>-136028</v>
      </c>
      <c r="N39" s="132">
        <f>+Actuals!K100</f>
        <v>0</v>
      </c>
      <c r="O39" s="133">
        <f>+Actuals!L100</f>
        <v>0</v>
      </c>
      <c r="P39" s="132">
        <f>+Actuals!M100</f>
        <v>0</v>
      </c>
      <c r="Q39" s="133">
        <f>+Actuals!N100</f>
        <v>0</v>
      </c>
      <c r="R39" s="132">
        <f>+Actuals!O100</f>
        <v>0</v>
      </c>
      <c r="S39" s="133">
        <f>+Actuals!P100</f>
        <v>0</v>
      </c>
      <c r="T39" s="132">
        <f>+Actuals!Q100</f>
        <v>0</v>
      </c>
      <c r="U39" s="133">
        <f>+Actuals!R100</f>
        <v>0</v>
      </c>
      <c r="V39" s="129">
        <f>+Actuals!S140</f>
        <v>0</v>
      </c>
      <c r="W39" s="130">
        <f>+Actuals!T140</f>
        <v>0</v>
      </c>
      <c r="X39" s="132">
        <f>+Actuals!U140</f>
        <v>0</v>
      </c>
      <c r="Y39" s="133">
        <f>+Actuals!V140</f>
        <v>0</v>
      </c>
      <c r="Z39" s="132">
        <f>+Actuals!W140</f>
        <v>0</v>
      </c>
      <c r="AA39" s="133">
        <f>+Actuals!X140</f>
        <v>0</v>
      </c>
      <c r="AB39" s="132">
        <f>+Actuals!Y140</f>
        <v>0</v>
      </c>
      <c r="AC39" s="133">
        <f>+Actuals!Z140</f>
        <v>0</v>
      </c>
      <c r="AD39" s="132">
        <f>+Actuals!AA100</f>
        <v>0</v>
      </c>
      <c r="AE39" s="133">
        <f>+Actuals!AB100</f>
        <v>0</v>
      </c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1106981</v>
      </c>
      <c r="E40" s="38">
        <f t="shared" si="11"/>
        <v>2718723</v>
      </c>
      <c r="F40" s="60">
        <f>'TIE-OUT'!X40+RECLASS!X40</f>
        <v>0</v>
      </c>
      <c r="G40" s="38">
        <f>'TIE-OUT'!Y40+RECLASS!Y40</f>
        <v>0</v>
      </c>
      <c r="H40" s="132">
        <f>+Actuals!E101</f>
        <v>0</v>
      </c>
      <c r="I40" s="133">
        <f>+Actuals!F101</f>
        <v>0</v>
      </c>
      <c r="J40" s="132">
        <f>+Actuals!G101</f>
        <v>0</v>
      </c>
      <c r="K40" s="149">
        <f>+Actuals!H101</f>
        <v>0</v>
      </c>
      <c r="L40" s="132">
        <v>1106981</v>
      </c>
      <c r="M40" s="133">
        <v>2718723</v>
      </c>
      <c r="N40" s="132">
        <f>+Actuals!K101</f>
        <v>0</v>
      </c>
      <c r="O40" s="133">
        <f>+Actuals!L101</f>
        <v>0</v>
      </c>
      <c r="P40" s="132">
        <f>+Actuals!M101</f>
        <v>0</v>
      </c>
      <c r="Q40" s="133">
        <f>+Actuals!N101</f>
        <v>0</v>
      </c>
      <c r="R40" s="132">
        <f>+Actuals!O101</f>
        <v>0</v>
      </c>
      <c r="S40" s="133">
        <f>+Actuals!P101</f>
        <v>0</v>
      </c>
      <c r="T40" s="132">
        <f>+Actuals!Q101</f>
        <v>0</v>
      </c>
      <c r="U40" s="133">
        <f>+Actuals!R101</f>
        <v>0</v>
      </c>
      <c r="V40" s="129">
        <f>+Actuals!S141</f>
        <v>0</v>
      </c>
      <c r="W40" s="130">
        <f>+Actuals!T141</f>
        <v>0</v>
      </c>
      <c r="X40" s="132">
        <f>+Actuals!U141</f>
        <v>0</v>
      </c>
      <c r="Y40" s="133">
        <f>+Actuals!V141</f>
        <v>0</v>
      </c>
      <c r="Z40" s="132">
        <f>+Actuals!W141</f>
        <v>0</v>
      </c>
      <c r="AA40" s="133">
        <f>+Actuals!X141</f>
        <v>0</v>
      </c>
      <c r="AB40" s="132">
        <f>+Actuals!Y141</f>
        <v>0</v>
      </c>
      <c r="AC40" s="133">
        <f>+Actuals!Z141</f>
        <v>0</v>
      </c>
      <c r="AD40" s="132">
        <f>+Actuals!AA101</f>
        <v>0</v>
      </c>
      <c r="AE40" s="133">
        <f>+Actuals!AB101</f>
        <v>0</v>
      </c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2">
        <f>+Actuals!E102</f>
        <v>0</v>
      </c>
      <c r="I41" s="133">
        <f>+Actuals!F102</f>
        <v>0</v>
      </c>
      <c r="J41" s="132">
        <f>+Actuals!G102</f>
        <v>0</v>
      </c>
      <c r="K41" s="149">
        <f>+Actuals!H102</f>
        <v>0</v>
      </c>
      <c r="L41" s="132">
        <f>+Actuals!I102</f>
        <v>0</v>
      </c>
      <c r="M41" s="133">
        <f>+Actuals!J102</f>
        <v>0</v>
      </c>
      <c r="N41" s="132">
        <f>+Actuals!K102</f>
        <v>0</v>
      </c>
      <c r="O41" s="133">
        <f>+Actuals!L102</f>
        <v>0</v>
      </c>
      <c r="P41" s="132">
        <f>+Actuals!M102</f>
        <v>0</v>
      </c>
      <c r="Q41" s="133">
        <f>+Actuals!N102</f>
        <v>0</v>
      </c>
      <c r="R41" s="132">
        <f>+Actuals!O102</f>
        <v>0</v>
      </c>
      <c r="S41" s="133">
        <f>+Actuals!P102</f>
        <v>0</v>
      </c>
      <c r="T41" s="132">
        <f>+Actuals!Q102</f>
        <v>0</v>
      </c>
      <c r="U41" s="133">
        <f>+Actuals!R102</f>
        <v>0</v>
      </c>
      <c r="V41" s="129">
        <f>+Actuals!S142</f>
        <v>0</v>
      </c>
      <c r="W41" s="130">
        <f>+Actuals!T142</f>
        <v>0</v>
      </c>
      <c r="X41" s="132">
        <f>+Actuals!U142</f>
        <v>0</v>
      </c>
      <c r="Y41" s="133">
        <f>+Actuals!V142</f>
        <v>0</v>
      </c>
      <c r="Z41" s="132">
        <f>+Actuals!W142</f>
        <v>0</v>
      </c>
      <c r="AA41" s="133">
        <f>+Actuals!X142</f>
        <v>0</v>
      </c>
      <c r="AB41" s="132">
        <f>+Actuals!Y142</f>
        <v>0</v>
      </c>
      <c r="AC41" s="133">
        <f>+Actuals!Z142</f>
        <v>0</v>
      </c>
      <c r="AD41" s="132">
        <f>+Actuals!AA102</f>
        <v>0</v>
      </c>
      <c r="AE41" s="133">
        <f>+Actuals!AB102</f>
        <v>0</v>
      </c>
    </row>
    <row r="42" spans="1:31" x14ac:dyDescent="0.2">
      <c r="A42" s="9"/>
      <c r="B42" s="7"/>
      <c r="C42" s="53" t="s">
        <v>51</v>
      </c>
      <c r="D42" s="61">
        <f t="shared" ref="D42:AE42" si="12">SUM(D40:D41)</f>
        <v>1106981</v>
      </c>
      <c r="E42" s="39">
        <f t="shared" si="12"/>
        <v>2718723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1106981</v>
      </c>
      <c r="M42" s="39">
        <f t="shared" si="12"/>
        <v>2718723</v>
      </c>
      <c r="N42" s="61">
        <f t="shared" si="12"/>
        <v>0</v>
      </c>
      <c r="O42" s="39">
        <f t="shared" si="12"/>
        <v>0</v>
      </c>
      <c r="P42" s="61">
        <f>SUM(P40:P41)</f>
        <v>0</v>
      </c>
      <c r="Q42" s="39">
        <f>SUM(Q40:Q41)</f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ref="X42:AC42" si="13">SUM(X40:X41)</f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52</v>
      </c>
      <c r="C43" s="6"/>
      <c r="D43" s="61">
        <f t="shared" ref="D43:AE43" si="14">D42+D39</f>
        <v>5533680</v>
      </c>
      <c r="E43" s="39">
        <f t="shared" si="14"/>
        <v>13530782</v>
      </c>
      <c r="F43" s="61">
        <f t="shared" si="14"/>
        <v>0</v>
      </c>
      <c r="G43" s="39">
        <f t="shared" si="14"/>
        <v>0</v>
      </c>
      <c r="H43" s="61">
        <f t="shared" si="14"/>
        <v>5398984</v>
      </c>
      <c r="I43" s="39">
        <f t="shared" si="14"/>
        <v>13205714</v>
      </c>
      <c r="J43" s="61">
        <f t="shared" si="14"/>
        <v>-916236</v>
      </c>
      <c r="K43" s="150">
        <f t="shared" si="14"/>
        <v>-2257627</v>
      </c>
      <c r="L43" s="61">
        <f t="shared" si="14"/>
        <v>1050932</v>
      </c>
      <c r="M43" s="39">
        <f t="shared" si="14"/>
        <v>2582695</v>
      </c>
      <c r="N43" s="61">
        <f t="shared" si="14"/>
        <v>0</v>
      </c>
      <c r="O43" s="39">
        <f t="shared" si="14"/>
        <v>0</v>
      </c>
      <c r="P43" s="61">
        <f>P42+P39</f>
        <v>0</v>
      </c>
      <c r="Q43" s="39">
        <f>Q42+Q39</f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ref="X43:AC43" si="15">X42+X39</f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132">
        <f>+Actuals!E103</f>
        <v>0</v>
      </c>
      <c r="I45" s="133">
        <f>+Actuals!F103</f>
        <v>0</v>
      </c>
      <c r="J45" s="132">
        <f>+Actuals!G103</f>
        <v>0</v>
      </c>
      <c r="K45" s="149">
        <f>+Actuals!H103</f>
        <v>0</v>
      </c>
      <c r="L45" s="132">
        <f>+Actuals!I103</f>
        <v>0</v>
      </c>
      <c r="M45" s="133">
        <f>+Actuals!J103</f>
        <v>0</v>
      </c>
      <c r="N45" s="132">
        <f>+Actuals!K103</f>
        <v>0</v>
      </c>
      <c r="O45" s="133">
        <f>+Actuals!L103</f>
        <v>0</v>
      </c>
      <c r="P45" s="132">
        <f>+Actuals!M103</f>
        <v>0</v>
      </c>
      <c r="Q45" s="133">
        <f>+Actuals!N103</f>
        <v>0</v>
      </c>
      <c r="R45" s="132">
        <f>+Actuals!O103</f>
        <v>0</v>
      </c>
      <c r="S45" s="133">
        <f>+Actuals!P103</f>
        <v>0</v>
      </c>
      <c r="T45" s="132">
        <f>+Actuals!Q103</f>
        <v>0</v>
      </c>
      <c r="U45" s="133">
        <f>+Actuals!R103</f>
        <v>0</v>
      </c>
      <c r="V45" s="129">
        <f>+Actuals!S143</f>
        <v>0</v>
      </c>
      <c r="W45" s="130">
        <f>+Actuals!T143</f>
        <v>0</v>
      </c>
      <c r="X45" s="132">
        <f>+Actuals!U143</f>
        <v>0</v>
      </c>
      <c r="Y45" s="133">
        <f>+Actuals!V143</f>
        <v>0</v>
      </c>
      <c r="Z45" s="132">
        <f>+Actuals!W143</f>
        <v>0</v>
      </c>
      <c r="AA45" s="133">
        <f>+Actuals!X143</f>
        <v>0</v>
      </c>
      <c r="AB45" s="132">
        <f>+Actuals!Y143</f>
        <v>0</v>
      </c>
      <c r="AC45" s="133">
        <f>+Actuals!Z143</f>
        <v>0</v>
      </c>
      <c r="AD45" s="132">
        <f>+Actuals!AA103</f>
        <v>0</v>
      </c>
      <c r="AE45" s="133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132">
        <f>+Actuals!E104</f>
        <v>0</v>
      </c>
      <c r="I47" s="133">
        <f>+Actuals!F104</f>
        <v>0</v>
      </c>
      <c r="J47" s="132">
        <f>+Actuals!G104</f>
        <v>0</v>
      </c>
      <c r="K47" s="149">
        <f>+Actuals!H104</f>
        <v>0</v>
      </c>
      <c r="L47" s="132">
        <f>+Actuals!I104</f>
        <v>0</v>
      </c>
      <c r="M47" s="133">
        <f>+Actuals!J104</f>
        <v>0</v>
      </c>
      <c r="N47" s="132">
        <f>+Actuals!K104</f>
        <v>0</v>
      </c>
      <c r="O47" s="133">
        <f>+Actuals!L104</f>
        <v>0</v>
      </c>
      <c r="P47" s="132">
        <f>+Actuals!M104</f>
        <v>0</v>
      </c>
      <c r="Q47" s="133">
        <f>+Actuals!N104</f>
        <v>0</v>
      </c>
      <c r="R47" s="132">
        <f>+Actuals!O104</f>
        <v>0</v>
      </c>
      <c r="S47" s="133">
        <f>+Actuals!P104</f>
        <v>0</v>
      </c>
      <c r="T47" s="132">
        <f>+Actuals!Q104</f>
        <v>0</v>
      </c>
      <c r="U47" s="133">
        <f>+Actuals!R104</f>
        <v>0</v>
      </c>
      <c r="V47" s="129">
        <f>+Actuals!S144</f>
        <v>0</v>
      </c>
      <c r="W47" s="130">
        <f>+Actuals!T144</f>
        <v>0</v>
      </c>
      <c r="X47" s="132">
        <f>+Actuals!U144</f>
        <v>0</v>
      </c>
      <c r="Y47" s="133">
        <f>+Actuals!V144</f>
        <v>0</v>
      </c>
      <c r="Z47" s="132">
        <f>+Actuals!W144</f>
        <v>0</v>
      </c>
      <c r="AA47" s="133">
        <f>+Actuals!X144</f>
        <v>0</v>
      </c>
      <c r="AB47" s="132">
        <f>+Actuals!Y144</f>
        <v>0</v>
      </c>
      <c r="AC47" s="133">
        <f>+Actuals!Z144</f>
        <v>0</v>
      </c>
      <c r="AD47" s="132">
        <f>+Actuals!AA104</f>
        <v>0</v>
      </c>
      <c r="AE47" s="133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-13612</v>
      </c>
      <c r="E49" s="38">
        <f>SUM(G49,I49,K49,M49,O49,Q49,S49,U49,W49,Y49,AA49,AC49,AE49)</f>
        <v>-30314</v>
      </c>
      <c r="F49" s="60">
        <f>'TIE-OUT'!X49+RECLASS!X49</f>
        <v>0</v>
      </c>
      <c r="G49" s="38">
        <f>'TIE-OUT'!Y49+RECLASS!Y49</f>
        <v>0</v>
      </c>
      <c r="H49" s="132">
        <f>+Actuals!E105</f>
        <v>0</v>
      </c>
      <c r="I49" s="133">
        <f>+Actuals!F105</f>
        <v>0</v>
      </c>
      <c r="J49" s="132">
        <v>-5212929</v>
      </c>
      <c r="K49" s="149">
        <v>-11609193</v>
      </c>
      <c r="L49" s="132">
        <v>-1051113</v>
      </c>
      <c r="M49" s="133">
        <v>-2340829</v>
      </c>
      <c r="N49" s="132">
        <f>+Actuals!K105</f>
        <v>0</v>
      </c>
      <c r="O49" s="133">
        <f>+Actuals!L105</f>
        <v>0</v>
      </c>
      <c r="P49" s="132">
        <v>6250430</v>
      </c>
      <c r="Q49" s="133">
        <v>13919708</v>
      </c>
      <c r="R49" s="132">
        <f>+Actuals!O105</f>
        <v>0</v>
      </c>
      <c r="S49" s="133">
        <f>+Actuals!P105</f>
        <v>0</v>
      </c>
      <c r="T49" s="132">
        <f>+Actuals!Q105</f>
        <v>0</v>
      </c>
      <c r="U49" s="133">
        <f>+Actuals!R105</f>
        <v>0</v>
      </c>
      <c r="V49" s="129">
        <f>+Actuals!S145</f>
        <v>0</v>
      </c>
      <c r="W49" s="130">
        <f>+Actuals!T145</f>
        <v>0</v>
      </c>
      <c r="X49" s="132">
        <f>+Actuals!U145</f>
        <v>0</v>
      </c>
      <c r="Y49" s="133">
        <f>+Actuals!V145</f>
        <v>0</v>
      </c>
      <c r="Z49" s="132">
        <f>+Actuals!W145</f>
        <v>0</v>
      </c>
      <c r="AA49" s="133">
        <f>+Actuals!X145</f>
        <v>0</v>
      </c>
      <c r="AB49" s="132">
        <f>+Actuals!Y145</f>
        <v>0</v>
      </c>
      <c r="AC49" s="133">
        <f>+Actuals!Z145</f>
        <v>0</v>
      </c>
      <c r="AD49" s="132">
        <f>+Actuals!AA105</f>
        <v>0</v>
      </c>
      <c r="AE49" s="133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-514013</v>
      </c>
      <c r="E51" s="38">
        <f>SUM(G51,I51,K51,M51,O51,Q51,S51,U51,W51,Y51,AA51,AC51,AE51)</f>
        <v>-1144707</v>
      </c>
      <c r="F51" s="60">
        <f>'TIE-OUT'!X51+RECLASS!X51</f>
        <v>0</v>
      </c>
      <c r="G51" s="38">
        <f>'TIE-OUT'!Y51+RECLASS!Y51</f>
        <v>0</v>
      </c>
      <c r="H51" s="132">
        <f>+Actuals!E106-541480</f>
        <v>-541480</v>
      </c>
      <c r="I51" s="133">
        <f>+Actuals!F106-1205876</f>
        <v>-1205876</v>
      </c>
      <c r="J51" s="132">
        <v>27286</v>
      </c>
      <c r="K51" s="149">
        <v>60766</v>
      </c>
      <c r="L51" s="132">
        <v>181</v>
      </c>
      <c r="M51" s="133">
        <v>403</v>
      </c>
      <c r="N51" s="132">
        <f>+Actuals!K106</f>
        <v>0</v>
      </c>
      <c r="O51" s="133">
        <f>+Actuals!L106</f>
        <v>0</v>
      </c>
      <c r="P51" s="132">
        <v>0</v>
      </c>
      <c r="Q51" s="133">
        <v>0</v>
      </c>
      <c r="R51" s="132">
        <f>+Actuals!O106</f>
        <v>0</v>
      </c>
      <c r="S51" s="133">
        <f>+Actuals!P106</f>
        <v>0</v>
      </c>
      <c r="T51" s="132">
        <f>+Actuals!Q106</f>
        <v>0</v>
      </c>
      <c r="U51" s="133">
        <f>+Actuals!R106</f>
        <v>0</v>
      </c>
      <c r="V51" s="129">
        <f>+Actuals!S146</f>
        <v>0</v>
      </c>
      <c r="W51" s="130">
        <f>+Actuals!T146</f>
        <v>0</v>
      </c>
      <c r="X51" s="132">
        <f>+Actuals!U146</f>
        <v>0</v>
      </c>
      <c r="Y51" s="133">
        <f>+Actuals!V146</f>
        <v>0</v>
      </c>
      <c r="Z51" s="132">
        <f>+Actuals!W146</f>
        <v>0</v>
      </c>
      <c r="AA51" s="133">
        <f>+Actuals!X146</f>
        <v>0</v>
      </c>
      <c r="AB51" s="132">
        <f>+Actuals!Y146</f>
        <v>0</v>
      </c>
      <c r="AC51" s="133">
        <f>+Actuals!Z146</f>
        <v>0</v>
      </c>
      <c r="AD51" s="132">
        <f>+Actuals!AA106</f>
        <v>0</v>
      </c>
      <c r="AE51" s="133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-16652170</v>
      </c>
      <c r="E54" s="38">
        <f>SUM(G54,I54,K54,M54,O54,Q54,S54,U54,W54,Y54,AA54,AC54,AE54)</f>
        <v>-569364</v>
      </c>
      <c r="F54" s="64">
        <f>'TIE-OUT'!X54+RECLASS!X54</f>
        <v>0</v>
      </c>
      <c r="G54" s="68">
        <f>'TIE-OUT'!Y54+RECLASS!Y54</f>
        <v>262729</v>
      </c>
      <c r="H54" s="132">
        <f>+Actuals!E107-9676810-11175895</f>
        <v>-20852705</v>
      </c>
      <c r="I54" s="133">
        <f>+Actuals!F107-280883-448031</f>
        <v>-728914</v>
      </c>
      <c r="J54" s="132">
        <v>-1587911</v>
      </c>
      <c r="K54" s="149">
        <f>239045-342224</f>
        <v>-103179</v>
      </c>
      <c r="L54" s="132">
        <v>5788446</v>
      </c>
      <c r="M54" s="133">
        <f>+Actuals!J107</f>
        <v>0</v>
      </c>
      <c r="N54" s="132">
        <f>+Actuals!K107</f>
        <v>0</v>
      </c>
      <c r="O54" s="133">
        <f>+Actuals!L107</f>
        <v>0</v>
      </c>
      <c r="P54" s="132">
        <f>+Actuals!M107</f>
        <v>0</v>
      </c>
      <c r="Q54" s="133">
        <f>+Actuals!N107</f>
        <v>0</v>
      </c>
      <c r="R54" s="132">
        <f>+Actuals!O107</f>
        <v>0</v>
      </c>
      <c r="S54" s="133">
        <f>+Actuals!P107</f>
        <v>0</v>
      </c>
      <c r="T54" s="132">
        <f>+Actuals!Q107</f>
        <v>0</v>
      </c>
      <c r="U54" s="133">
        <f>+Actuals!R107</f>
        <v>0</v>
      </c>
      <c r="V54" s="129">
        <f>+Actuals!S147</f>
        <v>0</v>
      </c>
      <c r="W54" s="130">
        <f>+Actuals!T147</f>
        <v>0</v>
      </c>
      <c r="X54" s="132">
        <f>+Actuals!U147</f>
        <v>0</v>
      </c>
      <c r="Y54" s="133">
        <f>+Actuals!V147</f>
        <v>0</v>
      </c>
      <c r="Z54" s="132">
        <f>+Actuals!W147</f>
        <v>0</v>
      </c>
      <c r="AA54" s="133">
        <f>+Actuals!X147</f>
        <v>0</v>
      </c>
      <c r="AB54" s="132">
        <f>+Actuals!Y147</f>
        <v>0</v>
      </c>
      <c r="AC54" s="133">
        <f>+Actuals!Z147</f>
        <v>0</v>
      </c>
      <c r="AD54" s="132">
        <f>+Actuals!AA107</f>
        <v>0</v>
      </c>
      <c r="AE54" s="133">
        <f>+Actuals!AB107</f>
        <v>0</v>
      </c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-10080057</v>
      </c>
      <c r="F55" s="81">
        <f>'TIE-OUT'!X55+RECLASS!X55</f>
        <v>0</v>
      </c>
      <c r="G55" s="82">
        <f>'TIE-OUT'!Y55+RECLASS!Y55</f>
        <v>-1810205</v>
      </c>
      <c r="H55" s="132">
        <f>+Actuals!E108</f>
        <v>0</v>
      </c>
      <c r="I55" s="133">
        <f>+Actuals!F108-8640365</f>
        <v>-8640365</v>
      </c>
      <c r="J55" s="132">
        <f>+Actuals!G108</f>
        <v>0</v>
      </c>
      <c r="K55" s="149">
        <v>342224</v>
      </c>
      <c r="L55" s="132">
        <f>+Actuals!I108</f>
        <v>0</v>
      </c>
      <c r="M55" s="133">
        <f>+Actuals!J108</f>
        <v>0</v>
      </c>
      <c r="N55" s="132">
        <f>+Actuals!K108</f>
        <v>0</v>
      </c>
      <c r="O55" s="133">
        <v>28289</v>
      </c>
      <c r="P55" s="132">
        <f>+Actuals!M108</f>
        <v>0</v>
      </c>
      <c r="Q55" s="133">
        <v>0</v>
      </c>
      <c r="R55" s="132">
        <f>+Actuals!O108</f>
        <v>0</v>
      </c>
      <c r="S55" s="133">
        <f>+Actuals!P108</f>
        <v>0</v>
      </c>
      <c r="T55" s="132">
        <f>+Actuals!Q108</f>
        <v>0</v>
      </c>
      <c r="U55" s="133">
        <f>+Actuals!R108</f>
        <v>0</v>
      </c>
      <c r="V55" s="129">
        <f>+Actuals!S148</f>
        <v>0</v>
      </c>
      <c r="W55" s="130">
        <f>+Actuals!T148</f>
        <v>0</v>
      </c>
      <c r="X55" s="132">
        <f>+Actuals!U148</f>
        <v>0</v>
      </c>
      <c r="Y55" s="133">
        <f>+Actuals!V148</f>
        <v>0</v>
      </c>
      <c r="Z55" s="132">
        <f>+Actuals!W148</f>
        <v>0</v>
      </c>
      <c r="AA55" s="133">
        <f>+Actuals!X148</f>
        <v>0</v>
      </c>
      <c r="AB55" s="132">
        <f>+Actuals!Y148</f>
        <v>0</v>
      </c>
      <c r="AC55" s="133">
        <f>+Actuals!Z148</f>
        <v>0</v>
      </c>
      <c r="AD55" s="132">
        <f>+Actuals!AA108</f>
        <v>0</v>
      </c>
      <c r="AE55" s="133">
        <f>+Actuals!AB108</f>
        <v>0</v>
      </c>
    </row>
    <row r="56" spans="1:31" x14ac:dyDescent="0.2">
      <c r="A56" s="9"/>
      <c r="B56" s="7" t="s">
        <v>60</v>
      </c>
      <c r="C56" s="6"/>
      <c r="D56" s="61">
        <f t="shared" ref="D56:AE56" si="16">SUM(D54:D55)</f>
        <v>-16652170</v>
      </c>
      <c r="E56" s="39">
        <f t="shared" si="16"/>
        <v>-10649421</v>
      </c>
      <c r="F56" s="61">
        <f t="shared" si="16"/>
        <v>0</v>
      </c>
      <c r="G56" s="39">
        <f t="shared" si="16"/>
        <v>-1547476</v>
      </c>
      <c r="H56" s="61">
        <f t="shared" si="16"/>
        <v>-20852705</v>
      </c>
      <c r="I56" s="39">
        <f t="shared" si="16"/>
        <v>-9369279</v>
      </c>
      <c r="J56" s="61">
        <f t="shared" si="16"/>
        <v>-1587911</v>
      </c>
      <c r="K56" s="150">
        <f t="shared" si="16"/>
        <v>239045</v>
      </c>
      <c r="L56" s="61">
        <f t="shared" si="16"/>
        <v>5788446</v>
      </c>
      <c r="M56" s="39">
        <f t="shared" si="16"/>
        <v>0</v>
      </c>
      <c r="N56" s="61">
        <f t="shared" si="16"/>
        <v>0</v>
      </c>
      <c r="O56" s="39">
        <f t="shared" si="16"/>
        <v>28289</v>
      </c>
      <c r="P56" s="61">
        <f>SUM(P54:P55)</f>
        <v>0</v>
      </c>
      <c r="Q56" s="39">
        <f>SUM(Q54:Q55)</f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ref="X56:AC56" si="17">SUM(X54:X55)</f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-46</v>
      </c>
      <c r="F59" s="64">
        <f>'TIE-OUT'!X59+RECLASS!X59</f>
        <v>0</v>
      </c>
      <c r="G59" s="68">
        <f>'TIE-OUT'!Y59+RECLASS!Y59</f>
        <v>0</v>
      </c>
      <c r="H59" s="132">
        <f>+Actuals!E109</f>
        <v>0</v>
      </c>
      <c r="I59" s="133">
        <f>+Actuals!F109</f>
        <v>0</v>
      </c>
      <c r="J59" s="132">
        <f>+Actuals!G109</f>
        <v>0</v>
      </c>
      <c r="K59" s="149">
        <f>+Actuals!H109</f>
        <v>0</v>
      </c>
      <c r="L59" s="132">
        <f>+Actuals!I109</f>
        <v>0</v>
      </c>
      <c r="M59" s="133">
        <v>-46</v>
      </c>
      <c r="N59" s="132">
        <f>+Actuals!K109</f>
        <v>0</v>
      </c>
      <c r="O59" s="133">
        <f>+Actuals!L109</f>
        <v>0</v>
      </c>
      <c r="P59" s="132">
        <f>+Actuals!M109</f>
        <v>0</v>
      </c>
      <c r="Q59" s="133">
        <f>+Actuals!N109</f>
        <v>0</v>
      </c>
      <c r="R59" s="132">
        <f>+Actuals!O109</f>
        <v>0</v>
      </c>
      <c r="S59" s="133">
        <f>+Actuals!P109</f>
        <v>0</v>
      </c>
      <c r="T59" s="132">
        <f>+Actuals!Q109</f>
        <v>0</v>
      </c>
      <c r="U59" s="133">
        <f>+Actuals!R109</f>
        <v>0</v>
      </c>
      <c r="V59" s="129">
        <f>+Actuals!S149</f>
        <v>0</v>
      </c>
      <c r="W59" s="130">
        <f>+Actuals!T149</f>
        <v>0</v>
      </c>
      <c r="X59" s="132">
        <f>+Actuals!U149</f>
        <v>0</v>
      </c>
      <c r="Y59" s="133">
        <f>+Actuals!V149</f>
        <v>0</v>
      </c>
      <c r="Z59" s="132">
        <f>+Actuals!W149</f>
        <v>0</v>
      </c>
      <c r="AA59" s="133">
        <f>+Actuals!X149</f>
        <v>0</v>
      </c>
      <c r="AB59" s="132">
        <f>+Actuals!Y149</f>
        <v>0</v>
      </c>
      <c r="AC59" s="133">
        <f>+Actuals!Z149</f>
        <v>0</v>
      </c>
      <c r="AD59" s="132">
        <f>+Actuals!AA109</f>
        <v>0</v>
      </c>
      <c r="AE59" s="133">
        <f>+Actuals!AB109</f>
        <v>0</v>
      </c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132">
        <f>+Actuals!E110</f>
        <v>0</v>
      </c>
      <c r="I60" s="133">
        <f>+Actuals!F110</f>
        <v>0</v>
      </c>
      <c r="J60" s="132">
        <f>+Actuals!G110</f>
        <v>0</v>
      </c>
      <c r="K60" s="149">
        <f>+Actuals!H110</f>
        <v>0</v>
      </c>
      <c r="L60" s="132">
        <f>+Actuals!I110</f>
        <v>0</v>
      </c>
      <c r="M60" s="133">
        <f>+Actuals!J110</f>
        <v>0</v>
      </c>
      <c r="N60" s="132">
        <f>+Actuals!K110</f>
        <v>0</v>
      </c>
      <c r="O60" s="133">
        <f>+Actuals!L110</f>
        <v>0</v>
      </c>
      <c r="P60" s="132">
        <f>+Actuals!M110</f>
        <v>0</v>
      </c>
      <c r="Q60" s="133">
        <f>+Actuals!N110</f>
        <v>0</v>
      </c>
      <c r="R60" s="132">
        <f>+Actuals!O110</f>
        <v>0</v>
      </c>
      <c r="S60" s="133">
        <f>+Actuals!P110</f>
        <v>0</v>
      </c>
      <c r="T60" s="132">
        <f>+Actuals!Q110</f>
        <v>0</v>
      </c>
      <c r="U60" s="133">
        <f>+Actuals!R110</f>
        <v>0</v>
      </c>
      <c r="V60" s="129">
        <f>+Actuals!S150</f>
        <v>0</v>
      </c>
      <c r="W60" s="130">
        <f>+Actuals!T150</f>
        <v>0</v>
      </c>
      <c r="X60" s="132">
        <f>+Actuals!U150</f>
        <v>0</v>
      </c>
      <c r="Y60" s="133">
        <f>+Actuals!V150</f>
        <v>0</v>
      </c>
      <c r="Z60" s="132">
        <f>+Actuals!W150</f>
        <v>0</v>
      </c>
      <c r="AA60" s="133">
        <f>+Actuals!X150</f>
        <v>0</v>
      </c>
      <c r="AB60" s="132">
        <f>+Actuals!Y150</f>
        <v>0</v>
      </c>
      <c r="AC60" s="133">
        <f>+Actuals!Z150</f>
        <v>0</v>
      </c>
      <c r="AD60" s="132">
        <f>+Actuals!AA110</f>
        <v>0</v>
      </c>
      <c r="AE60" s="133">
        <f>+Actuals!AB110</f>
        <v>0</v>
      </c>
    </row>
    <row r="61" spans="1:31" x14ac:dyDescent="0.2">
      <c r="A61" s="9"/>
      <c r="B61" s="62" t="s">
        <v>64</v>
      </c>
      <c r="C61" s="6"/>
      <c r="D61" s="61">
        <f t="shared" ref="D61:AE61" si="18">SUM(D59:D60)</f>
        <v>0</v>
      </c>
      <c r="E61" s="39">
        <f t="shared" si="18"/>
        <v>-46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-46</v>
      </c>
      <c r="N61" s="61">
        <f t="shared" si="18"/>
        <v>0</v>
      </c>
      <c r="O61" s="39">
        <f t="shared" si="18"/>
        <v>0</v>
      </c>
      <c r="P61" s="61">
        <f>SUM(P59:P60)</f>
        <v>0</v>
      </c>
      <c r="Q61" s="39">
        <f>SUM(Q59:Q60)</f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ref="X61:AC61" si="19">SUM(X59:X60)</f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132">
        <f>+Actuals!E111</f>
        <v>0</v>
      </c>
      <c r="I64" s="133">
        <f>+Actuals!F111</f>
        <v>0</v>
      </c>
      <c r="J64" s="132">
        <f>+Actuals!G111</f>
        <v>0</v>
      </c>
      <c r="K64" s="149">
        <f>+Actuals!H111</f>
        <v>0</v>
      </c>
      <c r="L64" s="132">
        <f>+Actuals!I111</f>
        <v>0</v>
      </c>
      <c r="M64" s="133">
        <f>+Actuals!J111</f>
        <v>0</v>
      </c>
      <c r="N64" s="132">
        <f>+Actuals!K111</f>
        <v>0</v>
      </c>
      <c r="O64" s="133">
        <f>+Actuals!L111</f>
        <v>0</v>
      </c>
      <c r="P64" s="132">
        <f>+Actuals!M111</f>
        <v>0</v>
      </c>
      <c r="Q64" s="133">
        <f>+Actuals!N111</f>
        <v>0</v>
      </c>
      <c r="R64" s="132">
        <f>+Actuals!O111</f>
        <v>0</v>
      </c>
      <c r="S64" s="133">
        <f>+Actuals!P111</f>
        <v>0</v>
      </c>
      <c r="T64" s="132">
        <f>+Actuals!Q111</f>
        <v>0</v>
      </c>
      <c r="U64" s="133">
        <f>+Actuals!R111</f>
        <v>0</v>
      </c>
      <c r="V64" s="129">
        <f>+Actuals!S151</f>
        <v>0</v>
      </c>
      <c r="W64" s="130">
        <f>+Actuals!T151</f>
        <v>0</v>
      </c>
      <c r="X64" s="132">
        <f>+Actuals!U151</f>
        <v>0</v>
      </c>
      <c r="Y64" s="133">
        <f>+Actuals!V151</f>
        <v>0</v>
      </c>
      <c r="Z64" s="132">
        <f>+Actuals!W151</f>
        <v>0</v>
      </c>
      <c r="AA64" s="133">
        <f>+Actuals!X151</f>
        <v>0</v>
      </c>
      <c r="AB64" s="132">
        <f>+Actuals!Y151</f>
        <v>0</v>
      </c>
      <c r="AC64" s="133">
        <f>+Actuals!Z151</f>
        <v>0</v>
      </c>
      <c r="AD64" s="132">
        <f>+Actuals!AA111</f>
        <v>0</v>
      </c>
      <c r="AE64" s="133">
        <f>+Actuals!AB111</f>
        <v>0</v>
      </c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132">
        <f>+Actuals!E112</f>
        <v>0</v>
      </c>
      <c r="I65" s="133">
        <f>+Actuals!F112</f>
        <v>0</v>
      </c>
      <c r="J65" s="132">
        <f>+Actuals!G112</f>
        <v>0</v>
      </c>
      <c r="K65" s="149">
        <f>+Actuals!H112</f>
        <v>0</v>
      </c>
      <c r="L65" s="132">
        <f>+Actuals!I112</f>
        <v>0</v>
      </c>
      <c r="M65" s="133">
        <f>+Actuals!J112</f>
        <v>0</v>
      </c>
      <c r="N65" s="132">
        <f>+Actuals!K112</f>
        <v>0</v>
      </c>
      <c r="O65" s="133">
        <f>+Actuals!L112</f>
        <v>0</v>
      </c>
      <c r="P65" s="132">
        <f>+Actuals!M112</f>
        <v>0</v>
      </c>
      <c r="Q65" s="133">
        <f>+Actuals!N112</f>
        <v>0</v>
      </c>
      <c r="R65" s="132">
        <f>+Actuals!O112</f>
        <v>0</v>
      </c>
      <c r="S65" s="133">
        <f>+Actuals!P112</f>
        <v>0</v>
      </c>
      <c r="T65" s="132">
        <f>+Actuals!Q112</f>
        <v>0</v>
      </c>
      <c r="U65" s="133">
        <f>+Actuals!R112</f>
        <v>0</v>
      </c>
      <c r="V65" s="129">
        <f>+Actuals!S152</f>
        <v>0</v>
      </c>
      <c r="W65" s="130">
        <f>+Actuals!T152</f>
        <v>0</v>
      </c>
      <c r="X65" s="132">
        <f>+Actuals!U152</f>
        <v>0</v>
      </c>
      <c r="Y65" s="133">
        <f>+Actuals!V152</f>
        <v>0</v>
      </c>
      <c r="Z65" s="132">
        <f>+Actuals!W152</f>
        <v>0</v>
      </c>
      <c r="AA65" s="133">
        <f>+Actuals!X152</f>
        <v>0</v>
      </c>
      <c r="AB65" s="132">
        <f>+Actuals!Y152</f>
        <v>0</v>
      </c>
      <c r="AC65" s="133">
        <f>+Actuals!Z152</f>
        <v>0</v>
      </c>
      <c r="AD65" s="132">
        <f>+Actuals!AA112</f>
        <v>0</v>
      </c>
      <c r="AE65" s="133">
        <f>+Actuals!AB112</f>
        <v>0</v>
      </c>
    </row>
    <row r="66" spans="1:31" x14ac:dyDescent="0.2">
      <c r="A66" s="9"/>
      <c r="B66" s="7" t="s">
        <v>67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>SUM(P64:P65)</f>
        <v>0</v>
      </c>
      <c r="Q66" s="39">
        <f>SUM(Q64:Q65)</f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ref="X66:AC66" si="21">SUM(X64:X65)</f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6075072.7400000002</v>
      </c>
      <c r="F70" s="64">
        <f>'TIE-OUT'!X70+RECLASS!X70</f>
        <v>0</v>
      </c>
      <c r="G70" s="68">
        <f>'TIE-OUT'!Y70+RECLASS!Y70</f>
        <v>6075072.7400000002</v>
      </c>
      <c r="H70" s="132">
        <f>+Actuals!E113</f>
        <v>0</v>
      </c>
      <c r="I70" s="133">
        <f>+Actuals!F113</f>
        <v>0</v>
      </c>
      <c r="J70" s="132">
        <f>+Actuals!G113</f>
        <v>0</v>
      </c>
      <c r="K70" s="159">
        <v>0</v>
      </c>
      <c r="L70" s="132">
        <f>+Actuals!I113</f>
        <v>0</v>
      </c>
      <c r="M70" s="133">
        <f>+Actuals!J113</f>
        <v>0</v>
      </c>
      <c r="N70" s="132">
        <f>+Actuals!K113</f>
        <v>0</v>
      </c>
      <c r="O70" s="133">
        <f>+Actuals!L113</f>
        <v>0</v>
      </c>
      <c r="P70" s="132">
        <f>+Actuals!M113</f>
        <v>0</v>
      </c>
      <c r="Q70" s="133">
        <f>+Actuals!N113</f>
        <v>0</v>
      </c>
      <c r="R70" s="132">
        <f>+Actuals!O113</f>
        <v>0</v>
      </c>
      <c r="S70" s="133">
        <f>+Actuals!P113</f>
        <v>0</v>
      </c>
      <c r="T70" s="132">
        <f>+Actuals!Q113</f>
        <v>0</v>
      </c>
      <c r="U70" s="133">
        <f>+Actuals!R113</f>
        <v>0</v>
      </c>
      <c r="V70" s="129">
        <f>+Actuals!S153</f>
        <v>0</v>
      </c>
      <c r="W70" s="130">
        <f>+Actuals!T153</f>
        <v>0</v>
      </c>
      <c r="X70" s="132">
        <f>+Actuals!U153</f>
        <v>0</v>
      </c>
      <c r="Y70" s="133">
        <f>+Actuals!V153</f>
        <v>0</v>
      </c>
      <c r="Z70" s="132">
        <f>+Actuals!W153</f>
        <v>0</v>
      </c>
      <c r="AA70" s="133">
        <f>+Actuals!X153</f>
        <v>0</v>
      </c>
      <c r="AB70" s="132">
        <f>+Actuals!Y153</f>
        <v>0</v>
      </c>
      <c r="AC70" s="133">
        <f>+Actuals!Z153</f>
        <v>0</v>
      </c>
      <c r="AD70" s="132">
        <f>+Actuals!AA113</f>
        <v>0</v>
      </c>
      <c r="AE70" s="133">
        <f>+Actuals!AB113</f>
        <v>0</v>
      </c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-5981501.7300000004</v>
      </c>
      <c r="F71" s="81">
        <f>'TIE-OUT'!X71+RECLASS!X71</f>
        <v>0</v>
      </c>
      <c r="G71" s="82">
        <f>'TIE-OUT'!Y71+RECLASS!Y71</f>
        <v>-5981501.7300000004</v>
      </c>
      <c r="H71" s="132">
        <f>+Actuals!E114</f>
        <v>0</v>
      </c>
      <c r="I71" s="133">
        <f>+Actuals!F114</f>
        <v>0</v>
      </c>
      <c r="J71" s="132">
        <f>+Actuals!G114</f>
        <v>0</v>
      </c>
      <c r="K71" s="149">
        <f>+Actuals!H114</f>
        <v>0</v>
      </c>
      <c r="L71" s="132">
        <f>+Actuals!I114</f>
        <v>0</v>
      </c>
      <c r="M71" s="133">
        <f>+Actuals!J114</f>
        <v>0</v>
      </c>
      <c r="N71" s="132">
        <f>+Actuals!K114</f>
        <v>0</v>
      </c>
      <c r="O71" s="133">
        <f>+Actuals!L114</f>
        <v>0</v>
      </c>
      <c r="P71" s="132">
        <f>+Actuals!M114</f>
        <v>0</v>
      </c>
      <c r="Q71" s="133">
        <f>+Actuals!N114</f>
        <v>0</v>
      </c>
      <c r="R71" s="132">
        <f>+Actuals!O114</f>
        <v>0</v>
      </c>
      <c r="S71" s="133">
        <f>+Actuals!P114</f>
        <v>0</v>
      </c>
      <c r="T71" s="132">
        <f>+Actuals!Q114</f>
        <v>0</v>
      </c>
      <c r="U71" s="133">
        <f>+Actuals!R114</f>
        <v>0</v>
      </c>
      <c r="V71" s="129">
        <f>+Actuals!S154</f>
        <v>0</v>
      </c>
      <c r="W71" s="130">
        <f>+Actuals!T154</f>
        <v>0</v>
      </c>
      <c r="X71" s="132">
        <f>+Actuals!U154</f>
        <v>0</v>
      </c>
      <c r="Y71" s="133">
        <f>+Actuals!V154</f>
        <v>0</v>
      </c>
      <c r="Z71" s="132">
        <f>+Actuals!W154</f>
        <v>0</v>
      </c>
      <c r="AA71" s="133">
        <f>+Actuals!X154</f>
        <v>0</v>
      </c>
      <c r="AB71" s="132">
        <f>+Actuals!Y154</f>
        <v>0</v>
      </c>
      <c r="AC71" s="133">
        <f>+Actuals!Z154</f>
        <v>0</v>
      </c>
      <c r="AD71" s="132">
        <f>+Actuals!AA114</f>
        <v>0</v>
      </c>
      <c r="AE71" s="133">
        <f>+Actuals!AB114</f>
        <v>0</v>
      </c>
    </row>
    <row r="72" spans="1:31" x14ac:dyDescent="0.2">
      <c r="A72" s="9"/>
      <c r="B72" s="3"/>
      <c r="C72" s="55" t="s">
        <v>72</v>
      </c>
      <c r="D72" s="61">
        <f t="shared" ref="D72:AE72" si="22">SUM(D70:D71)</f>
        <v>0</v>
      </c>
      <c r="E72" s="39">
        <f t="shared" si="22"/>
        <v>93571.009999999776</v>
      </c>
      <c r="F72" s="61">
        <f t="shared" si="22"/>
        <v>0</v>
      </c>
      <c r="G72" s="39">
        <f t="shared" si="22"/>
        <v>93571.009999999776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>SUM(P70:P71)</f>
        <v>0</v>
      </c>
      <c r="Q72" s="39">
        <f>SUM(Q70:Q71)</f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ref="X72:AC72" si="23">SUM(X70:X71)</f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132">
        <f>+Actuals!E115</f>
        <v>0</v>
      </c>
      <c r="I73" s="133">
        <f>+Actuals!F115</f>
        <v>0</v>
      </c>
      <c r="J73" s="132">
        <f>+Actuals!G115</f>
        <v>0</v>
      </c>
      <c r="K73" s="149">
        <f>+Actuals!H115</f>
        <v>0</v>
      </c>
      <c r="L73" s="132">
        <f>+Actuals!I115</f>
        <v>0</v>
      </c>
      <c r="M73" s="133">
        <f>+Actuals!J115</f>
        <v>0</v>
      </c>
      <c r="N73" s="132">
        <f>+Actuals!K115</f>
        <v>0</v>
      </c>
      <c r="O73" s="133">
        <f>+Actuals!L115</f>
        <v>0</v>
      </c>
      <c r="P73" s="132">
        <f>+Actuals!M115</f>
        <v>0</v>
      </c>
      <c r="Q73" s="133">
        <f>+Actuals!N115</f>
        <v>0</v>
      </c>
      <c r="R73" s="132">
        <f>+Actuals!O115</f>
        <v>0</v>
      </c>
      <c r="S73" s="133">
        <f>+Actuals!P115</f>
        <v>0</v>
      </c>
      <c r="T73" s="132">
        <f>+Actuals!Q115</f>
        <v>0</v>
      </c>
      <c r="U73" s="133">
        <f>+Actuals!R115</f>
        <v>0</v>
      </c>
      <c r="V73" s="129">
        <f>+Actuals!S155</f>
        <v>0</v>
      </c>
      <c r="W73" s="130">
        <f>+Actuals!T155</f>
        <v>0</v>
      </c>
      <c r="X73" s="132">
        <f>+Actuals!U155</f>
        <v>0</v>
      </c>
      <c r="Y73" s="133">
        <f>+Actuals!V155</f>
        <v>0</v>
      </c>
      <c r="Z73" s="132">
        <f>+Actuals!W155</f>
        <v>0</v>
      </c>
      <c r="AA73" s="133">
        <f>+Actuals!X155</f>
        <v>0</v>
      </c>
      <c r="AB73" s="132">
        <f>+Actuals!Y155</f>
        <v>0</v>
      </c>
      <c r="AC73" s="133">
        <f>+Actuals!Z155</f>
        <v>0</v>
      </c>
      <c r="AD73" s="132">
        <f>+Actuals!AA115</f>
        <v>0</v>
      </c>
      <c r="AE73" s="133">
        <f>+Actuals!AB115</f>
        <v>0</v>
      </c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762348</v>
      </c>
      <c r="F74" s="60">
        <f>'TIE-OUT'!X74+RECLASS!X74</f>
        <v>0</v>
      </c>
      <c r="G74" s="60">
        <f>'TIE-OUT'!Y74+RECLASS!Y74</f>
        <v>762348</v>
      </c>
      <c r="H74" s="132">
        <f>+Actuals!E116</f>
        <v>0</v>
      </c>
      <c r="I74" s="133">
        <f>+Actuals!F116</f>
        <v>0</v>
      </c>
      <c r="J74" s="132">
        <f>+Actuals!G116</f>
        <v>0</v>
      </c>
      <c r="K74" s="149">
        <f>+Actuals!H116</f>
        <v>0</v>
      </c>
      <c r="L74" s="132">
        <f>+Actuals!I116</f>
        <v>0</v>
      </c>
      <c r="M74" s="133">
        <f>+Actuals!J116</f>
        <v>0</v>
      </c>
      <c r="N74" s="132">
        <f>+Actuals!K116</f>
        <v>0</v>
      </c>
      <c r="O74" s="133">
        <f>+Actuals!L116</f>
        <v>0</v>
      </c>
      <c r="P74" s="132">
        <f>+Actuals!M116</f>
        <v>0</v>
      </c>
      <c r="Q74" s="133">
        <f>+Actuals!N116</f>
        <v>0</v>
      </c>
      <c r="R74" s="132">
        <f>+Actuals!O116</f>
        <v>0</v>
      </c>
      <c r="S74" s="133">
        <f>+Actuals!P116</f>
        <v>0</v>
      </c>
      <c r="T74" s="132">
        <f>+Actuals!Q116</f>
        <v>0</v>
      </c>
      <c r="U74" s="133">
        <f>+Actuals!R116</f>
        <v>0</v>
      </c>
      <c r="V74" s="129">
        <f>+Actuals!S156</f>
        <v>0</v>
      </c>
      <c r="W74" s="130">
        <f>+Actuals!T156</f>
        <v>0</v>
      </c>
      <c r="X74" s="132">
        <f>+Actuals!U156</f>
        <v>0</v>
      </c>
      <c r="Y74" s="133">
        <f>+Actuals!V156</f>
        <v>0</v>
      </c>
      <c r="Z74" s="132">
        <f>+Actuals!W156</f>
        <v>0</v>
      </c>
      <c r="AA74" s="133">
        <f>+Actuals!X156</f>
        <v>0</v>
      </c>
      <c r="AB74" s="132">
        <f>+Actuals!Y156</f>
        <v>0</v>
      </c>
      <c r="AC74" s="133">
        <f>+Actuals!Z156</f>
        <v>0</v>
      </c>
      <c r="AD74" s="132">
        <f>+Actuals!AA116</f>
        <v>0</v>
      </c>
      <c r="AE74" s="133">
        <f>+Actuals!AB116</f>
        <v>0</v>
      </c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132">
        <f>+Actuals!E117</f>
        <v>0</v>
      </c>
      <c r="I75" s="133">
        <f>+Actuals!F117</f>
        <v>0</v>
      </c>
      <c r="J75" s="132">
        <f>+Actuals!G117</f>
        <v>0</v>
      </c>
      <c r="K75" s="149">
        <f>+Actuals!H117</f>
        <v>0</v>
      </c>
      <c r="L75" s="132">
        <f>+Actuals!I117</f>
        <v>0</v>
      </c>
      <c r="M75" s="133">
        <f>+Actuals!J117</f>
        <v>0</v>
      </c>
      <c r="N75" s="132">
        <f>+Actuals!K117</f>
        <v>0</v>
      </c>
      <c r="O75" s="133">
        <f>+Actuals!L117</f>
        <v>0</v>
      </c>
      <c r="P75" s="132">
        <f>+Actuals!M117</f>
        <v>0</v>
      </c>
      <c r="Q75" s="133">
        <f>+Actuals!N117</f>
        <v>0</v>
      </c>
      <c r="R75" s="132">
        <f>+Actuals!O117</f>
        <v>0</v>
      </c>
      <c r="S75" s="133">
        <f>+Actuals!P117</f>
        <v>0</v>
      </c>
      <c r="T75" s="132">
        <f>+Actuals!Q117</f>
        <v>0</v>
      </c>
      <c r="U75" s="133">
        <f>+Actuals!R117</f>
        <v>0</v>
      </c>
      <c r="V75" s="129">
        <f>+Actuals!S157</f>
        <v>0</v>
      </c>
      <c r="W75" s="130">
        <f>+Actuals!T157</f>
        <v>0</v>
      </c>
      <c r="X75" s="132">
        <f>+Actuals!U157</f>
        <v>0</v>
      </c>
      <c r="Y75" s="133">
        <f>+Actuals!V157</f>
        <v>0</v>
      </c>
      <c r="Z75" s="132">
        <f>+Actuals!W157</f>
        <v>0</v>
      </c>
      <c r="AA75" s="133">
        <f>+Actuals!X157</f>
        <v>0</v>
      </c>
      <c r="AB75" s="132">
        <f>+Actuals!Y157</f>
        <v>0</v>
      </c>
      <c r="AC75" s="133">
        <f>+Actuals!Z157</f>
        <v>0</v>
      </c>
      <c r="AD75" s="132">
        <f>+Actuals!AA117</f>
        <v>0</v>
      </c>
      <c r="AE75" s="133">
        <f>+Actuals!AB117</f>
        <v>0</v>
      </c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132">
        <f>+Actuals!E118</f>
        <v>0</v>
      </c>
      <c r="I76" s="133">
        <f>+Actuals!F118</f>
        <v>0</v>
      </c>
      <c r="J76" s="132">
        <f>+Actuals!G118</f>
        <v>0</v>
      </c>
      <c r="K76" s="149">
        <f>+Actuals!H118</f>
        <v>0</v>
      </c>
      <c r="L76" s="132">
        <f>+Actuals!I118</f>
        <v>0</v>
      </c>
      <c r="M76" s="133">
        <f>+Actuals!J118</f>
        <v>0</v>
      </c>
      <c r="N76" s="132">
        <f>+Actuals!K118</f>
        <v>0</v>
      </c>
      <c r="O76" s="133">
        <f>+Actuals!L118</f>
        <v>0</v>
      </c>
      <c r="P76" s="132">
        <f>+Actuals!M118</f>
        <v>0</v>
      </c>
      <c r="Q76" s="133">
        <f>+Actuals!N118</f>
        <v>0</v>
      </c>
      <c r="R76" s="132">
        <f>+Actuals!O118</f>
        <v>0</v>
      </c>
      <c r="S76" s="133">
        <f>+Actuals!P118</f>
        <v>0</v>
      </c>
      <c r="T76" s="132">
        <f>+Actuals!Q118</f>
        <v>0</v>
      </c>
      <c r="U76" s="133">
        <f>+Actuals!R118</f>
        <v>0</v>
      </c>
      <c r="V76" s="129">
        <f>+Actuals!S158</f>
        <v>0</v>
      </c>
      <c r="W76" s="130">
        <f>+Actuals!T158</f>
        <v>0</v>
      </c>
      <c r="X76" s="132">
        <f>+Actuals!U158</f>
        <v>0</v>
      </c>
      <c r="Y76" s="133">
        <f>+Actuals!V158</f>
        <v>0</v>
      </c>
      <c r="Z76" s="132">
        <f>+Actuals!W158</f>
        <v>0</v>
      </c>
      <c r="AA76" s="133">
        <f>+Actuals!X158</f>
        <v>0</v>
      </c>
      <c r="AB76" s="132">
        <f>+Actuals!Y158</f>
        <v>0</v>
      </c>
      <c r="AC76" s="133">
        <f>+Actuals!Z158</f>
        <v>0</v>
      </c>
      <c r="AD76" s="132">
        <f>+Actuals!AA118</f>
        <v>0</v>
      </c>
      <c r="AE76" s="133">
        <f>+Actuals!AB118</f>
        <v>0</v>
      </c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9954543</v>
      </c>
      <c r="F77" s="60">
        <f>'TIE-OUT'!X77+RECLASS!X77</f>
        <v>0</v>
      </c>
      <c r="G77" s="60">
        <f>'TIE-OUT'!Y77+RECLASS!Y77</f>
        <v>9954543</v>
      </c>
      <c r="H77" s="132">
        <f>+Actuals!E119</f>
        <v>0</v>
      </c>
      <c r="I77" s="133">
        <f>+Actuals!F119</f>
        <v>0</v>
      </c>
      <c r="J77" s="132">
        <f>+Actuals!G119</f>
        <v>0</v>
      </c>
      <c r="K77" s="149">
        <f>+Actuals!H119</f>
        <v>0</v>
      </c>
      <c r="L77" s="132">
        <f>+Actuals!I119</f>
        <v>0</v>
      </c>
      <c r="M77" s="133">
        <f>+Actuals!J119</f>
        <v>0</v>
      </c>
      <c r="N77" s="132">
        <f>+Actuals!K119</f>
        <v>0</v>
      </c>
      <c r="O77" s="133">
        <f>+Actuals!L119</f>
        <v>0</v>
      </c>
      <c r="P77" s="132">
        <f>+Actuals!M119</f>
        <v>0</v>
      </c>
      <c r="Q77" s="133">
        <f>+Actuals!N119</f>
        <v>0</v>
      </c>
      <c r="R77" s="132">
        <f>+Actuals!O119</f>
        <v>0</v>
      </c>
      <c r="S77" s="133">
        <f>+Actuals!P119</f>
        <v>0</v>
      </c>
      <c r="T77" s="132">
        <f>+Actuals!Q119</f>
        <v>0</v>
      </c>
      <c r="U77" s="133">
        <f>+Actuals!R119</f>
        <v>0</v>
      </c>
      <c r="V77" s="129">
        <f>+Actuals!S159</f>
        <v>0</v>
      </c>
      <c r="W77" s="130">
        <f>+Actuals!T159</f>
        <v>0</v>
      </c>
      <c r="X77" s="132">
        <f>+Actuals!U159</f>
        <v>0</v>
      </c>
      <c r="Y77" s="133">
        <f>+Actuals!V159</f>
        <v>0</v>
      </c>
      <c r="Z77" s="132">
        <f>+Actuals!W159</f>
        <v>0</v>
      </c>
      <c r="AA77" s="133">
        <f>+Actuals!X159</f>
        <v>0</v>
      </c>
      <c r="AB77" s="132">
        <f>+Actuals!Y159</f>
        <v>0</v>
      </c>
      <c r="AC77" s="133">
        <f>+Actuals!Z159</f>
        <v>0</v>
      </c>
      <c r="AD77" s="132">
        <f>+Actuals!AA119</f>
        <v>0</v>
      </c>
      <c r="AE77" s="133">
        <f>+Actuals!AB119</f>
        <v>0</v>
      </c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132">
        <f>+Actuals!E120</f>
        <v>0</v>
      </c>
      <c r="I78" s="133">
        <f>+Actuals!F120</f>
        <v>0</v>
      </c>
      <c r="J78" s="132">
        <f>+Actuals!G120</f>
        <v>0</v>
      </c>
      <c r="K78" s="149">
        <f>+Actuals!H120</f>
        <v>0</v>
      </c>
      <c r="L78" s="132">
        <f>+Actuals!I120</f>
        <v>0</v>
      </c>
      <c r="M78" s="133">
        <f>+Actuals!J120</f>
        <v>0</v>
      </c>
      <c r="N78" s="132">
        <f>+Actuals!K120</f>
        <v>0</v>
      </c>
      <c r="O78" s="133">
        <f>+Actuals!L120</f>
        <v>0</v>
      </c>
      <c r="P78" s="132">
        <f>+Actuals!M120</f>
        <v>0</v>
      </c>
      <c r="Q78" s="133">
        <f>+Actuals!N120</f>
        <v>0</v>
      </c>
      <c r="R78" s="132">
        <f>+Actuals!O120</f>
        <v>0</v>
      </c>
      <c r="S78" s="133">
        <f>+Actuals!P120</f>
        <v>0</v>
      </c>
      <c r="T78" s="132">
        <f>+Actuals!Q120</f>
        <v>0</v>
      </c>
      <c r="U78" s="133">
        <f>+Actuals!R120</f>
        <v>0</v>
      </c>
      <c r="V78" s="129">
        <f>+Actuals!S160</f>
        <v>0</v>
      </c>
      <c r="W78" s="130">
        <f>+Actuals!T160</f>
        <v>0</v>
      </c>
      <c r="X78" s="132">
        <f>+Actuals!U160</f>
        <v>0</v>
      </c>
      <c r="Y78" s="133">
        <f>+Actuals!V160</f>
        <v>0</v>
      </c>
      <c r="Z78" s="132">
        <f>+Actuals!W160</f>
        <v>0</v>
      </c>
      <c r="AA78" s="133">
        <f>+Actuals!X160</f>
        <v>0</v>
      </c>
      <c r="AB78" s="132">
        <f>+Actuals!Y160</f>
        <v>0</v>
      </c>
      <c r="AC78" s="133">
        <f>+Actuals!Z160</f>
        <v>0</v>
      </c>
      <c r="AD78" s="132">
        <f>+Actuals!AA120</f>
        <v>0</v>
      </c>
      <c r="AE78" s="133">
        <f>+Actuals!AB120</f>
        <v>0</v>
      </c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132">
        <f>+Actuals!E121</f>
        <v>0</v>
      </c>
      <c r="I79" s="133">
        <f>+Actuals!F121</f>
        <v>0</v>
      </c>
      <c r="J79" s="132">
        <f>+Actuals!G121</f>
        <v>0</v>
      </c>
      <c r="K79" s="149">
        <f>+Actuals!H121</f>
        <v>0</v>
      </c>
      <c r="L79" s="132">
        <f>+Actuals!I121</f>
        <v>0</v>
      </c>
      <c r="M79" s="133">
        <f>+Actuals!J121</f>
        <v>0</v>
      </c>
      <c r="N79" s="132">
        <f>+Actuals!K121</f>
        <v>0</v>
      </c>
      <c r="O79" s="133">
        <f>+Actuals!L121</f>
        <v>0</v>
      </c>
      <c r="P79" s="132">
        <f>+Actuals!M121</f>
        <v>0</v>
      </c>
      <c r="Q79" s="133">
        <f>+Actuals!N121</f>
        <v>0</v>
      </c>
      <c r="R79" s="132">
        <f>+Actuals!O121</f>
        <v>0</v>
      </c>
      <c r="S79" s="133">
        <f>+Actuals!P121</f>
        <v>0</v>
      </c>
      <c r="T79" s="132">
        <f>+Actuals!Q121</f>
        <v>0</v>
      </c>
      <c r="U79" s="133">
        <f>+Actuals!R121</f>
        <v>0</v>
      </c>
      <c r="V79" s="129">
        <f>+Actuals!S161</f>
        <v>0</v>
      </c>
      <c r="W79" s="130">
        <f>+Actuals!T161</f>
        <v>0</v>
      </c>
      <c r="X79" s="132">
        <f>+Actuals!U161</f>
        <v>0</v>
      </c>
      <c r="Y79" s="133">
        <f>+Actuals!V161</f>
        <v>0</v>
      </c>
      <c r="Z79" s="132">
        <f>+Actuals!W161</f>
        <v>0</v>
      </c>
      <c r="AA79" s="133">
        <f>+Actuals!X161</f>
        <v>0</v>
      </c>
      <c r="AB79" s="132">
        <f>+Actuals!Y161</f>
        <v>0</v>
      </c>
      <c r="AC79" s="133">
        <f>+Actuals!Z161</f>
        <v>0</v>
      </c>
      <c r="AD79" s="132">
        <f>+Actuals!AA121</f>
        <v>0</v>
      </c>
      <c r="AE79" s="133">
        <f>+Actuals!AB121</f>
        <v>0</v>
      </c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132">
        <f>+Actuals!E122</f>
        <v>0</v>
      </c>
      <c r="I80" s="133">
        <f>+Actuals!F122</f>
        <v>0</v>
      </c>
      <c r="J80" s="132">
        <f>+Actuals!G122</f>
        <v>0</v>
      </c>
      <c r="K80" s="149">
        <f>+Actuals!H122</f>
        <v>0</v>
      </c>
      <c r="L80" s="132">
        <f>+Actuals!I122</f>
        <v>0</v>
      </c>
      <c r="M80" s="133">
        <f>+Actuals!J122</f>
        <v>0</v>
      </c>
      <c r="N80" s="132">
        <f>+Actuals!K122</f>
        <v>0</v>
      </c>
      <c r="O80" s="133">
        <f>+Actuals!L122</f>
        <v>0</v>
      </c>
      <c r="P80" s="132">
        <f>+Actuals!M122</f>
        <v>0</v>
      </c>
      <c r="Q80" s="133">
        <f>+Actuals!N122</f>
        <v>0</v>
      </c>
      <c r="R80" s="132">
        <f>+Actuals!O122</f>
        <v>0</v>
      </c>
      <c r="S80" s="133">
        <f>+Actuals!P122</f>
        <v>0</v>
      </c>
      <c r="T80" s="132">
        <f>+Actuals!Q122</f>
        <v>0</v>
      </c>
      <c r="U80" s="133">
        <f>+Actuals!R122</f>
        <v>0</v>
      </c>
      <c r="V80" s="129">
        <f>+Actuals!S162</f>
        <v>0</v>
      </c>
      <c r="W80" s="130">
        <f>+Actuals!T162</f>
        <v>0</v>
      </c>
      <c r="X80" s="132">
        <f>+Actuals!U162</f>
        <v>0</v>
      </c>
      <c r="Y80" s="133">
        <f>+Actuals!V162</f>
        <v>0</v>
      </c>
      <c r="Z80" s="132">
        <f>+Actuals!W162</f>
        <v>0</v>
      </c>
      <c r="AA80" s="133">
        <f>+Actuals!X162</f>
        <v>0</v>
      </c>
      <c r="AB80" s="132">
        <f>+Actuals!Y162</f>
        <v>0</v>
      </c>
      <c r="AC80" s="133">
        <f>+Actuals!Z162</f>
        <v>0</v>
      </c>
      <c r="AD80" s="132">
        <f>+Actuals!AA122</f>
        <v>0</v>
      </c>
      <c r="AE80" s="133">
        <f>+Actuals!AB122</f>
        <v>0</v>
      </c>
    </row>
    <row r="81" spans="1:31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0</v>
      </c>
      <c r="F81" s="60">
        <f>'TIE-OUT'!X81+RECLASS!X81</f>
        <v>0</v>
      </c>
      <c r="G81" s="60">
        <f>'TIE-OUT'!Y81+RECLASS!Y81</f>
        <v>0</v>
      </c>
      <c r="H81" s="132">
        <f>+Actuals!E123</f>
        <v>0</v>
      </c>
      <c r="I81" s="133">
        <f>+Actuals!F123</f>
        <v>0</v>
      </c>
      <c r="J81" s="132">
        <f>+Actuals!G123</f>
        <v>0</v>
      </c>
      <c r="K81" s="149">
        <f>+Actuals!H123</f>
        <v>0</v>
      </c>
      <c r="L81" s="132">
        <f>+Actuals!I123</f>
        <v>0</v>
      </c>
      <c r="M81" s="133">
        <f>+Actuals!J123</f>
        <v>0</v>
      </c>
      <c r="N81" s="132">
        <f>+Actuals!K123</f>
        <v>0</v>
      </c>
      <c r="O81" s="133">
        <f>+Actuals!L123</f>
        <v>0</v>
      </c>
      <c r="P81" s="132">
        <f>+Actuals!M123</f>
        <v>0</v>
      </c>
      <c r="Q81" s="133">
        <f>+Actuals!N123</f>
        <v>0</v>
      </c>
      <c r="R81" s="132">
        <f>+Actuals!O123</f>
        <v>0</v>
      </c>
      <c r="S81" s="133">
        <f>+Actuals!P123</f>
        <v>0</v>
      </c>
      <c r="T81" s="132">
        <f>+Actuals!Q123</f>
        <v>0</v>
      </c>
      <c r="U81" s="133">
        <f>+Actuals!R123</f>
        <v>0</v>
      </c>
      <c r="V81" s="129">
        <f>+Actuals!S163</f>
        <v>0</v>
      </c>
      <c r="W81" s="130">
        <f>+Actuals!T163</f>
        <v>0</v>
      </c>
      <c r="X81" s="132">
        <f>+Actuals!U163</f>
        <v>0</v>
      </c>
      <c r="Y81" s="133">
        <f>+Actuals!V163</f>
        <v>0</v>
      </c>
      <c r="Z81" s="132">
        <f>+Actuals!W163</f>
        <v>0</v>
      </c>
      <c r="AA81" s="133">
        <f>+Actuals!X163</f>
        <v>0</v>
      </c>
      <c r="AB81" s="132">
        <f>+Actuals!Y163</f>
        <v>0</v>
      </c>
      <c r="AC81" s="133">
        <f>+Actuals!Z163</f>
        <v>0</v>
      </c>
      <c r="AD81" s="132">
        <f>+Actuals!AA123</f>
        <v>0</v>
      </c>
      <c r="AE81" s="133">
        <f>+Actuals!AB123</f>
        <v>0</v>
      </c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3834549.0100000054</v>
      </c>
      <c r="F82" s="92">
        <f>F16+F24+F29+F36+F43+F45+F47+F49</f>
        <v>0</v>
      </c>
      <c r="G82" s="93">
        <f>SUM(G72:G81)+G16+G24+G29+G36+G43+G45+G47+G49+G51+G56+G61+G66</f>
        <v>3144212.01</v>
      </c>
      <c r="H82" s="92">
        <f>H16+H24+H29+H36+H43+H45+H47+H49</f>
        <v>0</v>
      </c>
      <c r="I82" s="93">
        <f>SUM(I72:I81)+I16+I24+I29+I36+I43+I45+I47+I49+I51+I56+I61+I66</f>
        <v>-5684622</v>
      </c>
      <c r="J82" s="92">
        <f>J16+J24+J29+J36+J43+J45+J47+J49</f>
        <v>0</v>
      </c>
      <c r="K82" s="160">
        <f>SUM(K72:K81)+K16+K24+K29+K36+K43+K45+K47+K49+K51+K56+K61+K66</f>
        <v>-10316409</v>
      </c>
      <c r="L82" s="92">
        <f>L16+L24+L29+L36+L43+L45+L47+L49</f>
        <v>0</v>
      </c>
      <c r="M82" s="93">
        <f>SUM(M72:M81)+M16+M24+M29+M36+M43+M45+M47+M49+M51+M56+M61+M66</f>
        <v>256909</v>
      </c>
      <c r="N82" s="92">
        <f>N16+N24+N29+N36+N43+N45+N47+N49</f>
        <v>0</v>
      </c>
      <c r="O82" s="93">
        <f>SUM(O72:O81)+O16+O24+O29+O36+O43+O45+O47+O49+O51+O56+O61+O66</f>
        <v>26191</v>
      </c>
      <c r="P82" s="92">
        <f>P16+P24+P29+P36+P43+P45+P47+P49</f>
        <v>0</v>
      </c>
      <c r="Q82" s="93">
        <f>SUM(Q72:Q81)+Q16+Q24+Q29+Q36+Q43+Q45+Q47+Q49+Q51+Q56+Q61+Q66</f>
        <v>16408268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D40" activePane="bottomRight" state="frozen"/>
      <selection activeCell="U630" sqref="U630"/>
      <selection pane="topRight" activeCell="U630" sqref="U630"/>
      <selection pane="bottomLeft" activeCell="U630" sqref="U630"/>
      <selection pane="bottomRight" activeCell="C41" sqref="C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9">
        <f>-410000-250000</f>
        <v>-660000</v>
      </c>
      <c r="L11" s="60"/>
      <c r="M11" s="38">
        <v>660000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-79467</v>
      </c>
      <c r="F12" s="60">
        <f>'TIE-OUT'!T12+RECLASS!T12</f>
        <v>0</v>
      </c>
      <c r="G12" s="38">
        <f>'TIE-OUT'!U12+RECLASS!U12</f>
        <v>-79467</v>
      </c>
      <c r="H12" s="60"/>
      <c r="I12" s="38"/>
      <c r="J12" s="60"/>
      <c r="K12" s="149"/>
      <c r="L12" s="60"/>
      <c r="M12" s="38"/>
      <c r="N12" s="60"/>
      <c r="O12" s="38"/>
      <c r="P12" s="60"/>
      <c r="Q12" s="38">
        <v>0</v>
      </c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198</v>
      </c>
      <c r="D13" s="60">
        <f t="shared" si="0"/>
        <v>0</v>
      </c>
      <c r="E13" s="38">
        <f t="shared" si="0"/>
        <v>-2679577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9"/>
      <c r="L13" s="60"/>
      <c r="M13" s="38"/>
      <c r="N13" s="60"/>
      <c r="O13" s="38"/>
      <c r="P13" s="60"/>
      <c r="Q13" s="38">
        <v>-2684237</v>
      </c>
      <c r="R13" s="60"/>
      <c r="S13" s="38"/>
      <c r="T13" s="60"/>
      <c r="U13" s="38"/>
      <c r="V13" s="60"/>
      <c r="W13" s="38">
        <v>60416</v>
      </c>
      <c r="X13" s="60"/>
      <c r="Y13" s="38"/>
      <c r="Z13" s="60"/>
      <c r="AA13" s="38">
        <v>-55756</v>
      </c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33</v>
      </c>
      <c r="C16" s="6"/>
      <c r="D16" s="61">
        <f>SUM(D11:D15)</f>
        <v>0</v>
      </c>
      <c r="E16" s="39">
        <f>SUM(E11:E15)</f>
        <v>-2759044</v>
      </c>
      <c r="F16" s="61">
        <f t="shared" ref="F16:AD16" si="1">SUM(F11:F15)</f>
        <v>0</v>
      </c>
      <c r="G16" s="39">
        <f t="shared" si="1"/>
        <v>-79467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0">
        <f t="shared" si="1"/>
        <v>-660000</v>
      </c>
      <c r="L16" s="61">
        <f t="shared" si="1"/>
        <v>0</v>
      </c>
      <c r="M16" s="39">
        <f t="shared" si="1"/>
        <v>660000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-2684237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 t="shared" ref="W16:AC16" si="2">SUM(W11:W15)</f>
        <v>60416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-55756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30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35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36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>SUM(U19:U23)</f>
        <v>0</v>
      </c>
      <c r="V24" s="61">
        <f t="shared" si="4"/>
        <v>0</v>
      </c>
      <c r="W24" s="39">
        <f t="shared" ref="W24:AC24" si="5">SUM(W19:W23)</f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40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 t="shared" ref="W29:AC29" si="7"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45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46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50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 t="shared" ref="W36:AC36" si="10">SUM(W32:W35)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341873</v>
      </c>
      <c r="F41" s="81">
        <f>'TIE-OUT'!T41+RECLASS!T41</f>
        <v>0</v>
      </c>
      <c r="G41" s="82">
        <f>'TIE-OUT'!U41+RECLASS!U41</f>
        <v>6483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>
        <v>335390</v>
      </c>
      <c r="AD41" s="60"/>
      <c r="AE41" s="38"/>
    </row>
    <row r="42" spans="1:31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341873</v>
      </c>
      <c r="F42" s="61">
        <f t="shared" ref="F42:AD42" si="12">SUM(F40:F41)</f>
        <v>0</v>
      </c>
      <c r="G42" s="39">
        <f t="shared" si="12"/>
        <v>6483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 t="shared" ref="W42:AC42" si="13"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335390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341873</v>
      </c>
      <c r="F43" s="61">
        <f t="shared" ref="F43:AD43" si="14">F42+F39</f>
        <v>0</v>
      </c>
      <c r="G43" s="39">
        <f t="shared" si="14"/>
        <v>6483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 t="shared" ref="W43:AC43" si="15"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335390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9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9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60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 t="shared" ref="W56:AC56" si="17">SUM(W54:W55)</f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9"/>
      <c r="L60" s="60"/>
      <c r="M60" s="38">
        <v>123262</v>
      </c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123262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123262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 t="shared" ref="W61:AC61" si="19"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 t="shared" ref="W66:AC66" si="21"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4103270</v>
      </c>
      <c r="F70" s="64">
        <f>'TIE-OUT'!T70+RECLASS!T70</f>
        <v>0</v>
      </c>
      <c r="G70" s="68">
        <f>'TIE-OUT'!U70+RECLASS!U70</f>
        <v>3001247</v>
      </c>
      <c r="H70" s="60"/>
      <c r="I70" s="38">
        <v>0</v>
      </c>
      <c r="J70" s="60"/>
      <c r="K70" s="149">
        <v>0</v>
      </c>
      <c r="L70" s="60"/>
      <c r="M70" s="38"/>
      <c r="N70" s="60"/>
      <c r="O70" s="38"/>
      <c r="P70" s="60"/>
      <c r="Q70" s="38">
        <f>51186+2684237</f>
        <v>2735423</v>
      </c>
      <c r="R70" s="60"/>
      <c r="S70" s="38"/>
      <c r="T70" s="60"/>
      <c r="U70" s="38"/>
      <c r="V70" s="60"/>
      <c r="W70" s="38"/>
      <c r="X70" s="60"/>
      <c r="Y70" s="38"/>
      <c r="Z70" s="60"/>
      <c r="AA70" s="149">
        <v>-1633400</v>
      </c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4103270</v>
      </c>
      <c r="F72" s="61">
        <f t="shared" ref="F72:AD72" si="22">SUM(F70:F71)</f>
        <v>0</v>
      </c>
      <c r="G72" s="39">
        <f t="shared" si="22"/>
        <v>3001247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2735423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 t="shared" ref="W72:AC72" si="23"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-1633400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-2741516</v>
      </c>
      <c r="F74" s="60">
        <f>'TIE-OUT'!T74+RECLASS!T74</f>
        <v>0</v>
      </c>
      <c r="G74" s="60">
        <f>'TIE-OUT'!U74+RECLASS!U74</f>
        <v>-2870166</v>
      </c>
      <c r="H74" s="60"/>
      <c r="I74" s="38"/>
      <c r="J74" s="60"/>
      <c r="K74" s="16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162">
        <v>128650</v>
      </c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1633400</v>
      </c>
      <c r="F75" s="60">
        <f>'TIE-OUT'!T75+RECLASS!T75</f>
        <v>0</v>
      </c>
      <c r="G75" s="60">
        <f>'TIE-OUT'!U75+RECLASS!U75</f>
        <v>1633400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-1075</v>
      </c>
      <c r="F76" s="60">
        <f>'TIE-OUT'!T76+RECLASS!T76</f>
        <v>0</v>
      </c>
      <c r="G76" s="60">
        <f>'TIE-OUT'!U76+RECLASS!U76</f>
        <v>-1075</v>
      </c>
      <c r="H76" s="60"/>
      <c r="I76" s="38"/>
      <c r="J76" s="60"/>
      <c r="K76" s="14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'TIE-OUT'!T77+RECLASS!T77</f>
        <v>0</v>
      </c>
      <c r="G77" s="60">
        <f>'TIE-OUT'!U77+RECLASS!U77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>
        <v>0</v>
      </c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-550379</v>
      </c>
      <c r="F81" s="60">
        <f>'TIE-OUT'!T81+RECLASS!T81</f>
        <v>0</v>
      </c>
      <c r="G81" s="60">
        <f>'TIE-OUT'!U81+RECLASS!U81</f>
        <v>-829139</v>
      </c>
      <c r="H81" s="60"/>
      <c r="I81" s="162">
        <v>-151</v>
      </c>
      <c r="J81" s="60"/>
      <c r="K81" s="162">
        <v>151</v>
      </c>
      <c r="L81" s="60"/>
      <c r="M81" s="38"/>
      <c r="N81" s="60"/>
      <c r="O81" s="38"/>
      <c r="P81" s="60"/>
      <c r="Q81" s="38"/>
      <c r="R81" s="60"/>
      <c r="S81" s="38">
        <v>278760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149791</v>
      </c>
      <c r="F82" s="92">
        <f>F16+F24+F29+F36+F43+F45+F47+F49</f>
        <v>0</v>
      </c>
      <c r="G82" s="93">
        <f>SUM(G72:G81)+G16+G24+G29+G36+G43+G45+G47+G49+G51+G56+G61+G66</f>
        <v>861283</v>
      </c>
      <c r="H82" s="92">
        <f>H16+H24+H29+H36+H43+H45+H47+H49</f>
        <v>0</v>
      </c>
      <c r="I82" s="166">
        <f>SUM(I72:I81)+I16+I24+I29+I36+I43+I45+I47+I49+I51+I56+I61+I66</f>
        <v>-151</v>
      </c>
      <c r="J82" s="92">
        <f>J16+J24+J29+J36+J43+J45+J47+J49</f>
        <v>0</v>
      </c>
      <c r="K82" s="166">
        <f>SUM(K72:K81)+K16+K24+K29+K36+K43+K45+K47+K49+K51+K56+K61+K66</f>
        <v>-659849</v>
      </c>
      <c r="L82" s="92">
        <f>L16+L24+L29+L36+L43+L45+L47+L49</f>
        <v>0</v>
      </c>
      <c r="M82" s="93">
        <f>SUM(M72:M81)+M16+M24+M29+M36+M43+M45+M47+M49+M51+M56+M61+M66</f>
        <v>783262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51186</v>
      </c>
      <c r="R82" s="92">
        <f>R16+R24+R29+R36+R43+R45+R47+R49</f>
        <v>0</v>
      </c>
      <c r="S82" s="93">
        <f>SUM(S72:S81)+S16+S24+S29+S36+S43+S45+S47+S49+S51+S56+S61+S66</f>
        <v>278760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189066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-1689156</v>
      </c>
      <c r="AB82" s="92">
        <f>AB16+AB24+AB29+AB36+AB43+AB45+AB47+AB49</f>
        <v>0</v>
      </c>
      <c r="AC82" s="93">
        <f>SUM(AC72:AC81)+AC16+AC24+AC29+AC36+AC43+AC45+AC47+AC49+AC51+AC56+AC61+AC66</f>
        <v>335390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4103270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U52" activePane="bottomRight" state="frozen"/>
      <selection activeCell="U630" sqref="U630"/>
      <selection pane="topRight" activeCell="U630" sqref="U630"/>
      <selection pane="bottomLeft" activeCell="U630" sqref="U630"/>
      <selection pane="bottomRight" activeCell="AC74" sqref="AC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29" width="15.42578125" customWidth="1"/>
    <col min="30" max="31" width="15.42578125" hidden="1" customWidth="1"/>
    <col min="52" max="60" width="0" hidden="1" customWidth="1"/>
  </cols>
  <sheetData>
    <row r="1" spans="1:31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169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6"/>
      <c r="L8" s="26" t="str">
        <f>CE_GL!L8</f>
        <v>August</v>
      </c>
      <c r="M8" s="27"/>
      <c r="N8" s="26" t="s">
        <v>194</v>
      </c>
      <c r="O8" s="27"/>
      <c r="P8" s="26" t="s">
        <v>195</v>
      </c>
      <c r="Q8" s="27"/>
      <c r="R8" s="26" t="s">
        <v>196</v>
      </c>
      <c r="S8" s="27"/>
      <c r="T8" s="26" t="s">
        <v>197</v>
      </c>
      <c r="U8" s="27"/>
      <c r="V8" s="26" t="s">
        <v>199</v>
      </c>
      <c r="W8" s="27"/>
      <c r="X8" s="26" t="s">
        <v>200</v>
      </c>
      <c r="Y8" s="27"/>
      <c r="Z8" s="26" t="s">
        <v>201</v>
      </c>
      <c r="AA8" s="27"/>
      <c r="AB8" s="26" t="s">
        <v>202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7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</row>
    <row r="10" spans="1:31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28</v>
      </c>
      <c r="D11" s="60">
        <f>SUM(F11,H11,J11,L11,N11,P11,R11,T11,V11,X11,Z11,AB11,AD11)</f>
        <v>9403756</v>
      </c>
      <c r="E11" s="38">
        <f>SUM(G11,I11,K11,M11,O11,Q11,S11,U11,W11,Y11,AA11,AC11,AE11)</f>
        <v>19810707</v>
      </c>
      <c r="F11" s="60">
        <f>'TIE-OUT'!V11+RECLASS!V11</f>
        <v>0</v>
      </c>
      <c r="G11" s="38">
        <f>'TIE-OUT'!W11+RECLASS!W11</f>
        <v>0</v>
      </c>
      <c r="H11" s="60">
        <f>9403756</f>
        <v>9403756</v>
      </c>
      <c r="I11" s="38">
        <f>19843285</f>
        <v>19843285</v>
      </c>
      <c r="J11" s="60">
        <v>0</v>
      </c>
      <c r="K11" s="149">
        <v>0</v>
      </c>
      <c r="L11" s="60">
        <f>-2635696+2635696</f>
        <v>0</v>
      </c>
      <c r="M11" s="38">
        <f>-6086111+6074833</f>
        <v>-11278</v>
      </c>
      <c r="N11" s="60"/>
      <c r="O11" s="38"/>
      <c r="P11" s="60">
        <v>0</v>
      </c>
      <c r="Q11" s="38">
        <v>-21300</v>
      </c>
      <c r="R11" s="60"/>
      <c r="S11" s="38"/>
      <c r="T11" s="60"/>
      <c r="U11" s="38"/>
      <c r="V11" s="129">
        <f>+Actuals!S284</f>
        <v>0</v>
      </c>
      <c r="W11" s="130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/>
      <c r="AE11" s="38"/>
    </row>
    <row r="12" spans="1:31" x14ac:dyDescent="0.2">
      <c r="A12" s="9">
        <v>2</v>
      </c>
      <c r="B12" s="7"/>
      <c r="C12" s="18" t="s">
        <v>29</v>
      </c>
      <c r="D12" s="60">
        <f t="shared" ref="D12:E15" si="0">SUM(F12,H12,J12,L12,N12,P12,R12,T12,V12,X12,Z12,AB12,AD12)</f>
        <v>0</v>
      </c>
      <c r="E12" s="38">
        <f t="shared" si="0"/>
        <v>-19375.46</v>
      </c>
      <c r="F12" s="60">
        <f>'TIE-OUT'!V12+RECLASS!V12</f>
        <v>0</v>
      </c>
      <c r="G12" s="38">
        <f>'TIE-OUT'!W12+RECLASS!W12</f>
        <v>-19375.46</v>
      </c>
      <c r="H12" s="60"/>
      <c r="I12" s="38"/>
      <c r="J12" s="60"/>
      <c r="K12" s="162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129">
        <f>+Actuals!S285</f>
        <v>0</v>
      </c>
      <c r="W12" s="130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/>
      <c r="AE12" s="38"/>
    </row>
    <row r="13" spans="1:31" x14ac:dyDescent="0.2">
      <c r="A13" s="9">
        <v>3</v>
      </c>
      <c r="B13" s="7"/>
      <c r="C13" s="18" t="s">
        <v>30</v>
      </c>
      <c r="D13" s="60">
        <f t="shared" si="0"/>
        <v>2941839</v>
      </c>
      <c r="E13" s="38">
        <f t="shared" si="0"/>
        <v>6789801</v>
      </c>
      <c r="F13" s="60">
        <f>'TIE-OUT'!V13+RECLASS!V13</f>
        <v>0</v>
      </c>
      <c r="G13" s="38">
        <f>'TIE-OUT'!W13+RECLASS!W13</f>
        <v>0</v>
      </c>
      <c r="H13" s="60">
        <f>2941839</f>
        <v>2941839</v>
      </c>
      <c r="I13" s="38">
        <f>6789801</f>
        <v>6789801</v>
      </c>
      <c r="J13" s="60">
        <v>0</v>
      </c>
      <c r="K13" s="149">
        <v>0</v>
      </c>
      <c r="L13" s="60">
        <v>-2635696</v>
      </c>
      <c r="M13" s="38">
        <v>-6074833</v>
      </c>
      <c r="N13" s="60"/>
      <c r="O13" s="38"/>
      <c r="P13" s="60"/>
      <c r="Q13" s="38"/>
      <c r="R13" s="60">
        <v>403106</v>
      </c>
      <c r="S13" s="38">
        <v>938574</v>
      </c>
      <c r="T13" s="60">
        <v>2232590</v>
      </c>
      <c r="U13" s="38">
        <v>5136259</v>
      </c>
      <c r="V13" s="129">
        <f>+Actuals!S286</f>
        <v>-2232590</v>
      </c>
      <c r="W13" s="130">
        <f>+Actuals!T286</f>
        <v>-5136259</v>
      </c>
      <c r="X13" s="60">
        <f>+Actuals!U286</f>
        <v>0</v>
      </c>
      <c r="Y13" s="38">
        <f>+Actuals!V286</f>
        <v>0</v>
      </c>
      <c r="Z13" s="60">
        <f>+Actuals!W286</f>
        <v>2232590</v>
      </c>
      <c r="AA13" s="38">
        <f>+Actuals!X286</f>
        <v>5136259</v>
      </c>
      <c r="AB13" s="60">
        <f>+Actuals!Y286</f>
        <v>0</v>
      </c>
      <c r="AC13" s="38">
        <f>+Actuals!Z286</f>
        <v>0</v>
      </c>
      <c r="AD13" s="60"/>
      <c r="AE13" s="38"/>
    </row>
    <row r="14" spans="1:31" x14ac:dyDescent="0.2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129">
        <f>+Actuals!S287</f>
        <v>0</v>
      </c>
      <c r="W14" s="130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/>
      <c r="AE14" s="38"/>
    </row>
    <row r="15" spans="1:31" x14ac:dyDescent="0.2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129">
        <f>+Actuals!S288</f>
        <v>0</v>
      </c>
      <c r="W15" s="130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/>
      <c r="AE15" s="38"/>
    </row>
    <row r="16" spans="1:31" x14ac:dyDescent="0.2">
      <c r="A16" s="9"/>
      <c r="B16" s="7" t="s">
        <v>33</v>
      </c>
      <c r="C16" s="6"/>
      <c r="D16" s="61">
        <f>SUM(D11:D15)</f>
        <v>12345595</v>
      </c>
      <c r="E16" s="39">
        <f>SUM(E11:E15)</f>
        <v>26581132.539999999</v>
      </c>
      <c r="F16" s="61">
        <f t="shared" ref="F16:AD16" si="1">SUM(F11:F15)</f>
        <v>0</v>
      </c>
      <c r="G16" s="39">
        <f t="shared" si="1"/>
        <v>-19375.46</v>
      </c>
      <c r="H16" s="61">
        <f t="shared" si="1"/>
        <v>12345595</v>
      </c>
      <c r="I16" s="39">
        <f t="shared" si="1"/>
        <v>26633086</v>
      </c>
      <c r="J16" s="61">
        <f t="shared" si="1"/>
        <v>0</v>
      </c>
      <c r="K16" s="150">
        <f t="shared" si="1"/>
        <v>0</v>
      </c>
      <c r="L16" s="61">
        <f t="shared" si="1"/>
        <v>-2635696</v>
      </c>
      <c r="M16" s="39">
        <f t="shared" si="1"/>
        <v>-6086111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-21300</v>
      </c>
      <c r="R16" s="61">
        <f t="shared" si="1"/>
        <v>403106</v>
      </c>
      <c r="S16" s="39">
        <f t="shared" si="1"/>
        <v>938574</v>
      </c>
      <c r="T16" s="61">
        <f t="shared" si="1"/>
        <v>2232590</v>
      </c>
      <c r="U16" s="39">
        <f t="shared" ref="U16:AC16" si="2">SUM(U11:U15)</f>
        <v>5136259</v>
      </c>
      <c r="V16" s="61">
        <f t="shared" si="2"/>
        <v>-2232590</v>
      </c>
      <c r="W16" s="39">
        <f t="shared" si="2"/>
        <v>-5136259</v>
      </c>
      <c r="X16" s="61">
        <f t="shared" si="2"/>
        <v>0</v>
      </c>
      <c r="Y16" s="39">
        <f t="shared" si="2"/>
        <v>0</v>
      </c>
      <c r="Z16" s="61">
        <f t="shared" si="2"/>
        <v>2232590</v>
      </c>
      <c r="AA16" s="39">
        <f t="shared" si="2"/>
        <v>5136259</v>
      </c>
      <c r="AB16" s="61">
        <f t="shared" si="2"/>
        <v>0</v>
      </c>
      <c r="AC16" s="39">
        <f t="shared" si="2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28</v>
      </c>
      <c r="D19" s="60">
        <f t="shared" ref="D19:E23" si="3">SUM(F19,H19,J19,L19,N19,P19,R19,T19,V19,X19,Z19,AB19,AD19)</f>
        <v>-10944670</v>
      </c>
      <c r="E19" s="38">
        <f t="shared" si="3"/>
        <v>-25050006</v>
      </c>
      <c r="F19" s="64">
        <f>'TIE-OUT'!V19+RECLASS!V19</f>
        <v>0</v>
      </c>
      <c r="G19" s="68">
        <f>'TIE-OUT'!W19+RECLASS!W19</f>
        <v>0</v>
      </c>
      <c r="H19" s="60">
        <f>-7736701+243043+26013-5000-1686091-269056</f>
        <v>-9427792</v>
      </c>
      <c r="I19" s="38">
        <f>-17989182+252813+43062-11662-3798523-295875</f>
        <v>-21799367</v>
      </c>
      <c r="J19" s="60">
        <f>32223+1539</f>
        <v>33762</v>
      </c>
      <c r="K19" s="149">
        <f>75546-30445</f>
        <v>45101</v>
      </c>
      <c r="L19" s="60">
        <f>-500640-1050000</f>
        <v>-1550640</v>
      </c>
      <c r="M19" s="38">
        <f>-875760-2419980</f>
        <v>-3295740</v>
      </c>
      <c r="N19" s="60"/>
      <c r="O19" s="38"/>
      <c r="P19" s="60"/>
      <c r="Q19" s="38"/>
      <c r="R19" s="60"/>
      <c r="S19" s="38"/>
      <c r="T19" s="60"/>
      <c r="U19" s="38"/>
      <c r="V19" s="129">
        <f>+Actuals!S289</f>
        <v>0</v>
      </c>
      <c r="W19" s="130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/>
      <c r="AE19" s="38"/>
    </row>
    <row r="20" spans="1:31" x14ac:dyDescent="0.2">
      <c r="A20" s="9">
        <v>7</v>
      </c>
      <c r="B20" s="7"/>
      <c r="C20" s="18" t="s">
        <v>29</v>
      </c>
      <c r="D20" s="60">
        <f t="shared" si="3"/>
        <v>0</v>
      </c>
      <c r="E20" s="38">
        <f t="shared" si="3"/>
        <v>20976.74</v>
      </c>
      <c r="F20" s="60">
        <f>'TIE-OUT'!V20+RECLASS!V20</f>
        <v>0</v>
      </c>
      <c r="G20" s="38">
        <f>'TIE-OUT'!W20+RECLASS!W20</f>
        <v>20976.74</v>
      </c>
      <c r="H20" s="60"/>
      <c r="I20" s="38"/>
      <c r="J20" s="60"/>
      <c r="K20" s="162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129">
        <f>+Actuals!S290</f>
        <v>0</v>
      </c>
      <c r="W20" s="130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/>
      <c r="AE20" s="38"/>
    </row>
    <row r="21" spans="1:31" x14ac:dyDescent="0.2">
      <c r="A21" s="9">
        <v>8</v>
      </c>
      <c r="B21" s="7"/>
      <c r="C21" s="18" t="s">
        <v>30</v>
      </c>
      <c r="D21" s="60">
        <f t="shared" si="3"/>
        <v>-1162000</v>
      </c>
      <c r="E21" s="38">
        <f t="shared" si="3"/>
        <v>-2684960</v>
      </c>
      <c r="F21" s="60">
        <f>'TIE-OUT'!V21+RECLASS!V21</f>
        <v>0</v>
      </c>
      <c r="G21" s="38">
        <f>'TIE-OUT'!W21+RECLASS!W21</f>
        <v>0</v>
      </c>
      <c r="H21" s="60">
        <v>-1162000</v>
      </c>
      <c r="I21" s="38">
        <v>-2684960</v>
      </c>
      <c r="J21" s="60"/>
      <c r="K21" s="149"/>
      <c r="L21" s="60">
        <v>1050000</v>
      </c>
      <c r="M21" s="38">
        <v>2419980</v>
      </c>
      <c r="N21" s="60"/>
      <c r="O21" s="38"/>
      <c r="P21" s="60"/>
      <c r="Q21" s="38"/>
      <c r="R21" s="60">
        <v>-403106</v>
      </c>
      <c r="S21" s="38">
        <v>-938574</v>
      </c>
      <c r="T21" s="60">
        <v>-646894</v>
      </c>
      <c r="U21" s="38">
        <v>-1481406</v>
      </c>
      <c r="V21" s="129">
        <f>+Actuals!S291</f>
        <v>646894</v>
      </c>
      <c r="W21" s="130">
        <f>+Actuals!T291</f>
        <v>1481406</v>
      </c>
      <c r="X21" s="60">
        <f>+Actuals!U291</f>
        <v>0</v>
      </c>
      <c r="Y21" s="38">
        <f>+Actuals!V291</f>
        <v>0</v>
      </c>
      <c r="Z21" s="60">
        <f>+Actuals!W291</f>
        <v>-646894</v>
      </c>
      <c r="AA21" s="38">
        <f>+Actuals!X291</f>
        <v>-1481406</v>
      </c>
      <c r="AB21" s="60">
        <f>+Actuals!Y291</f>
        <v>0</v>
      </c>
      <c r="AC21" s="38">
        <f>+Actuals!Z291</f>
        <v>0</v>
      </c>
      <c r="AD21" s="60"/>
      <c r="AE21" s="38"/>
    </row>
    <row r="22" spans="1:31" x14ac:dyDescent="0.2">
      <c r="A22" s="9">
        <v>9</v>
      </c>
      <c r="B22" s="7"/>
      <c r="C22" s="18" t="s">
        <v>31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129">
        <f>+Actuals!S292</f>
        <v>0</v>
      </c>
      <c r="W22" s="130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/>
      <c r="AE22" s="38"/>
    </row>
    <row r="23" spans="1:31" x14ac:dyDescent="0.2">
      <c r="A23" s="9">
        <v>10</v>
      </c>
      <c r="B23" s="7"/>
      <c r="C23" s="18" t="s">
        <v>35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129">
        <f>+Actuals!S293</f>
        <v>0</v>
      </c>
      <c r="W23" s="130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/>
      <c r="AE23" s="38"/>
    </row>
    <row r="24" spans="1:31" x14ac:dyDescent="0.2">
      <c r="A24" s="9"/>
      <c r="B24" s="7" t="s">
        <v>36</v>
      </c>
      <c r="C24" s="6"/>
      <c r="D24" s="61">
        <f>SUM(D19:D23)</f>
        <v>-12106670</v>
      </c>
      <c r="E24" s="39">
        <f>SUM(E19:E23)</f>
        <v>-27713989.260000002</v>
      </c>
      <c r="F24" s="61">
        <f t="shared" ref="F24:AD24" si="4">SUM(F19:F23)</f>
        <v>0</v>
      </c>
      <c r="G24" s="39">
        <f t="shared" si="4"/>
        <v>20976.74</v>
      </c>
      <c r="H24" s="61">
        <f t="shared" si="4"/>
        <v>-10589792</v>
      </c>
      <c r="I24" s="39">
        <f t="shared" si="4"/>
        <v>-24484327</v>
      </c>
      <c r="J24" s="61">
        <f t="shared" si="4"/>
        <v>33762</v>
      </c>
      <c r="K24" s="150">
        <f t="shared" si="4"/>
        <v>45101</v>
      </c>
      <c r="L24" s="61">
        <f t="shared" si="4"/>
        <v>-500640</v>
      </c>
      <c r="M24" s="39">
        <f t="shared" si="4"/>
        <v>-875760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-403106</v>
      </c>
      <c r="S24" s="39">
        <f t="shared" si="4"/>
        <v>-938574</v>
      </c>
      <c r="T24" s="61">
        <f t="shared" si="4"/>
        <v>-646894</v>
      </c>
      <c r="U24" s="39">
        <f t="shared" ref="U24:AC24" si="5">SUM(U19:U23)</f>
        <v>-1481406</v>
      </c>
      <c r="V24" s="61">
        <f t="shared" si="5"/>
        <v>646894</v>
      </c>
      <c r="W24" s="39">
        <f t="shared" si="5"/>
        <v>1481406</v>
      </c>
      <c r="X24" s="61">
        <f t="shared" si="5"/>
        <v>0</v>
      </c>
      <c r="Y24" s="39">
        <f t="shared" si="5"/>
        <v>0</v>
      </c>
      <c r="Z24" s="61">
        <f t="shared" si="5"/>
        <v>-646894</v>
      </c>
      <c r="AA24" s="39">
        <f t="shared" si="5"/>
        <v>-1481406</v>
      </c>
      <c r="AB24" s="61">
        <f t="shared" si="5"/>
        <v>0</v>
      </c>
      <c r="AC24" s="39">
        <f t="shared" si="5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38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129">
        <f>+Actuals!S294</f>
        <v>0</v>
      </c>
      <c r="W27" s="130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/>
      <c r="AE27" s="38"/>
    </row>
    <row r="28" spans="1:31" x14ac:dyDescent="0.2">
      <c r="A28" s="9">
        <v>12</v>
      </c>
      <c r="B28" s="7"/>
      <c r="C28" s="18" t="s">
        <v>39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129">
        <f>+Actuals!S295</f>
        <v>0</v>
      </c>
      <c r="W28" s="130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/>
      <c r="AE28" s="38"/>
    </row>
    <row r="29" spans="1:31" x14ac:dyDescent="0.2">
      <c r="A29" s="9"/>
      <c r="B29" s="7" t="s">
        <v>40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ref="U29:AA29" si="7"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42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>
        <v>-1755803</v>
      </c>
      <c r="I32" s="38">
        <v>-4003231</v>
      </c>
      <c r="J32" s="60">
        <v>1755803</v>
      </c>
      <c r="K32" s="149">
        <v>4003231</v>
      </c>
      <c r="L32" s="60">
        <v>0</v>
      </c>
      <c r="M32" s="38">
        <v>0</v>
      </c>
      <c r="N32" s="60"/>
      <c r="O32" s="38"/>
      <c r="P32" s="60"/>
      <c r="Q32" s="38"/>
      <c r="R32" s="60"/>
      <c r="S32" s="38"/>
      <c r="T32" s="60"/>
      <c r="U32" s="38"/>
      <c r="V32" s="129">
        <f>+Actuals!S296</f>
        <v>0</v>
      </c>
      <c r="W32" s="130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/>
      <c r="AE32" s="38"/>
    </row>
    <row r="33" spans="1:31" x14ac:dyDescent="0.2">
      <c r="A33" s="9">
        <v>14</v>
      </c>
      <c r="B33" s="7"/>
      <c r="C33" s="18" t="s">
        <v>43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129">
        <f>+Actuals!S297</f>
        <v>0</v>
      </c>
      <c r="W33" s="130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/>
      <c r="AE33" s="38"/>
    </row>
    <row r="34" spans="1:31" x14ac:dyDescent="0.2">
      <c r="A34" s="9">
        <v>15</v>
      </c>
      <c r="B34" s="7"/>
      <c r="C34" s="18" t="s">
        <v>44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129">
        <f>+Actuals!S298</f>
        <v>0</v>
      </c>
      <c r="W34" s="130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/>
      <c r="AE34" s="38"/>
    </row>
    <row r="35" spans="1:31" x14ac:dyDescent="0.2">
      <c r="A35" s="9">
        <v>16</v>
      </c>
      <c r="B35" s="7"/>
      <c r="C35" s="18" t="s">
        <v>45</v>
      </c>
      <c r="D35" s="60">
        <f t="shared" si="8"/>
        <v>562918</v>
      </c>
      <c r="E35" s="38">
        <f t="shared" si="8"/>
        <v>72417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9"/>
      <c r="L35" s="60">
        <v>562918</v>
      </c>
      <c r="M35" s="38">
        <v>72417</v>
      </c>
      <c r="N35" s="60"/>
      <c r="O35" s="38"/>
      <c r="P35" s="60"/>
      <c r="Q35" s="38"/>
      <c r="R35" s="60"/>
      <c r="S35" s="38"/>
      <c r="T35" s="60"/>
      <c r="U35" s="38"/>
      <c r="V35" s="129">
        <f>+Actuals!S299</f>
        <v>0</v>
      </c>
      <c r="W35" s="130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/>
      <c r="AE35" s="38"/>
    </row>
    <row r="36" spans="1:31" x14ac:dyDescent="0.2">
      <c r="A36" s="9"/>
      <c r="B36" s="7" t="s">
        <v>46</v>
      </c>
      <c r="C36" s="6"/>
      <c r="D36" s="61">
        <f>SUM(D32:D35)</f>
        <v>562918</v>
      </c>
      <c r="E36" s="39">
        <f>SUM(E32:E35)</f>
        <v>72417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-1755803</v>
      </c>
      <c r="I36" s="39">
        <f t="shared" si="9"/>
        <v>-4003231</v>
      </c>
      <c r="J36" s="61">
        <f t="shared" si="9"/>
        <v>1755803</v>
      </c>
      <c r="K36" s="150">
        <f t="shared" si="9"/>
        <v>4003231</v>
      </c>
      <c r="L36" s="61">
        <f t="shared" si="9"/>
        <v>562918</v>
      </c>
      <c r="M36" s="39">
        <f t="shared" si="9"/>
        <v>72417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ref="U36:AC36" si="10">SUM(U32:U35)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48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129">
        <f>+Actuals!S300</f>
        <v>0</v>
      </c>
      <c r="W39" s="130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/>
      <c r="AE39" s="38"/>
    </row>
    <row r="40" spans="1:31" ht="22.5" customHeight="1" x14ac:dyDescent="0.2">
      <c r="A40" s="9">
        <v>18</v>
      </c>
      <c r="B40" s="7"/>
      <c r="C40" s="18" t="s">
        <v>49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129">
        <f>+Actuals!S301</f>
        <v>0</v>
      </c>
      <c r="W40" s="130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/>
      <c r="AE40" s="38"/>
    </row>
    <row r="41" spans="1:31" x14ac:dyDescent="0.2">
      <c r="A41" s="9">
        <v>19</v>
      </c>
      <c r="B41" s="7"/>
      <c r="C41" s="18" t="s">
        <v>50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129">
        <f>+Actuals!S302</f>
        <v>0</v>
      </c>
      <c r="W41" s="130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/>
      <c r="AE41" s="38"/>
    </row>
    <row r="42" spans="1:31" x14ac:dyDescent="0.2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ref="U42:AC42" si="13"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ref="U43:AC43" si="15"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53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129">
        <f>+Actuals!S303</f>
        <v>0</v>
      </c>
      <c r="W45" s="130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54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129">
        <f>+Actuals!S304</f>
        <v>0</v>
      </c>
      <c r="W47" s="130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55</v>
      </c>
      <c r="C49" s="6"/>
      <c r="D49" s="60">
        <f>SUM(F49,H49,J49,L49,N49,P49,R49,T49,V49,X49,Z49,AB49,AD49)</f>
        <v>-801843</v>
      </c>
      <c r="E49" s="38">
        <f>SUM(G49,I49,K49,M49,O49,Q49,S49,U49,W49,Y49,AA49,AC49,AE49)</f>
        <v>-1828202</v>
      </c>
      <c r="F49" s="60">
        <f>'TIE-OUT'!V49+RECLASS!V49</f>
        <v>0</v>
      </c>
      <c r="G49" s="38">
        <f>'TIE-OUT'!W49+RECLASS!W49</f>
        <v>0</v>
      </c>
      <c r="H49" s="60"/>
      <c r="I49" s="38">
        <v>0</v>
      </c>
      <c r="J49" s="60">
        <v>-1789565</v>
      </c>
      <c r="K49" s="149">
        <v>-4080208</v>
      </c>
      <c r="L49" s="60">
        <v>2573418</v>
      </c>
      <c r="M49" s="38">
        <v>5867393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-1585696</v>
      </c>
      <c r="U49" s="38">
        <v>-3615387</v>
      </c>
      <c r="V49" s="129">
        <f>+Actuals!S305</f>
        <v>1585696</v>
      </c>
      <c r="W49" s="130">
        <f>+Actuals!T305</f>
        <v>3615386.88</v>
      </c>
      <c r="X49" s="60">
        <f>+Actuals!U305</f>
        <v>0</v>
      </c>
      <c r="Y49" s="38">
        <f>+Actuals!V305</f>
        <v>0</v>
      </c>
      <c r="Z49" s="60">
        <f>+Actuals!W305</f>
        <v>-1585696</v>
      </c>
      <c r="AA49" s="38">
        <f>+Actuals!X305</f>
        <v>-3615386.88</v>
      </c>
      <c r="AB49" s="60">
        <f>+Actuals!Y305</f>
        <v>0</v>
      </c>
      <c r="AC49" s="38">
        <f>+Actuals!Z305</f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56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9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129">
        <f>+Actuals!S306</f>
        <v>0</v>
      </c>
      <c r="W51" s="130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58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129">
        <f>+Actuals!S307</f>
        <v>0</v>
      </c>
      <c r="W54" s="130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/>
      <c r="AE54" s="38"/>
    </row>
    <row r="55" spans="1:31" x14ac:dyDescent="0.2">
      <c r="A55" s="9">
        <v>25</v>
      </c>
      <c r="B55" s="7"/>
      <c r="C55" s="18" t="s">
        <v>59</v>
      </c>
      <c r="D55" s="60">
        <f>SUM(F55,H55,J55,L55,N55,P55,R55,T55,V55,X55,Z55,AB55,AD55)</f>
        <v>0</v>
      </c>
      <c r="E55" s="38">
        <f>SUM(G55,I55,K55,M55,O55,Q55,S55,U55,W55,Y55,AA55,AC55,AE55)</f>
        <v>-14655</v>
      </c>
      <c r="F55" s="81">
        <f>'TIE-OUT'!V55+RECLASS!V55</f>
        <v>0</v>
      </c>
      <c r="G55" s="82">
        <f>'TIE-OUT'!W55+RECLASS!W55</f>
        <v>-14655</v>
      </c>
      <c r="H55" s="60"/>
      <c r="I55" s="38">
        <v>0</v>
      </c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129">
        <f>+Actuals!S308</f>
        <v>0</v>
      </c>
      <c r="W55" s="130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/>
      <c r="AE55" s="38"/>
    </row>
    <row r="56" spans="1:31" x14ac:dyDescent="0.2">
      <c r="A56" s="9"/>
      <c r="B56" s="7" t="s">
        <v>60</v>
      </c>
      <c r="C56" s="6"/>
      <c r="D56" s="61">
        <f>SUM(D54:D55)</f>
        <v>0</v>
      </c>
      <c r="E56" s="39">
        <f>SUM(E54:E55)</f>
        <v>-14655</v>
      </c>
      <c r="F56" s="61">
        <f t="shared" ref="F56:AD56" si="16">SUM(F54:F55)</f>
        <v>0</v>
      </c>
      <c r="G56" s="39">
        <f t="shared" si="16"/>
        <v>-14655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ref="U56:AA56" si="17"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62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129">
        <f>+Actuals!S309</f>
        <v>0</v>
      </c>
      <c r="W59" s="130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/>
      <c r="AE59" s="38"/>
    </row>
    <row r="60" spans="1:31" x14ac:dyDescent="0.2">
      <c r="A60" s="9">
        <v>27</v>
      </c>
      <c r="B60" s="11"/>
      <c r="C60" s="18" t="s">
        <v>63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9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129">
        <f>+Actuals!S310</f>
        <v>0</v>
      </c>
      <c r="W60" s="130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/>
      <c r="AE60" s="38"/>
    </row>
    <row r="61" spans="1:31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ref="U61:AA61" si="19"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65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129">
        <f>+Actuals!S311</f>
        <v>0</v>
      </c>
      <c r="W64" s="130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/>
      <c r="AE64" s="38"/>
    </row>
    <row r="65" spans="1:31" x14ac:dyDescent="0.2">
      <c r="A65" s="9">
        <v>29</v>
      </c>
      <c r="B65" s="11"/>
      <c r="C65" s="18" t="s">
        <v>66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129">
        <f>+Actuals!S312</f>
        <v>0</v>
      </c>
      <c r="W65" s="130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/>
      <c r="AE65" s="38"/>
    </row>
    <row r="66" spans="1:31" x14ac:dyDescent="0.2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ref="U66:AA66" si="21"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70</v>
      </c>
      <c r="D70" s="60">
        <f>SUM(F70,H70,J70,L70,N70,P70,R70,T70,V70,X70,Z70,AB70,AD70)</f>
        <v>0</v>
      </c>
      <c r="E70" s="38">
        <f>SUM(G70,I70,K70,M70,O70,Q70,S70,U70,W70,Y70,AA70,AC70,AE70)</f>
        <v>-832910</v>
      </c>
      <c r="F70" s="64">
        <f>'TIE-OUT'!V70+RECLASS!V70</f>
        <v>0</v>
      </c>
      <c r="G70" s="68">
        <f>'TIE-OUT'!W70+RECLASS!W70</f>
        <v>-832910</v>
      </c>
      <c r="H70" s="60"/>
      <c r="I70" s="38"/>
      <c r="J70" s="60"/>
      <c r="K70" s="149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129">
        <f>+Actuals!S313</f>
        <v>0</v>
      </c>
      <c r="W70" s="130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/>
      <c r="AE70" s="38"/>
    </row>
    <row r="71" spans="1:31" x14ac:dyDescent="0.2">
      <c r="A71" s="9">
        <v>31</v>
      </c>
      <c r="B71" s="3"/>
      <c r="C71" s="10" t="s">
        <v>71</v>
      </c>
      <c r="D71" s="60">
        <f>SUM(F71,H71,J71,L71,N71,P71,R71,T71,V71,X71,Z71,AB71,AD71)</f>
        <v>0</v>
      </c>
      <c r="E71" s="38">
        <f>SUM(G71,I71,K71,M71,O71,Q71,S71,U71,W71,Y71,AA71,AC71,AE71)</f>
        <v>808257</v>
      </c>
      <c r="F71" s="81">
        <f>'TIE-OUT'!V71+RECLASS!V71</f>
        <v>0</v>
      </c>
      <c r="G71" s="82">
        <f>'TIE-OUT'!W71+RECLASS!W71</f>
        <v>808257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129">
        <f>+Actuals!S314</f>
        <v>0</v>
      </c>
      <c r="W71" s="130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/>
      <c r="AE71" s="38"/>
    </row>
    <row r="72" spans="1:31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-24653</v>
      </c>
      <c r="F72" s="61">
        <f t="shared" ref="F72:AD72" si="22">SUM(F70:F71)</f>
        <v>0</v>
      </c>
      <c r="G72" s="39">
        <f t="shared" si="22"/>
        <v>-24653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ref="U72:AC72" si="23"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73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129">
        <f>+Actuals!S315</f>
        <v>0</v>
      </c>
      <c r="W73" s="130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/>
      <c r="AE73" s="38"/>
    </row>
    <row r="74" spans="1:31" x14ac:dyDescent="0.2">
      <c r="A74" s="9">
        <v>33</v>
      </c>
      <c r="B74" s="3"/>
      <c r="C74" s="10" t="s">
        <v>74</v>
      </c>
      <c r="D74" s="60">
        <f t="shared" si="24"/>
        <v>0</v>
      </c>
      <c r="E74" s="38">
        <f t="shared" si="24"/>
        <v>-988907</v>
      </c>
      <c r="F74" s="60">
        <f>'TIE-OUT'!V74+RECLASS!V74</f>
        <v>0</v>
      </c>
      <c r="G74" s="60">
        <f>'TIE-OUT'!W74+RECLASS!W74</f>
        <v>311093</v>
      </c>
      <c r="H74" s="60"/>
      <c r="I74" s="38">
        <v>0</v>
      </c>
      <c r="J74" s="60"/>
      <c r="K74" s="14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129">
        <f>+Actuals!S316</f>
        <v>0</v>
      </c>
      <c r="W74" s="130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162">
        <v>-1300000</v>
      </c>
      <c r="AB74" s="60">
        <f>+Actuals!Y316</f>
        <v>0</v>
      </c>
      <c r="AC74" s="38"/>
      <c r="AD74" s="60"/>
      <c r="AE74" s="38"/>
    </row>
    <row r="75" spans="1:31" x14ac:dyDescent="0.2">
      <c r="A75" s="9">
        <v>34</v>
      </c>
      <c r="B75" s="3"/>
      <c r="C75" s="10" t="s">
        <v>75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129">
        <f>+Actuals!S317</f>
        <v>0</v>
      </c>
      <c r="W75" s="130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/>
      <c r="AE75" s="38"/>
    </row>
    <row r="76" spans="1:31" x14ac:dyDescent="0.2">
      <c r="A76" s="9">
        <v>35</v>
      </c>
      <c r="B76" s="3"/>
      <c r="C76" s="10" t="s">
        <v>76</v>
      </c>
      <c r="D76" s="60">
        <f t="shared" si="24"/>
        <v>0</v>
      </c>
      <c r="E76" s="38">
        <f t="shared" si="24"/>
        <v>-284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9"/>
      <c r="L76" s="60"/>
      <c r="M76" s="38"/>
      <c r="N76" s="60"/>
      <c r="O76" s="38">
        <v>-284</v>
      </c>
      <c r="P76" s="60"/>
      <c r="Q76" s="38"/>
      <c r="R76" s="60"/>
      <c r="S76" s="38"/>
      <c r="T76" s="60"/>
      <c r="U76" s="38"/>
      <c r="V76" s="129">
        <f>+Actuals!S318</f>
        <v>0</v>
      </c>
      <c r="W76" s="130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/>
      <c r="AE76" s="38"/>
    </row>
    <row r="77" spans="1:31" x14ac:dyDescent="0.2">
      <c r="A77" s="9">
        <v>36</v>
      </c>
      <c r="B77" s="3"/>
      <c r="C77" s="10" t="s">
        <v>77</v>
      </c>
      <c r="D77" s="60">
        <f t="shared" si="24"/>
        <v>0</v>
      </c>
      <c r="E77" s="38">
        <f t="shared" si="24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129">
        <f>+Actuals!S319</f>
        <v>0</v>
      </c>
      <c r="W77" s="130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/>
      <c r="AE77" s="38"/>
    </row>
    <row r="78" spans="1:31" x14ac:dyDescent="0.2">
      <c r="A78" s="9">
        <v>37</v>
      </c>
      <c r="B78" s="3"/>
      <c r="C78" s="10" t="s">
        <v>78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129">
        <f>+Actuals!S320</f>
        <v>0</v>
      </c>
      <c r="W78" s="130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/>
      <c r="AE78" s="38"/>
    </row>
    <row r="79" spans="1:31" x14ac:dyDescent="0.2">
      <c r="A79" s="9">
        <v>38</v>
      </c>
      <c r="B79" s="3"/>
      <c r="C79" s="10" t="s">
        <v>79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129">
        <f>+Actuals!S321</f>
        <v>0</v>
      </c>
      <c r="W79" s="130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/>
      <c r="AE79" s="38"/>
    </row>
    <row r="80" spans="1:31" x14ac:dyDescent="0.2">
      <c r="A80" s="9">
        <v>39</v>
      </c>
      <c r="B80" s="3"/>
      <c r="C80" s="10" t="s">
        <v>80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129">
        <f>+Actuals!S322</f>
        <v>0</v>
      </c>
      <c r="W80" s="130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/>
      <c r="AE80" s="38"/>
    </row>
    <row r="81" spans="1:67" x14ac:dyDescent="0.2">
      <c r="A81" s="9">
        <v>40</v>
      </c>
      <c r="B81" s="3"/>
      <c r="C81" s="10" t="s">
        <v>81</v>
      </c>
      <c r="D81" s="60">
        <f t="shared" si="24"/>
        <v>0</v>
      </c>
      <c r="E81" s="38">
        <f t="shared" si="24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9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129">
        <f>+Actuals!S323</f>
        <v>0</v>
      </c>
      <c r="W81" s="130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/>
      <c r="AE81" s="38"/>
    </row>
    <row r="82" spans="1:67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-3917140.7200000025</v>
      </c>
      <c r="F82" s="92">
        <f>F16+F24+F29+F36+F43+F45+F47+F49</f>
        <v>0</v>
      </c>
      <c r="G82" s="93">
        <f>SUM(G72:G81)+G16+G24+G29+G36+G43+G45+G47+G49+G51+G56+G61+G66</f>
        <v>273386.27999999997</v>
      </c>
      <c r="H82" s="92">
        <f>H16+H24+H29+H36+H43+H45+H47+H49</f>
        <v>0</v>
      </c>
      <c r="I82" s="93">
        <f>SUM(I72:I81)+I16+I24+I29+I36+I43+I45+I47+I49+I51+I56+I61+I66</f>
        <v>-1854472</v>
      </c>
      <c r="J82" s="92">
        <f>J16+J24+J29+J36+J43+J45+J47+J49</f>
        <v>0</v>
      </c>
      <c r="K82" s="166">
        <f>SUM(K72:K81)+K16+K24+K29+K36+K43+K45+K47+K49+K51+K56+K61+K66</f>
        <v>-31876</v>
      </c>
      <c r="L82" s="92">
        <f>L16+L24+L29+L36+L43+L45+L47+L49</f>
        <v>0</v>
      </c>
      <c r="M82" s="93">
        <f>SUM(M72:M81)+M16+M24+M29+M36+M43+M45+M47+M49+M51+M56+M61+M66</f>
        <v>-1022061</v>
      </c>
      <c r="N82" s="92">
        <f>N16+N24+N29+N36+N43+N45+N47+N49</f>
        <v>0</v>
      </c>
      <c r="O82" s="93">
        <f>SUM(O72:O81)+O16+O24+O29+O36+O43+O45+O47+O49+O51+O56+O61+O66</f>
        <v>-284</v>
      </c>
      <c r="P82" s="92">
        <f>P16+P24+P29+P36+P43+P45+P47+P49</f>
        <v>0</v>
      </c>
      <c r="Q82" s="93">
        <f>SUM(Q72:Q81)+Q16+Q24+Q29+Q36+Q43+Q45+Q47+Q49+Q51+Q56+Q61+Q66</f>
        <v>-21300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39466</v>
      </c>
      <c r="V82" s="92">
        <f>V16+V24+V29+V36+V43+V45+V47+V49</f>
        <v>0</v>
      </c>
      <c r="W82" s="93">
        <f>SUM(W72:W81)+W16+W24+W29+W36+W43+W45+W47+W49+W51+W56+W61+W66</f>
        <v>-39466.120000000112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-1260533.8799999999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4"/>
      <c r="C86" s="10" t="s">
        <v>177</v>
      </c>
      <c r="D86" s="175">
        <f t="shared" ref="D86:E88" si="25">SUM(F86,H86,J86,L86,N86,P86,R86,T86,V86,X86,Z86,AB86,AD86)</f>
        <v>0</v>
      </c>
      <c r="E86" s="175">
        <f t="shared" si="25"/>
        <v>41420.639999999999</v>
      </c>
      <c r="F86" s="175">
        <f>'TIE-OUT'!V86+RECLASS!V86</f>
        <v>0</v>
      </c>
      <c r="G86" s="175">
        <f>'TIE-OUT'!W86+RECLASS!W86</f>
        <v>-67914.36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109335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">
      <c r="A87" s="174"/>
      <c r="C87" s="10" t="s">
        <v>74</v>
      </c>
      <c r="D87" s="176">
        <f t="shared" si="25"/>
        <v>0</v>
      </c>
      <c r="E87" s="176">
        <f t="shared" si="25"/>
        <v>0</v>
      </c>
      <c r="F87" s="176">
        <f>'TIE-OUT'!V87+RECLASS!V87</f>
        <v>0</v>
      </c>
      <c r="G87" s="176">
        <f>'TIE-OUT'!W87+RECLASS!W87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">
      <c r="A88" s="174"/>
      <c r="C88" s="10" t="s">
        <v>75</v>
      </c>
      <c r="D88" s="177">
        <f t="shared" si="25"/>
        <v>0</v>
      </c>
      <c r="E88" s="177">
        <f t="shared" si="25"/>
        <v>-14945</v>
      </c>
      <c r="F88" s="177">
        <f>'TIE-OUT'!V88+RECLASS!V88</f>
        <v>0</v>
      </c>
      <c r="G88" s="177">
        <f>'TIE-OUT'!W88+RECLASS!W88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-14945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">
      <c r="A89" s="181"/>
      <c r="B89" s="182"/>
      <c r="C89" s="187" t="s">
        <v>180</v>
      </c>
      <c r="D89" s="185">
        <f>SUM(D86:D88)</f>
        <v>0</v>
      </c>
      <c r="E89" s="185">
        <f t="shared" ref="E89:M89" si="26">SUM(E86:E88)</f>
        <v>26475.64</v>
      </c>
      <c r="F89" s="185">
        <f t="shared" si="26"/>
        <v>0</v>
      </c>
      <c r="G89" s="185">
        <f t="shared" si="26"/>
        <v>-67914.36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94390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1"/>
      <c r="B91" s="182"/>
      <c r="C91" s="187" t="s">
        <v>183</v>
      </c>
      <c r="D91" s="185">
        <f>+D82+D89</f>
        <v>0</v>
      </c>
      <c r="E91" s="185">
        <f t="shared" ref="E91:M91" si="28">+E82+E89</f>
        <v>-3890665.0800000024</v>
      </c>
      <c r="F91" s="185">
        <f t="shared" si="28"/>
        <v>0</v>
      </c>
      <c r="G91" s="185">
        <f t="shared" si="28"/>
        <v>205471.91999999998</v>
      </c>
      <c r="H91" s="185">
        <f t="shared" si="28"/>
        <v>0</v>
      </c>
      <c r="I91" s="185">
        <f t="shared" si="28"/>
        <v>-1854472</v>
      </c>
      <c r="J91" s="185">
        <f t="shared" si="28"/>
        <v>0</v>
      </c>
      <c r="K91" s="185">
        <f t="shared" si="28"/>
        <v>-31876</v>
      </c>
      <c r="L91" s="185">
        <f t="shared" si="28"/>
        <v>0</v>
      </c>
      <c r="M91" s="185">
        <f t="shared" si="28"/>
        <v>-1022061</v>
      </c>
      <c r="N91" s="185">
        <f t="shared" ref="N91:AE91" si="29">+N82+N89</f>
        <v>0</v>
      </c>
      <c r="O91" s="185">
        <f t="shared" si="29"/>
        <v>94106</v>
      </c>
      <c r="P91" s="185">
        <f t="shared" si="29"/>
        <v>0</v>
      </c>
      <c r="Q91" s="185">
        <f t="shared" si="29"/>
        <v>-21300</v>
      </c>
      <c r="R91" s="185">
        <f t="shared" si="29"/>
        <v>0</v>
      </c>
      <c r="S91" s="185">
        <f t="shared" si="29"/>
        <v>0</v>
      </c>
      <c r="T91" s="185">
        <f t="shared" si="29"/>
        <v>0</v>
      </c>
      <c r="U91" s="185">
        <f t="shared" si="29"/>
        <v>39466</v>
      </c>
      <c r="V91" s="185">
        <f t="shared" si="29"/>
        <v>0</v>
      </c>
      <c r="W91" s="185">
        <f t="shared" si="29"/>
        <v>-39466.120000000112</v>
      </c>
      <c r="X91" s="185">
        <f t="shared" si="29"/>
        <v>0</v>
      </c>
      <c r="Y91" s="185">
        <f t="shared" si="29"/>
        <v>0</v>
      </c>
      <c r="Z91" s="185">
        <f t="shared" si="29"/>
        <v>0</v>
      </c>
      <c r="AA91" s="185">
        <f t="shared" si="29"/>
        <v>-1260533.8799999999</v>
      </c>
      <c r="AB91" s="185">
        <f t="shared" si="29"/>
        <v>0</v>
      </c>
      <c r="AC91" s="185">
        <f t="shared" si="29"/>
        <v>0</v>
      </c>
      <c r="AD91" s="185">
        <f t="shared" si="29"/>
        <v>0</v>
      </c>
      <c r="AE91" s="185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44" activePane="bottomRight" state="frozen"/>
      <selection activeCell="N105" sqref="N105"/>
      <selection pane="topRight" activeCell="N105" sqref="N105"/>
      <selection pane="bottomLeft" activeCell="N105" sqref="N105"/>
      <selection pane="bottomRight" activeCell="E44" sqref="E4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23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STG_VAR!D11+ONT_VAR!D11+'CE-VAR'!D11+'EAST-EGM-VAR'!D11+'BGC-EGM-VAR'!D11+'EAST-LRC-VAR'!D11+'TX-EGM-VAR'!D11+'TX-HPL-VAR '!D11+'WE-VAR'!D11+BUG_VAR!D11</f>
        <v>225507435</v>
      </c>
      <c r="E11" s="65">
        <f>STG_VAR!E11+ONT_VAR!E11+'CE-VAR'!E11+'EAST-EGM-VAR'!E11+'BGC-EGM-VAR'!E11+'EAST-LRC-VAR'!E11+'TX-EGM-VAR'!E11+'TX-HPL-VAR '!E11+'WE-VAR'!E11+BUG_VAR!E11</f>
        <v>501161242</v>
      </c>
      <c r="F11" s="65">
        <f>STG_VAR!F11+ONT_VAR!F11+'CE-VAR'!F11+'EAST-EGM-VAR'!F11+'BGC-EGM-VAR'!F11+'EAST-LRC-VAR'!F11+'TX-EGM-VAR'!F11+'TX-HPL-VAR '!F11+'WE-VAR'!F11+BUG_VAR!F11</f>
        <v>224308977</v>
      </c>
      <c r="G11" s="65">
        <f>STG_VAR!G11+ONT_VAR!G11+'CE-VAR'!G11+'EAST-EGM-VAR'!G11+'BGC-EGM-VAR'!G11+'EAST-LRC-VAR'!G11+'TX-EGM-VAR'!G11+'TX-HPL-VAR '!G11+'WE-VAR'!G11+BUG_VAR!G11</f>
        <v>504289032.38</v>
      </c>
      <c r="H11" s="60">
        <f>F11-D11</f>
        <v>-1198458</v>
      </c>
      <c r="I11" s="38">
        <f>G11-E11</f>
        <v>3127790.3799999952</v>
      </c>
    </row>
    <row r="12" spans="1:22" x14ac:dyDescent="0.2">
      <c r="A12" s="9">
        <v>2</v>
      </c>
      <c r="B12" s="7"/>
      <c r="C12" s="18" t="s">
        <v>29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-8356868.4499999974</v>
      </c>
      <c r="H12" s="60">
        <f>F12-D12</f>
        <v>0</v>
      </c>
      <c r="I12" s="38">
        <f>G12-E12</f>
        <v>-8356868.4499999974</v>
      </c>
    </row>
    <row r="13" spans="1:22" x14ac:dyDescent="0.2">
      <c r="A13" s="9">
        <v>3</v>
      </c>
      <c r="B13" s="7"/>
      <c r="C13" s="18" t="s">
        <v>30</v>
      </c>
      <c r="D13" s="65">
        <f>STG_VAR!D13+ONT_VAR!D13+'CE-VAR'!D13+'EAST-EGM-VAR'!D13+'BGC-EGM-VAR'!D13+'EAST-LRC-VAR'!D13+'TX-EGM-VAR'!D13+'TX-HPL-VAR '!D13+'WE-VAR'!D13+BUG_VAR!D13</f>
        <v>106203159</v>
      </c>
      <c r="E13" s="65">
        <f>STG_VAR!E13+ONT_VAR!E13+'CE-VAR'!E13+'EAST-EGM-VAR'!E13+'BGC-EGM-VAR'!E13+'EAST-LRC-VAR'!E13+'TX-EGM-VAR'!E13+'TX-HPL-VAR '!E13+'WE-VAR'!E13+BUG_VAR!E13</f>
        <v>242899420</v>
      </c>
      <c r="F13" s="65">
        <f>STG_VAR!F13+ONT_VAR!F13+'CE-VAR'!F13+'EAST-EGM-VAR'!F13+'BGC-EGM-VAR'!F13+'EAST-LRC-VAR'!F13+'TX-EGM-VAR'!F13+'TX-HPL-VAR '!F13+'WE-VAR'!F13+BUG_VAR!F13</f>
        <v>129427228</v>
      </c>
      <c r="G13" s="65">
        <f>STG_VAR!G13+ONT_VAR!G13+'CE-VAR'!G13+'EAST-EGM-VAR'!G13+'BGC-EGM-VAR'!G13+'EAST-LRC-VAR'!G13+'TX-EGM-VAR'!G13+'TX-HPL-VAR '!G13+'WE-VAR'!G13+BUG_VAR!G13</f>
        <v>293025863</v>
      </c>
      <c r="H13" s="60">
        <f t="shared" ref="H13:I15" si="0">F13-D13</f>
        <v>23224069</v>
      </c>
      <c r="I13" s="38">
        <f t="shared" si="0"/>
        <v>50126443</v>
      </c>
    </row>
    <row r="14" spans="1:22" x14ac:dyDescent="0.2">
      <c r="A14" s="9">
        <v>4</v>
      </c>
      <c r="B14" s="7"/>
      <c r="C14" s="18" t="s">
        <v>31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0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294315</v>
      </c>
      <c r="H15" s="60">
        <f t="shared" si="0"/>
        <v>0</v>
      </c>
      <c r="I15" s="38">
        <f t="shared" si="0"/>
        <v>294315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331710594</v>
      </c>
      <c r="E16" s="39">
        <f t="shared" si="1"/>
        <v>744060662</v>
      </c>
      <c r="F16" s="61">
        <f t="shared" si="1"/>
        <v>353736205</v>
      </c>
      <c r="G16" s="39">
        <f t="shared" si="1"/>
        <v>789252341.93000007</v>
      </c>
      <c r="H16" s="61">
        <f t="shared" si="1"/>
        <v>22025611</v>
      </c>
      <c r="I16" s="39">
        <f t="shared" si="1"/>
        <v>45191679.93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STG_VAR!D19+ONT_VAR!D19+'CE-VAR'!D19+'EAST-EGM-VAR'!D19+'BGC-EGM-VAR'!D19+'EAST-LRC-VAR'!D19+'TX-EGM-VAR'!D19+'TX-HPL-VAR '!D19+'WE-VAR'!D19+BUG_VAR!D19</f>
        <v>-215579013</v>
      </c>
      <c r="E19" s="65">
        <f>STG_VAR!E19+ONT_VAR!E19+'CE-VAR'!E19+'EAST-EGM-VAR'!E19+'BGC-EGM-VAR'!E19+'EAST-LRC-VAR'!E19+'TX-EGM-VAR'!E19+'TX-HPL-VAR '!E19+'WE-VAR'!E19+BUG_VAR!E19</f>
        <v>-472992049</v>
      </c>
      <c r="F19" s="65">
        <f>STG_VAR!F19+ONT_VAR!F19+'CE-VAR'!F19+'EAST-EGM-VAR'!F19+'BGC-EGM-VAR'!F19+'EAST-LRC-VAR'!F19+'TX-EGM-VAR'!F19+'TX-HPL-VAR '!F19+'WE-VAR'!F19+BUG_VAR!F19</f>
        <v>-209905928</v>
      </c>
      <c r="G19" s="65">
        <f>STG_VAR!G19+ONT_VAR!G19+'CE-VAR'!G19+'EAST-EGM-VAR'!G19+'BGC-EGM-VAR'!G19+'EAST-LRC-VAR'!G19+'TX-EGM-VAR'!G19+'TX-HPL-VAR '!G19+'WE-VAR'!G19+BUG_VAR!G19</f>
        <v>-459617634.64999992</v>
      </c>
      <c r="H19" s="60">
        <f>F19-D19</f>
        <v>5673085</v>
      </c>
      <c r="I19" s="38">
        <f>G19-E19</f>
        <v>13374414.350000083</v>
      </c>
    </row>
    <row r="20" spans="1:9" x14ac:dyDescent="0.2">
      <c r="A20" s="9">
        <v>7</v>
      </c>
      <c r="B20" s="7"/>
      <c r="C20" s="18" t="s">
        <v>29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4387999.1099999994</v>
      </c>
      <c r="H20" s="60">
        <f>F20-D20</f>
        <v>0</v>
      </c>
      <c r="I20" s="38">
        <f>G20-E20</f>
        <v>4387999.1099999994</v>
      </c>
    </row>
    <row r="21" spans="1:9" x14ac:dyDescent="0.2">
      <c r="A21" s="9">
        <v>8</v>
      </c>
      <c r="B21" s="7"/>
      <c r="C21" s="18" t="s">
        <v>30</v>
      </c>
      <c r="D21" s="65">
        <f>STG_VAR!D21+ONT_VAR!D21+'CE-VAR'!D21+'EAST-EGM-VAR'!D21+'BGC-EGM-VAR'!D21+'EAST-LRC-VAR'!D21+'TX-EGM-VAR'!D21+'TX-HPL-VAR '!D21+'WE-VAR'!D21+BUG_VAR!D21</f>
        <v>-125543092</v>
      </c>
      <c r="E21" s="65">
        <f>STG_VAR!E21+ONT_VAR!E21+'CE-VAR'!E21+'EAST-EGM-VAR'!E21+'BGC-EGM-VAR'!E21+'EAST-LRC-VAR'!E21+'TX-EGM-VAR'!E21+'TX-HPL-VAR '!E21+'WE-VAR'!E21+BUG_VAR!E21</f>
        <v>-285844040</v>
      </c>
      <c r="F21" s="65">
        <f>STG_VAR!F21+ONT_VAR!F21+'CE-VAR'!F21+'EAST-EGM-VAR'!F21+'BGC-EGM-VAR'!F21+'EAST-LRC-VAR'!F21+'TX-EGM-VAR'!F21+'TX-HPL-VAR '!F21+'WE-VAR'!F21+BUG_VAR!F21</f>
        <v>-129427228</v>
      </c>
      <c r="G21" s="65">
        <f>STG_VAR!G21+ONT_VAR!G21+'CE-VAR'!G21+'EAST-EGM-VAR'!G21+'BGC-EGM-VAR'!G21+'EAST-LRC-VAR'!G21+'TX-EGM-VAR'!G21+'TX-HPL-VAR '!G21+'WE-VAR'!G21+BUG_VAR!G21</f>
        <v>-295705440</v>
      </c>
      <c r="H21" s="60">
        <f t="shared" ref="H21:I23" si="2">F21-D21</f>
        <v>-3884136</v>
      </c>
      <c r="I21" s="38">
        <f t="shared" si="2"/>
        <v>-9861400</v>
      </c>
    </row>
    <row r="22" spans="1:9" x14ac:dyDescent="0.2">
      <c r="A22" s="9">
        <v>9</v>
      </c>
      <c r="B22" s="7"/>
      <c r="C22" s="18" t="s">
        <v>31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STG_VAR!D23+ONT_VAR!D23+'CE-VAR'!D23+'EAST-EGM-VAR'!D23+'BGC-EGM-VAR'!D23+'EAST-LRC-VAR'!D23+'TX-EGM-VAR'!D23+'TX-HPL-VAR '!D23+'WE-VAR'!D23+BUG_VAR!D23</f>
        <v>1241332</v>
      </c>
      <c r="E23" s="65">
        <f>STG_VAR!E23+ONT_VAR!E23+'CE-VAR'!E23+'EAST-EGM-VAR'!E23+'BGC-EGM-VAR'!E23+'EAST-LRC-VAR'!E23+'TX-EGM-VAR'!E23+'TX-HPL-VAR '!E23+'WE-VAR'!E23+BUG_VAR!E23</f>
        <v>2745799</v>
      </c>
      <c r="F23" s="65">
        <f>STG_VAR!F23+ONT_VAR!F23+'CE-VAR'!F23+'EAST-EGM-VAR'!F23+'BGC-EGM-VAR'!F23+'EAST-LRC-VAR'!F23+'TX-EGM-VAR'!F23+'TX-HPL-VAR '!F23+'WE-VAR'!F23+BUG_VAR!F23</f>
        <v>949040</v>
      </c>
      <c r="G23" s="65">
        <f>STG_VAR!G23+ONT_VAR!G23+'CE-VAR'!G23+'EAST-EGM-VAR'!G23+'BGC-EGM-VAR'!G23+'EAST-LRC-VAR'!G23+'TX-EGM-VAR'!G23+'TX-HPL-VAR '!G23+'WE-VAR'!G23+BUG_VAR!G23</f>
        <v>2039887.6785999998</v>
      </c>
      <c r="H23" s="60">
        <f t="shared" si="2"/>
        <v>-292292</v>
      </c>
      <c r="I23" s="38">
        <f t="shared" si="2"/>
        <v>-705911.32140000025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-339880773</v>
      </c>
      <c r="E24" s="39">
        <f t="shared" si="3"/>
        <v>-756090290</v>
      </c>
      <c r="F24" s="61">
        <f t="shared" si="3"/>
        <v>-338384116</v>
      </c>
      <c r="G24" s="39">
        <f t="shared" si="3"/>
        <v>-748895187.86140001</v>
      </c>
      <c r="H24" s="61">
        <f t="shared" si="3"/>
        <v>1496657</v>
      </c>
      <c r="I24" s="39">
        <f t="shared" si="3"/>
        <v>7195102.1386000831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STG_VAR!D27+ONT_VAR!D27+'CE-VAR'!D27+'EAST-EGM-VAR'!D27+'BGC-EGM-VAR'!D27+'EAST-LRC-VAR'!D27+'TX-EGM-VAR'!D27+'TX-HPL-VAR '!D27+'WE-VAR'!D27+BUG_VAR!D27</f>
        <v>28733492</v>
      </c>
      <c r="E27" s="65">
        <f>STG_VAR!E27+ONT_VAR!E27+'CE-VAR'!E27+'EAST-EGM-VAR'!E27+'BGC-EGM-VAR'!E27+'EAST-LRC-VAR'!E27+'TX-EGM-VAR'!E27+'TX-HPL-VAR '!E27+'WE-VAR'!E27+BUG_VAR!E27</f>
        <v>65401152</v>
      </c>
      <c r="F27" s="65">
        <f>STG_VAR!F27+ONT_VAR!F27+'CE-VAR'!F27+'EAST-EGM-VAR'!F27+'BGC-EGM-VAR'!F27+'EAST-LRC-VAR'!F27+'TX-EGM-VAR'!F27+'TX-HPL-VAR '!F27+'WE-VAR'!F27+BUG_VAR!F27</f>
        <v>2075130</v>
      </c>
      <c r="G27" s="65">
        <f>STG_VAR!G27+ONT_VAR!G27+'CE-VAR'!G27+'EAST-EGM-VAR'!G27+'BGC-EGM-VAR'!G27+'EAST-LRC-VAR'!G27+'TX-EGM-VAR'!G27+'TX-HPL-VAR '!G27+'WE-VAR'!G27+BUG_VAR!G27</f>
        <v>4754481.2695000004</v>
      </c>
      <c r="H27" s="60">
        <f>F27-D27</f>
        <v>-26658362</v>
      </c>
      <c r="I27" s="38">
        <f>G27-E27</f>
        <v>-60646670.730499998</v>
      </c>
    </row>
    <row r="28" spans="1:9" x14ac:dyDescent="0.2">
      <c r="A28" s="9">
        <v>12</v>
      </c>
      <c r="B28" s="7"/>
      <c r="C28" s="18" t="s">
        <v>39</v>
      </c>
      <c r="D28" s="65">
        <f>STG_VAR!D28+ONT_VAR!D28+'CE-VAR'!D28+'EAST-EGM-VAR'!D28+'BGC-EGM-VAR'!D28+'EAST-LRC-VAR'!D28+'TX-EGM-VAR'!D28+'TX-HPL-VAR '!D28+'WE-VAR'!D28+BUG_VAR!D28</f>
        <v>-28733492</v>
      </c>
      <c r="E28" s="65">
        <f>STG_VAR!E28+ONT_VAR!E28+'CE-VAR'!E28+'EAST-EGM-VAR'!E28+'BGC-EGM-VAR'!E28+'EAST-LRC-VAR'!E28+'TX-EGM-VAR'!E28+'TX-HPL-VAR '!E28+'WE-VAR'!E28+BUG_VAR!E28</f>
        <v>-65401152</v>
      </c>
      <c r="F28" s="65">
        <f>STG_VAR!F28+ONT_VAR!F28+'CE-VAR'!F28+'EAST-EGM-VAR'!F28+'BGC-EGM-VAR'!F28+'EAST-LRC-VAR'!F28+'TX-EGM-VAR'!F28+'TX-HPL-VAR '!F28+'WE-VAR'!F28+BUG_VAR!F28</f>
        <v>-25442910</v>
      </c>
      <c r="G28" s="65">
        <f>STG_VAR!G28+ONT_VAR!G28+'CE-VAR'!G28+'EAST-EGM-VAR'!G28+'BGC-EGM-VAR'!G28+'EAST-LRC-VAR'!G28+'TX-EGM-VAR'!G28+'TX-HPL-VAR '!G28+'WE-VAR'!G28+BUG_VAR!G28</f>
        <v>-57475102.859999999</v>
      </c>
      <c r="H28" s="60">
        <f>F28-D28</f>
        <v>3290582</v>
      </c>
      <c r="I28" s="38">
        <f>G28-E28</f>
        <v>7926049.1400000006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-23367780</v>
      </c>
      <c r="G29" s="70">
        <f t="shared" si="4"/>
        <v>-52720621.590499997</v>
      </c>
      <c r="H29" s="69">
        <f t="shared" si="4"/>
        <v>-23367780</v>
      </c>
      <c r="I29" s="70">
        <f t="shared" si="4"/>
        <v>-52720621.590499997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STG_VAR!D32+ONT_VAR!D32+'CE-VAR'!D32+'EAST-EGM-VAR'!D32+'BGC-EGM-VAR'!D32+'EAST-LRC-VAR'!D32+'TX-EGM-VAR'!D32+'TX-HPL-VAR '!D32+'WE-VAR'!D32+BUG_VAR!D32</f>
        <v>4243994</v>
      </c>
      <c r="E32" s="65">
        <f>STG_VAR!E32+ONT_VAR!E32+'CE-VAR'!E32+'EAST-EGM-VAR'!E32+'BGC-EGM-VAR'!E32+'EAST-LRC-VAR'!E32+'TX-EGM-VAR'!E32+'TX-HPL-VAR '!E32+'WE-VAR'!E32+BUG_VAR!E32</f>
        <v>9939170</v>
      </c>
      <c r="F32" s="65">
        <f>STG_VAR!F32+ONT_VAR!F32+'CE-VAR'!F32+'EAST-EGM-VAR'!F32+'BGC-EGM-VAR'!F32+'EAST-LRC-VAR'!F32+'TX-EGM-VAR'!F32+'TX-HPL-VAR '!F32+'WE-VAR'!F32+BUG_VAR!F32</f>
        <v>-897783</v>
      </c>
      <c r="G32" s="65">
        <f>STG_VAR!G32+ONT_VAR!G32+'CE-VAR'!G32+'EAST-EGM-VAR'!G32+'BGC-EGM-VAR'!G32+'EAST-LRC-VAR'!G32+'TX-EGM-VAR'!G32+'TX-HPL-VAR '!G32+'WE-VAR'!G32+BUG_VAR!G32</f>
        <v>-2663924.2158000004</v>
      </c>
      <c r="H32" s="60">
        <f>F32-D32</f>
        <v>-5141777</v>
      </c>
      <c r="I32" s="38">
        <f>G32-E32</f>
        <v>-12603094.2158</v>
      </c>
    </row>
    <row r="33" spans="1:9" x14ac:dyDescent="0.2">
      <c r="A33" s="9">
        <v>14</v>
      </c>
      <c r="B33" s="7"/>
      <c r="C33" s="18" t="s">
        <v>43</v>
      </c>
      <c r="D33" s="65">
        <f>STG_VAR!D33+ONT_VAR!D33+'CE-VAR'!D33+'EAST-EGM-VAR'!D33+'BGC-EGM-VAR'!D33+'EAST-LRC-VAR'!D33+'TX-EGM-VAR'!D33+'TX-HPL-VAR '!D33+'WE-VAR'!D33+BUG_VAR!D33</f>
        <v>-4185810</v>
      </c>
      <c r="E33" s="65">
        <f>STG_VAR!E33+ONT_VAR!E33+'CE-VAR'!E33+'EAST-EGM-VAR'!E33+'BGC-EGM-VAR'!E33+'EAST-LRC-VAR'!E33+'TX-EGM-VAR'!E33+'TX-HPL-VAR '!E33+'WE-VAR'!E33+BUG_VAR!E33</f>
        <v>-9748444.6598810684</v>
      </c>
      <c r="F33" s="65">
        <f>STG_VAR!F33+ONT_VAR!F33+'CE-VAR'!F33+'EAST-EGM-VAR'!F33+'BGC-EGM-VAR'!F33+'EAST-LRC-VAR'!F33+'TX-EGM-VAR'!F33+'TX-HPL-VAR '!F33+'WE-VAR'!F33+BUG_VAR!F33</f>
        <v>-52744</v>
      </c>
      <c r="G33" s="65">
        <f>STG_VAR!G33+ONT_VAR!G33+'CE-VAR'!G33+'EAST-EGM-VAR'!G33+'BGC-EGM-VAR'!G33+'EAST-LRC-VAR'!G33+'TX-EGM-VAR'!G33+'TX-HPL-VAR '!G33+'WE-VAR'!G33+BUG_VAR!G33</f>
        <v>-117141.67</v>
      </c>
      <c r="H33" s="60">
        <f t="shared" ref="H33:I35" si="5">F33-D33</f>
        <v>4133066</v>
      </c>
      <c r="I33" s="38">
        <f t="shared" si="5"/>
        <v>9631302.9898810685</v>
      </c>
    </row>
    <row r="34" spans="1:9" x14ac:dyDescent="0.2">
      <c r="A34" s="9">
        <v>15</v>
      </c>
      <c r="B34" s="7"/>
      <c r="C34" s="18" t="s">
        <v>44</v>
      </c>
      <c r="D34" s="65">
        <f>STG_VAR!D34+ONT_VAR!D34+'CE-VAR'!D34+'EAST-EGM-VAR'!D34+'BGC-EGM-VAR'!D34+'EAST-LRC-VAR'!D34+'TX-EGM-VAR'!D34+'TX-HPL-VAR '!D34+'WE-VAR'!D34+BUG_VAR!D34</f>
        <v>352983</v>
      </c>
      <c r="E34" s="65">
        <f>STG_VAR!E34+ONT_VAR!E34+'CE-VAR'!E34+'EAST-EGM-VAR'!E34+'BGC-EGM-VAR'!E34+'EAST-LRC-VAR'!E34+'TX-EGM-VAR'!E34+'TX-HPL-VAR '!E34+'WE-VAR'!E34+BUG_VAR!E34</f>
        <v>794701</v>
      </c>
      <c r="F34" s="65">
        <f>STG_VAR!F34+ONT_VAR!F34+'CE-VAR'!F34+'EAST-EGM-VAR'!F34+'BGC-EGM-VAR'!F34+'EAST-LRC-VAR'!F34+'TX-EGM-VAR'!F34+'TX-HPL-VAR '!F34+'WE-VAR'!F34+BUG_VAR!F34</f>
        <v>338770</v>
      </c>
      <c r="G34" s="65">
        <f>STG_VAR!G34+ONT_VAR!G34+'CE-VAR'!G34+'EAST-EGM-VAR'!G34+'BGC-EGM-VAR'!G34+'EAST-LRC-VAR'!G34+'TX-EGM-VAR'!G34+'TX-HPL-VAR '!G34+'WE-VAR'!G34+BUG_VAR!G34</f>
        <v>756347.42999999993</v>
      </c>
      <c r="H34" s="60">
        <f t="shared" si="5"/>
        <v>-14213</v>
      </c>
      <c r="I34" s="38">
        <f t="shared" si="5"/>
        <v>-38353.570000000065</v>
      </c>
    </row>
    <row r="35" spans="1:9" x14ac:dyDescent="0.2">
      <c r="A35" s="9">
        <v>16</v>
      </c>
      <c r="B35" s="7"/>
      <c r="C35" s="18" t="s">
        <v>45</v>
      </c>
      <c r="D35" s="65">
        <f>STG_VAR!D35+ONT_VAR!D35+'CE-VAR'!D35+'EAST-EGM-VAR'!D35+'BGC-EGM-VAR'!D35+'EAST-LRC-VAR'!D35+'TX-EGM-VAR'!D35+'TX-HPL-VAR '!D35+'WE-VAR'!D35+BUG_VAR!D35</f>
        <v>-113080</v>
      </c>
      <c r="E35" s="65">
        <f>STG_VAR!E35+ONT_VAR!E35+'CE-VAR'!E35+'EAST-EGM-VAR'!E35+'BGC-EGM-VAR'!E35+'EAST-LRC-VAR'!E35+'TX-EGM-VAR'!E35+'TX-HPL-VAR '!E35+'WE-VAR'!E35+BUG_VAR!E35</f>
        <v>-254388</v>
      </c>
      <c r="F35" s="65">
        <f>STG_VAR!F35+ONT_VAR!F35+'CE-VAR'!F35+'EAST-EGM-VAR'!F35+'BGC-EGM-VAR'!F35+'EAST-LRC-VAR'!F35+'TX-EGM-VAR'!F35+'TX-HPL-VAR '!F35+'WE-VAR'!F35+BUG_VAR!F35</f>
        <v>1175587</v>
      </c>
      <c r="G35" s="65">
        <f>STG_VAR!G35+ONT_VAR!G35+'CE-VAR'!G35+'EAST-EGM-VAR'!G35+'BGC-EGM-VAR'!G35+'EAST-LRC-VAR'!G35+'TX-EGM-VAR'!G35+'TX-HPL-VAR '!G35+'WE-VAR'!G35+BUG_VAR!G35</f>
        <v>805268.99</v>
      </c>
      <c r="H35" s="60">
        <f t="shared" si="5"/>
        <v>1288667</v>
      </c>
      <c r="I35" s="38">
        <f t="shared" si="5"/>
        <v>1059656.99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298087</v>
      </c>
      <c r="E36" s="39">
        <f t="shared" si="6"/>
        <v>731038.34011893161</v>
      </c>
      <c r="F36" s="61">
        <f t="shared" si="6"/>
        <v>563830</v>
      </c>
      <c r="G36" s="39">
        <f t="shared" si="6"/>
        <v>-1219449.4658000004</v>
      </c>
      <c r="H36" s="61">
        <f t="shared" si="6"/>
        <v>265743</v>
      </c>
      <c r="I36" s="39">
        <f t="shared" si="6"/>
        <v>-1950487.8059189322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STG_VAR!D39+ONT_VAR!D39+'CE-VAR'!D39+'EAST-EGM-VAR'!D39+'BGC-EGM-VAR'!D39+'EAST-LRC-VAR'!D39+'TX-EGM-VAR'!D39+'TX-HPL-VAR '!D39+'WE-VAR'!D39+BUG_VAR!D39</f>
        <v>9263998</v>
      </c>
      <c r="E39" s="65">
        <f>STG_VAR!E39+ONT_VAR!E39+'CE-VAR'!E39+'EAST-EGM-VAR'!E39+'BGC-EGM-VAR'!E39+'EAST-LRC-VAR'!E39+'TX-EGM-VAR'!E39+'TX-HPL-VAR '!E39+'WE-VAR'!E39+BUG_VAR!E39</f>
        <v>21559234</v>
      </c>
      <c r="F39" s="65">
        <f>STG_VAR!F39+ONT_VAR!F39+'CE-VAR'!F39+'EAST-EGM-VAR'!F39+'BGC-EGM-VAR'!F39+'EAST-LRC-VAR'!F39+'TX-EGM-VAR'!F39+'TX-HPL-VAR '!F39+'WE-VAR'!F39+BUG_VAR!F39</f>
        <v>7701973</v>
      </c>
      <c r="G39" s="65">
        <f>STG_VAR!G39+ONT_VAR!G39+'CE-VAR'!G39+'EAST-EGM-VAR'!G39+'BGC-EGM-VAR'!G39+'EAST-LRC-VAR'!G39+'TX-EGM-VAR'!G39+'TX-HPL-VAR '!G39+'WE-VAR'!G39+BUG_VAR!G39</f>
        <v>18423686.260000002</v>
      </c>
      <c r="H39" s="60">
        <f t="shared" ref="H39:I41" si="7">F39-D39</f>
        <v>-1562025</v>
      </c>
      <c r="I39" s="38">
        <f t="shared" si="7"/>
        <v>-3135547.7399999984</v>
      </c>
    </row>
    <row r="40" spans="1:9" ht="22.5" customHeight="1" x14ac:dyDescent="0.2">
      <c r="A40" s="9">
        <v>18</v>
      </c>
      <c r="B40" s="7"/>
      <c r="C40" s="18" t="s">
        <v>49</v>
      </c>
      <c r="D40" s="65">
        <f>STG_VAR!D40+ONT_VAR!D40+'CE-VAR'!D40+'EAST-EGM-VAR'!D40+'BGC-EGM-VAR'!D40+'EAST-LRC-VAR'!D40+'TX-EGM-VAR'!D40+'TX-HPL-VAR '!D40+'WE-VAR'!D40+BUG_VAR!D40</f>
        <v>-1433823</v>
      </c>
      <c r="E40" s="65">
        <f>STG_VAR!E40+ONT_VAR!E40+'CE-VAR'!E40+'EAST-EGM-VAR'!E40+'BGC-EGM-VAR'!E40+'EAST-LRC-VAR'!E40+'TX-EGM-VAR'!E40+'TX-HPL-VAR '!E40+'WE-VAR'!E40+BUG_VAR!E40</f>
        <v>-2906868</v>
      </c>
      <c r="F40" s="65">
        <f>STG_VAR!F40+ONT_VAR!F40+'CE-VAR'!F40+'EAST-EGM-VAR'!F40+'BGC-EGM-VAR'!F40+'EAST-LRC-VAR'!F40+'TX-EGM-VAR'!F40+'TX-HPL-VAR '!F40+'WE-VAR'!F40+BUG_VAR!F40</f>
        <v>175620</v>
      </c>
      <c r="G40" s="65">
        <f>STG_VAR!G40+ONT_VAR!G40+'CE-VAR'!G40+'EAST-EGM-VAR'!G40+'BGC-EGM-VAR'!G40+'EAST-LRC-VAR'!G40+'TX-EGM-VAR'!G40+'TX-HPL-VAR '!G40+'WE-VAR'!G40+BUG_VAR!G40</f>
        <v>496812.25</v>
      </c>
      <c r="H40" s="60">
        <f t="shared" si="7"/>
        <v>1609443</v>
      </c>
      <c r="I40" s="38">
        <f t="shared" si="7"/>
        <v>3403680.25</v>
      </c>
    </row>
    <row r="41" spans="1:9" x14ac:dyDescent="0.2">
      <c r="A41" s="9">
        <v>19</v>
      </c>
      <c r="B41" s="7"/>
      <c r="C41" s="18" t="s">
        <v>50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420405</v>
      </c>
      <c r="H41" s="60">
        <f t="shared" si="7"/>
        <v>0</v>
      </c>
      <c r="I41" s="38">
        <f t="shared" si="7"/>
        <v>420405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-1433823</v>
      </c>
      <c r="E42" s="70">
        <f t="shared" si="8"/>
        <v>-2906868</v>
      </c>
      <c r="F42" s="69">
        <f t="shared" si="8"/>
        <v>175620</v>
      </c>
      <c r="G42" s="70">
        <f t="shared" si="8"/>
        <v>917217.25</v>
      </c>
      <c r="H42" s="69">
        <f t="shared" si="8"/>
        <v>1609443</v>
      </c>
      <c r="I42" s="70">
        <f t="shared" si="8"/>
        <v>3824085.25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7830175</v>
      </c>
      <c r="E43" s="39">
        <f t="shared" si="9"/>
        <v>18652366</v>
      </c>
      <c r="F43" s="61">
        <f t="shared" si="9"/>
        <v>7877593</v>
      </c>
      <c r="G43" s="39">
        <f t="shared" si="9"/>
        <v>19340903.510000002</v>
      </c>
      <c r="H43" s="61">
        <f t="shared" si="9"/>
        <v>47418</v>
      </c>
      <c r="I43" s="39">
        <f t="shared" si="9"/>
        <v>688537.51000000164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-25247</v>
      </c>
      <c r="G45" s="65">
        <f>STG_VAR!G45+ONT_VAR!G45+'CE-VAR'!G45+'EAST-EGM-VAR'!G45+'BGC-EGM-VAR'!G45+'EAST-LRC-VAR'!G45+'TX-EGM-VAR'!G45+'TX-HPL-VAR '!G45+'WE-VAR'!G45+BUG_VAR!G45</f>
        <v>-45544.09</v>
      </c>
      <c r="H45" s="60">
        <f>F45-D45</f>
        <v>-25247</v>
      </c>
      <c r="I45" s="38">
        <f>G45-E45</f>
        <v>-45544.09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STG_VAR!D49+ONT_VAR!D49+'CE-VAR'!D49+'EAST-EGM-VAR'!D49+'BGC-EGM-VAR'!D49+'EAST-LRC-VAR'!D49+'TX-EGM-VAR'!D49+'TX-HPL-VAR '!D49+'WE-VAR'!D49+BUG_VAR!D49</f>
        <v>41917</v>
      </c>
      <c r="E49" s="65">
        <f>STG_VAR!E49+ONT_VAR!E49+'CE-VAR'!E49+'EAST-EGM-VAR'!E49+'BGC-EGM-VAR'!E49+'EAST-LRC-VAR'!E49+'TX-EGM-VAR'!E49+'TX-HPL-VAR '!E49+'WE-VAR'!E49+BUG_VAR!E49</f>
        <v>97719.136094822257</v>
      </c>
      <c r="F49" s="65">
        <f>STG_VAR!F49+ONT_VAR!F49+'CE-VAR'!F49+'EAST-EGM-VAR'!F49+'BGC-EGM-VAR'!F49+'EAST-LRC-VAR'!F49+'TX-EGM-VAR'!F49+'TX-HPL-VAR '!F49+'WE-VAR'!F49+BUG_VAR!F49</f>
        <v>-398235</v>
      </c>
      <c r="G49" s="65">
        <f>STG_VAR!G49+ONT_VAR!G49+'CE-VAR'!G49+'EAST-EGM-VAR'!G49+'BGC-EGM-VAR'!G49+'EAST-LRC-VAR'!G49+'TX-EGM-VAR'!G49+'TX-HPL-VAR '!G49+'WE-VAR'!G49+BUG_VAR!G49</f>
        <v>-922116.33700000227</v>
      </c>
      <c r="H49" s="60">
        <f>F49-D49</f>
        <v>-440152</v>
      </c>
      <c r="I49" s="38">
        <f>G49-E49</f>
        <v>-1019835.4730948245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STG_VAR!D51+ONT_VAR!D51+'CE-VAR'!D51+'EAST-EGM-VAR'!D51+'BGC-EGM-VAR'!D51+'EAST-LRC-VAR'!D51+'TX-EGM-VAR'!D51+'TX-HPL-VAR '!D51+'WE-VAR'!D51+BUG_VAR!D51</f>
        <v>-1225506</v>
      </c>
      <c r="E51" s="65">
        <f>STG_VAR!E51+ONT_VAR!E51+'CE-VAR'!E51+'EAST-EGM-VAR'!E51+'BGC-EGM-VAR'!E51+'EAST-LRC-VAR'!E51+'TX-EGM-VAR'!E51+'TX-HPL-VAR '!E51+'WE-VAR'!E51+BUG_VAR!E51</f>
        <v>-2710150</v>
      </c>
      <c r="F51" s="65">
        <f>STG_VAR!F51+ONT_VAR!F51+'CE-VAR'!F51+'EAST-EGM-VAR'!F51+'BGC-EGM-VAR'!F51+'EAST-LRC-VAR'!F51+'TX-EGM-VAR'!F51+'TX-HPL-VAR '!F51+'WE-VAR'!F51+BUG_VAR!F51</f>
        <v>-1515878</v>
      </c>
      <c r="G51" s="65">
        <f>STG_VAR!G51+ONT_VAR!G51+'CE-VAR'!G51+'EAST-EGM-VAR'!G51+'BGC-EGM-VAR'!G51+'EAST-LRC-VAR'!G51+'TX-EGM-VAR'!G51+'TX-HPL-VAR '!G51+'WE-VAR'!G51+BUG_VAR!G51</f>
        <v>-3304157.4675999996</v>
      </c>
      <c r="H51" s="60">
        <f>F51-D51</f>
        <v>-290372</v>
      </c>
      <c r="I51" s="38">
        <f>G51-E51</f>
        <v>-594007.46759999963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-2166425.96</v>
      </c>
      <c r="F54" s="65">
        <f>STG_VAR!F54+ONT_VAR!F54+'CE-VAR'!F54+'EAST-EGM-VAR'!F54+'BGC-EGM-VAR'!F54+'EAST-LRC-VAR'!F54+'TX-EGM-VAR'!F54+'TX-HPL-VAR '!F54+'WE-VAR'!F54+BUG_VAR!F54</f>
        <v>-78653114</v>
      </c>
      <c r="G54" s="65">
        <f>STG_VAR!G54+ONT_VAR!G54+'CE-VAR'!G54+'EAST-EGM-VAR'!G54+'BGC-EGM-VAR'!G54+'EAST-LRC-VAR'!G54+'TX-EGM-VAR'!G54+'TX-HPL-VAR '!G54+'WE-VAR'!G54+BUG_VAR!G54</f>
        <v>-1788907.86</v>
      </c>
      <c r="H54" s="60">
        <f>F54-D54</f>
        <v>-78653114</v>
      </c>
      <c r="I54" s="38">
        <f>G54-E54</f>
        <v>377518.09999999986</v>
      </c>
    </row>
    <row r="55" spans="1:9" x14ac:dyDescent="0.2">
      <c r="A55" s="9">
        <v>25</v>
      </c>
      <c r="B55" s="7"/>
      <c r="C55" s="18" t="s">
        <v>59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-2636812.19</v>
      </c>
      <c r="F55" s="65">
        <f>STG_VAR!F55+ONT_VAR!F55+'CE-VAR'!F55+'EAST-EGM-VAR'!F55+'BGC-EGM-VAR'!F55+'EAST-LRC-VAR'!F55+'TX-EGM-VAR'!F55+'TX-HPL-VAR '!F55+'WE-VAR'!F55+BUG_VAR!F55</f>
        <v>0</v>
      </c>
      <c r="G55" s="65">
        <f>STG_VAR!G55+ONT_VAR!G55+'CE-VAR'!G55+'EAST-EGM-VAR'!G55+'BGC-EGM-VAR'!G55+'EAST-LRC-VAR'!G55+'TX-EGM-VAR'!G55+'TX-HPL-VAR '!G55+'WE-VAR'!G55+BUG_VAR!G55</f>
        <v>-14891713.51</v>
      </c>
      <c r="H55" s="60">
        <f>F55-D55</f>
        <v>0</v>
      </c>
      <c r="I55" s="38">
        <f>G55-E55</f>
        <v>-12254901.32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-4803238.1500000004</v>
      </c>
      <c r="F56" s="61">
        <f t="shared" si="10"/>
        <v>-78653114</v>
      </c>
      <c r="G56" s="39">
        <f t="shared" si="10"/>
        <v>-16680621.369999999</v>
      </c>
      <c r="H56" s="61">
        <f t="shared" si="10"/>
        <v>-78653114</v>
      </c>
      <c r="I56" s="39">
        <f t="shared" si="10"/>
        <v>-11877383.220000001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3132845</v>
      </c>
      <c r="G59" s="65">
        <f>STG_VAR!G59+ONT_VAR!G59+'CE-VAR'!G59+'EAST-EGM-VAR'!G59+'BGC-EGM-VAR'!G59+'EAST-LRC-VAR'!G59+'TX-EGM-VAR'!G59+'TX-HPL-VAR '!G59+'WE-VAR'!G59+BUG_VAR!G59</f>
        <v>98670.560000000012</v>
      </c>
      <c r="H59" s="60">
        <f>F59-D59</f>
        <v>3132845</v>
      </c>
      <c r="I59" s="38">
        <f>G59-E59</f>
        <v>98670.560000000012</v>
      </c>
    </row>
    <row r="60" spans="1:9" x14ac:dyDescent="0.2">
      <c r="A60" s="9">
        <v>27</v>
      </c>
      <c r="B60" s="11"/>
      <c r="C60" s="18" t="s">
        <v>63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3132845</v>
      </c>
      <c r="G61" s="70">
        <f t="shared" si="11"/>
        <v>221932.56</v>
      </c>
      <c r="H61" s="69">
        <f t="shared" si="11"/>
        <v>3132845</v>
      </c>
      <c r="I61" s="70">
        <f t="shared" si="11"/>
        <v>221932.56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68597</v>
      </c>
      <c r="F64" s="65">
        <f>STG_VAR!F64+ONT_VAR!F64+'CE-VAR'!F64+'EAST-EGM-VAR'!F64+'BGC-EGM-VAR'!F64+'EAST-LRC-VAR'!F64+'TX-EGM-VAR'!F64+'TX-HPL-VAR '!F64+'WE-VAR'!F64+BUG_VAR!F64</f>
        <v>-65548201</v>
      </c>
      <c r="G64" s="65">
        <f>STG_VAR!G64+ONT_VAR!G64+'CE-VAR'!G64+'EAST-EGM-VAR'!G64+'BGC-EGM-VAR'!G64+'EAST-LRC-VAR'!G64+'TX-EGM-VAR'!G64+'TX-HPL-VAR '!G64+'WE-VAR'!G64+BUG_VAR!G64</f>
        <v>-3168952.92</v>
      </c>
      <c r="H64" s="60">
        <f>F64-D64</f>
        <v>-65548201</v>
      </c>
      <c r="I64" s="38">
        <f>G64-E64</f>
        <v>-3237549.92</v>
      </c>
    </row>
    <row r="65" spans="1:9" x14ac:dyDescent="0.2">
      <c r="A65" s="9">
        <v>29</v>
      </c>
      <c r="B65" s="11"/>
      <c r="C65" s="18" t="s">
        <v>66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18905694</v>
      </c>
      <c r="G65" s="65">
        <f>STG_VAR!G65+ONT_VAR!G65+'CE-VAR'!G65+'EAST-EGM-VAR'!G65+'BGC-EGM-VAR'!G65+'EAST-LRC-VAR'!G65+'TX-EGM-VAR'!G65+'TX-HPL-VAR '!G65+'WE-VAR'!G65+BUG_VAR!G65</f>
        <v>3164156.54</v>
      </c>
      <c r="H65" s="60">
        <f>F65-D65</f>
        <v>18905694</v>
      </c>
      <c r="I65" s="38">
        <f>G65-E65</f>
        <v>3164156.54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-46642507</v>
      </c>
      <c r="G66" s="39">
        <f t="shared" si="12"/>
        <v>-4796.3799999998882</v>
      </c>
      <c r="H66" s="61">
        <f t="shared" si="12"/>
        <v>-46642507</v>
      </c>
      <c r="I66" s="39">
        <f t="shared" si="12"/>
        <v>-73393.379999999888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15090184.70874786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19732848.719999999</v>
      </c>
      <c r="H70" s="60">
        <f>F70-D70</f>
        <v>0</v>
      </c>
      <c r="I70" s="38">
        <f>G70-E70</f>
        <v>4642664.0112521388</v>
      </c>
    </row>
    <row r="71" spans="1:9" x14ac:dyDescent="0.2">
      <c r="A71" s="9">
        <v>31</v>
      </c>
      <c r="B71" s="3"/>
      <c r="C71" s="10" t="s">
        <v>71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-10626995.85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-10875426.73</v>
      </c>
      <c r="H71" s="60">
        <f>F71-D71</f>
        <v>0</v>
      </c>
      <c r="I71" s="38">
        <f>G71-E71</f>
        <v>-248430.88000000082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4463188.8587478604</v>
      </c>
      <c r="F72" s="69">
        <f t="shared" si="13"/>
        <v>0</v>
      </c>
      <c r="G72" s="70">
        <f t="shared" si="13"/>
        <v>8857421.9899999984</v>
      </c>
      <c r="H72" s="69">
        <f t="shared" si="13"/>
        <v>0</v>
      </c>
      <c r="I72" s="70">
        <f t="shared" si="13"/>
        <v>4394233.1312521379</v>
      </c>
    </row>
    <row r="73" spans="1:9" x14ac:dyDescent="0.2">
      <c r="A73" s="9">
        <v>32</v>
      </c>
      <c r="B73" s="3"/>
      <c r="C73" s="10" t="s">
        <v>73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858408.15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-3511657.05</v>
      </c>
      <c r="H74" s="60">
        <f t="shared" ref="H74:I79" si="14">F74-D74</f>
        <v>0</v>
      </c>
      <c r="I74" s="38">
        <f t="shared" si="14"/>
        <v>-4370065.2</v>
      </c>
    </row>
    <row r="75" spans="1:9" x14ac:dyDescent="0.2">
      <c r="A75" s="9">
        <v>34</v>
      </c>
      <c r="B75" s="3"/>
      <c r="C75" s="10" t="s">
        <v>75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191774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1865400</v>
      </c>
      <c r="H75" s="60">
        <f t="shared" si="14"/>
        <v>0</v>
      </c>
      <c r="I75" s="38">
        <f t="shared" si="14"/>
        <v>1673626</v>
      </c>
    </row>
    <row r="76" spans="1:9" x14ac:dyDescent="0.2">
      <c r="A76" s="9">
        <v>35</v>
      </c>
      <c r="B76" s="3"/>
      <c r="C76" s="10" t="s">
        <v>76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-82700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-550900.07999999996</v>
      </c>
      <c r="H76" s="60">
        <f t="shared" si="14"/>
        <v>0</v>
      </c>
      <c r="I76" s="38">
        <f t="shared" si="14"/>
        <v>-468200.07999999996</v>
      </c>
    </row>
    <row r="77" spans="1:9" x14ac:dyDescent="0.2">
      <c r="A77" s="9">
        <v>36</v>
      </c>
      <c r="B77" s="3"/>
      <c r="C77" s="10" t="s">
        <v>77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-1140109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6020734</v>
      </c>
      <c r="H77" s="60">
        <f t="shared" si="14"/>
        <v>0</v>
      </c>
      <c r="I77" s="38">
        <f t="shared" si="14"/>
        <v>7160843</v>
      </c>
    </row>
    <row r="78" spans="1:9" x14ac:dyDescent="0.2">
      <c r="A78" s="9">
        <v>37</v>
      </c>
      <c r="B78" s="3"/>
      <c r="C78" s="10" t="s">
        <v>78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79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0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1531990</v>
      </c>
      <c r="H79" s="60">
        <f t="shared" si="14"/>
        <v>0</v>
      </c>
      <c r="I79" s="38">
        <f t="shared" si="14"/>
        <v>1531990</v>
      </c>
    </row>
    <row r="80" spans="1:9" x14ac:dyDescent="0.2">
      <c r="A80" s="9">
        <v>39</v>
      </c>
      <c r="B80" s="3"/>
      <c r="C80" s="10" t="s">
        <v>80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81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-378038</v>
      </c>
      <c r="F81" s="65">
        <f>STG_VAR!F81+ONT_VAR!F81+'CE-VAR'!F81+'EAST-EGM-VAR'!F81+'BGC-EGM-VAR'!F81+'EAST-LRC-VAR'!F81+'TX-EGM-VAR'!F81+'TX-HPL-VAR '!F81+'WE-VAR'!F81+BUG_VAR!F81</f>
        <v>1116361</v>
      </c>
      <c r="G81" s="65">
        <f>STG_VAR!G81+ONT_VAR!G81+'CE-VAR'!G81+'EAST-EGM-VAR'!G81+'BGC-EGM-VAR'!G81+'EAST-LRC-VAR'!G81+'TX-EGM-VAR'!G81+'TX-HPL-VAR '!G81+'WE-VAR'!G81+BUG_VAR!G81</f>
        <v>301151.34999999998</v>
      </c>
      <c r="H81" s="60">
        <f>F81-D81</f>
        <v>1116361</v>
      </c>
      <c r="I81" s="38">
        <f>G81-E81</f>
        <v>679189.35</v>
      </c>
    </row>
    <row r="82" spans="1:9" s="49" customFormat="1" ht="20.25" customHeight="1" thickBot="1" x14ac:dyDescent="0.25">
      <c r="A82" s="89"/>
      <c r="B82" s="90"/>
      <c r="C82" s="91" t="s">
        <v>82</v>
      </c>
      <c r="D82" s="92">
        <f>D16+D24+D29+D36+D43+D45+D47+D49</f>
        <v>0</v>
      </c>
      <c r="E82" s="93">
        <f>SUM(E72:E81)+E16+E24+E29+E36+E43+E45+E47+E49+E51+E56+E61+E66</f>
        <v>3943752.2799616214</v>
      </c>
      <c r="F82" s="92">
        <f>F16+F24+F29+F36+F43+F45+F47+F49</f>
        <v>2250</v>
      </c>
      <c r="G82" s="93">
        <f>SUM(G72:G81)+G16+G24+G29+G36+G43+G45+G47+G49+G51+G56+G61+G66</f>
        <v>-463176.79229989793</v>
      </c>
      <c r="H82" s="92">
        <f>H16+H24+H29+H36+H43+H45+H47+H49</f>
        <v>2250</v>
      </c>
      <c r="I82" s="93">
        <f>SUM(I72:I81)+I16+I24+I29+I36+I43+I45+I47+I49+I51+I56+I61+I66</f>
        <v>-4406929.0722615309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173</v>
      </c>
      <c r="B85" s="3"/>
      <c r="F85" s="31"/>
      <c r="G85" s="31"/>
      <c r="H85" s="31"/>
      <c r="I85" s="31"/>
    </row>
    <row r="86" spans="1:9" x14ac:dyDescent="0.2">
      <c r="A86" s="174"/>
      <c r="B86" s="3"/>
      <c r="C86" s="10" t="s">
        <v>177</v>
      </c>
      <c r="D86" s="175">
        <f>STG_VAR!D86+ONT_VAR!D86+'CE-VAR'!D86+'EAST-EGM-VAR'!D86+'BGC-EGM-VAR'!D86+'EAST-LRC-VAR'!D86+'TX-EGM-VAR'!D86+'TX-HPL-VAR '!D86+'WE-VAR'!D86+BUG_VAR!D86</f>
        <v>0</v>
      </c>
      <c r="E86" s="175">
        <f>STG_VAR!E86+ONT_VAR!E86+'CE-VAR'!E86+'EAST-EGM-VAR'!E86+'BGC-EGM-VAR'!E86+'EAST-LRC-VAR'!E86+'TX-EGM-VAR'!E86+'TX-HPL-VAR '!E86+'WE-VAR'!E86+BUG_VAR!E86</f>
        <v>359906</v>
      </c>
      <c r="F86" s="175">
        <f>STG_VAR!F86+ONT_VAR!F86+'CE-VAR'!F86+'EAST-EGM-VAR'!F86+'BGC-EGM-VAR'!F86+'EAST-LRC-VAR'!F86+'TX-EGM-VAR'!F86+'TX-HPL-VAR '!F86+'WE-VAR'!F86+BUG_VAR!F86</f>
        <v>0</v>
      </c>
      <c r="G86" s="175">
        <f>STG_VAR!G86+ONT_VAR!G86+'CE-VAR'!G86+'EAST-EGM-VAR'!G86+'BGC-EGM-VAR'!G86+'EAST-LRC-VAR'!G86+'TX-EGM-VAR'!G86+'TX-HPL-VAR '!G86+'WE-VAR'!G86+BUG_VAR!G86</f>
        <v>6096017.6399999997</v>
      </c>
      <c r="H86" s="175">
        <f t="shared" ref="H86:I88" si="15">F86-D86</f>
        <v>0</v>
      </c>
      <c r="I86" s="175">
        <f t="shared" si="15"/>
        <v>5736111.6399999997</v>
      </c>
    </row>
    <row r="87" spans="1:9" x14ac:dyDescent="0.2">
      <c r="A87" s="174"/>
      <c r="B87" s="3"/>
      <c r="C87" s="10" t="s">
        <v>74</v>
      </c>
      <c r="D87" s="176">
        <f>STG_VAR!D87+ONT_VAR!D87+'CE-VAR'!D87+'EAST-EGM-VAR'!D87+'BGC-EGM-VAR'!D87+'EAST-LRC-VAR'!D87+'TX-EGM-VAR'!D87+'TX-HPL-VAR '!D87+'WE-VAR'!D87+BUG_VAR!D87</f>
        <v>0</v>
      </c>
      <c r="E87" s="176">
        <f>STG_VAR!E87+ONT_VAR!E87+'CE-VAR'!E87+'EAST-EGM-VAR'!E87+'BGC-EGM-VAR'!E87+'EAST-LRC-VAR'!E87+'TX-EGM-VAR'!E87+'TX-HPL-VAR '!E87+'WE-VAR'!E87+BUG_VAR!E87</f>
        <v>0</v>
      </c>
      <c r="F87" s="176">
        <f>STG_VAR!F87+ONT_VAR!F87+'CE-VAR'!F87+'EAST-EGM-VAR'!F87+'BGC-EGM-VAR'!F87+'EAST-LRC-VAR'!F87+'TX-EGM-VAR'!F87+'TX-HPL-VAR '!F87+'WE-VAR'!F87+BUG_VAR!F87</f>
        <v>0</v>
      </c>
      <c r="G87" s="176">
        <f>STG_VAR!G87+ONT_VAR!G87+'CE-VAR'!G87+'EAST-EGM-VAR'!G87+'BGC-EGM-VAR'!G87+'EAST-LRC-VAR'!G87+'TX-EGM-VAR'!G87+'TX-HPL-VAR '!G87+'WE-VAR'!G87+BUG_VAR!G87</f>
        <v>0</v>
      </c>
      <c r="H87" s="176">
        <f t="shared" si="15"/>
        <v>0</v>
      </c>
      <c r="I87" s="176">
        <f t="shared" si="15"/>
        <v>0</v>
      </c>
    </row>
    <row r="88" spans="1:9" x14ac:dyDescent="0.2">
      <c r="A88" s="174"/>
      <c r="B88" s="3"/>
      <c r="C88" s="10" t="s">
        <v>75</v>
      </c>
      <c r="D88" s="177">
        <f>STG_VAR!D88+ONT_VAR!D88+'CE-VAR'!D88+'EAST-EGM-VAR'!D88+'BGC-EGM-VAR'!D88+'EAST-LRC-VAR'!D88+'TX-EGM-VAR'!D88+'TX-HPL-VAR '!D88+'WE-VAR'!D88+BUG_VAR!D88</f>
        <v>0</v>
      </c>
      <c r="E88" s="177">
        <f>STG_VAR!E88+ONT_VAR!E88+'CE-VAR'!E88+'EAST-EGM-VAR'!E88+'BGC-EGM-VAR'!E88+'EAST-LRC-VAR'!E88+'TX-EGM-VAR'!E88+'TX-HPL-VAR '!E88+'WE-VAR'!E88+BUG_VAR!E88</f>
        <v>-113464</v>
      </c>
      <c r="F88" s="177">
        <f>STG_VAR!F88+ONT_VAR!F88+'CE-VAR'!F88+'EAST-EGM-VAR'!F88+'BGC-EGM-VAR'!F88+'EAST-LRC-VAR'!F88+'TX-EGM-VAR'!F88+'TX-HPL-VAR '!F88+'WE-VAR'!F88+BUG_VAR!F88</f>
        <v>0</v>
      </c>
      <c r="G88" s="177">
        <f>STG_VAR!G88+ONT_VAR!G88+'CE-VAR'!G88+'EAST-EGM-VAR'!G88+'BGC-EGM-VAR'!G88+'EAST-LRC-VAR'!G88+'TX-EGM-VAR'!G88+'TX-HPL-VAR '!G88+'WE-VAR'!G88+BUG_VAR!G88</f>
        <v>-5855145</v>
      </c>
      <c r="H88" s="177">
        <f t="shared" si="15"/>
        <v>0</v>
      </c>
      <c r="I88" s="177">
        <f t="shared" si="15"/>
        <v>-5741681</v>
      </c>
    </row>
    <row r="89" spans="1:9" s="145" customFormat="1" x14ac:dyDescent="0.2">
      <c r="A89" s="188"/>
      <c r="B89" s="189"/>
      <c r="C89" s="187" t="s">
        <v>180</v>
      </c>
      <c r="D89" s="190">
        <f t="shared" ref="D89:I89" si="16">SUM(D86:D88)</f>
        <v>0</v>
      </c>
      <c r="E89" s="190">
        <f t="shared" si="16"/>
        <v>246442</v>
      </c>
      <c r="F89" s="190">
        <f t="shared" si="16"/>
        <v>0</v>
      </c>
      <c r="G89" s="190">
        <f t="shared" si="16"/>
        <v>240872.63999999966</v>
      </c>
      <c r="H89" s="190">
        <f t="shared" si="16"/>
        <v>0</v>
      </c>
      <c r="I89" s="190">
        <f t="shared" si="16"/>
        <v>-5569.3600000003353</v>
      </c>
    </row>
    <row r="90" spans="1:9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9" s="145" customFormat="1" x14ac:dyDescent="0.2">
      <c r="A91" s="188"/>
      <c r="B91" s="189"/>
      <c r="C91" s="187" t="s">
        <v>183</v>
      </c>
      <c r="D91" s="190">
        <f t="shared" ref="D91:I91" si="17">+D82+D89</f>
        <v>0</v>
      </c>
      <c r="E91" s="190">
        <f t="shared" si="17"/>
        <v>4190194.2799616214</v>
      </c>
      <c r="F91" s="190">
        <f t="shared" si="17"/>
        <v>2250</v>
      </c>
      <c r="G91" s="190">
        <f t="shared" si="17"/>
        <v>-222304.15229989827</v>
      </c>
      <c r="H91" s="190">
        <f t="shared" si="17"/>
        <v>2250</v>
      </c>
      <c r="I91" s="190">
        <f t="shared" si="17"/>
        <v>-4412498.4322615312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69" activePane="bottomRight" state="frozen"/>
      <selection activeCell="W645" sqref="W645"/>
      <selection pane="topRight" activeCell="W645" sqref="W645"/>
      <selection pane="bottomLeft" activeCell="W645" sqref="W645"/>
      <selection pane="bottomRight" activeCell="W645" sqref="W64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111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'CE-FLSH'!L11</f>
        <v>46315684</v>
      </c>
      <c r="E11" s="66">
        <f>'CE-FLSH'!M11</f>
        <v>102507080</v>
      </c>
      <c r="F11" s="60">
        <f>CE_GL!D11</f>
        <v>47412133</v>
      </c>
      <c r="G11" s="38">
        <f>CE_GL!E11</f>
        <v>109957376.55000001</v>
      </c>
      <c r="H11" s="60">
        <f>F11-D11</f>
        <v>1096449</v>
      </c>
      <c r="I11" s="38">
        <f>G11-E11</f>
        <v>7450296.5500000119</v>
      </c>
    </row>
    <row r="12" spans="1:22" x14ac:dyDescent="0.2">
      <c r="A12" s="9">
        <v>2</v>
      </c>
      <c r="B12" s="7"/>
      <c r="C12" s="18" t="s">
        <v>29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-4074325.6799999997</v>
      </c>
      <c r="H12" s="60">
        <f>F12-D12</f>
        <v>0</v>
      </c>
      <c r="I12" s="38">
        <f>G12-E12</f>
        <v>-4074325.6799999997</v>
      </c>
    </row>
    <row r="13" spans="1:22" x14ac:dyDescent="0.2">
      <c r="A13" s="9">
        <v>3</v>
      </c>
      <c r="B13" s="7"/>
      <c r="C13" s="18" t="s">
        <v>30</v>
      </c>
      <c r="D13" s="65">
        <f>'CE-FLSH'!L13</f>
        <v>20977276</v>
      </c>
      <c r="E13" s="66">
        <f>'CE-FLSH'!M13</f>
        <v>47574965</v>
      </c>
      <c r="F13" s="60">
        <f>CE_GL!D13</f>
        <v>19316173</v>
      </c>
      <c r="G13" s="38">
        <f>CE_GL!E13</f>
        <v>43777409</v>
      </c>
      <c r="H13" s="60">
        <f t="shared" ref="H13:I15" si="0">F13-D13</f>
        <v>-1661103</v>
      </c>
      <c r="I13" s="38">
        <f t="shared" si="0"/>
        <v>-3797556</v>
      </c>
    </row>
    <row r="14" spans="1:22" x14ac:dyDescent="0.2">
      <c r="A14" s="9">
        <v>4</v>
      </c>
      <c r="B14" s="7"/>
      <c r="C14" s="18" t="s">
        <v>31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</v>
      </c>
      <c r="H15" s="60">
        <f t="shared" si="0"/>
        <v>0</v>
      </c>
      <c r="I15" s="38">
        <f t="shared" si="0"/>
        <v>-2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67292960</v>
      </c>
      <c r="E16" s="39">
        <f t="shared" si="1"/>
        <v>150082045</v>
      </c>
      <c r="F16" s="61">
        <f t="shared" si="1"/>
        <v>66728306</v>
      </c>
      <c r="G16" s="39">
        <f t="shared" si="1"/>
        <v>149660457.87</v>
      </c>
      <c r="H16" s="61">
        <f t="shared" si="1"/>
        <v>-564654</v>
      </c>
      <c r="I16" s="39">
        <f t="shared" si="1"/>
        <v>-421587.12999998778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'CE-FLSH'!L19</f>
        <v>-39908254</v>
      </c>
      <c r="E19" s="66">
        <f>'CE-FLSH'!M19</f>
        <v>-87250857</v>
      </c>
      <c r="F19" s="60">
        <f>CE_GL!D19</f>
        <v>-47007509</v>
      </c>
      <c r="G19" s="38">
        <f>CE_GL!E19</f>
        <v>-102075816.00000001</v>
      </c>
      <c r="H19" s="60">
        <f>F19-D19</f>
        <v>-7099255</v>
      </c>
      <c r="I19" s="38">
        <f>G19-E19</f>
        <v>-14824959.000000015</v>
      </c>
    </row>
    <row r="20" spans="1:9" x14ac:dyDescent="0.2">
      <c r="A20" s="9">
        <v>7</v>
      </c>
      <c r="B20" s="7"/>
      <c r="C20" s="18" t="s">
        <v>29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-433851.42000000004</v>
      </c>
      <c r="H20" s="60">
        <f>F20-D20</f>
        <v>0</v>
      </c>
      <c r="I20" s="38">
        <f>G20-E20</f>
        <v>-433851.42000000004</v>
      </c>
    </row>
    <row r="21" spans="1:9" x14ac:dyDescent="0.2">
      <c r="A21" s="9">
        <v>8</v>
      </c>
      <c r="B21" s="7"/>
      <c r="C21" s="18" t="s">
        <v>30</v>
      </c>
      <c r="D21" s="65">
        <f>'CE-FLSH'!L21</f>
        <v>-28051566</v>
      </c>
      <c r="E21" s="66">
        <f>'CE-FLSH'!M21</f>
        <v>-62954183</v>
      </c>
      <c r="F21" s="60">
        <f>CE_GL!D21</f>
        <v>-20543940</v>
      </c>
      <c r="G21" s="38">
        <f>CE_GL!E21</f>
        <v>-46460998</v>
      </c>
      <c r="H21" s="60">
        <f t="shared" ref="H21:I23" si="2">F21-D21</f>
        <v>7507626</v>
      </c>
      <c r="I21" s="38">
        <f t="shared" si="2"/>
        <v>16493185</v>
      </c>
    </row>
    <row r="22" spans="1:9" x14ac:dyDescent="0.2">
      <c r="A22" s="9">
        <v>9</v>
      </c>
      <c r="B22" s="7"/>
      <c r="C22" s="18" t="s">
        <v>31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'CE-FLSH'!L23</f>
        <v>267285</v>
      </c>
      <c r="E23" s="66">
        <f>'CE-FLSH'!M23</f>
        <v>584457</v>
      </c>
      <c r="F23" s="60">
        <f>CE_GL!D23</f>
        <v>513967</v>
      </c>
      <c r="G23" s="38">
        <f>CE_GL!E23</f>
        <v>1111087.4076</v>
      </c>
      <c r="H23" s="60">
        <f t="shared" si="2"/>
        <v>246682</v>
      </c>
      <c r="I23" s="38">
        <f t="shared" si="2"/>
        <v>526630.40760000004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-67692535</v>
      </c>
      <c r="E24" s="39">
        <f t="shared" si="3"/>
        <v>-149620583</v>
      </c>
      <c r="F24" s="61">
        <f t="shared" si="3"/>
        <v>-67037482</v>
      </c>
      <c r="G24" s="39">
        <f t="shared" si="3"/>
        <v>-147859578.01240003</v>
      </c>
      <c r="H24" s="61">
        <f t="shared" si="3"/>
        <v>655053</v>
      </c>
      <c r="I24" s="39">
        <f t="shared" si="3"/>
        <v>1761004.9875999852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'CE-FLSH'!L27</f>
        <v>0</v>
      </c>
      <c r="E27" s="66">
        <f>'CE-FLSH'!M27</f>
        <v>0</v>
      </c>
      <c r="F27" s="60">
        <f>CE_GL!D27</f>
        <v>425962</v>
      </c>
      <c r="G27" s="38">
        <f>CE_GL!E27</f>
        <v>982897.53</v>
      </c>
      <c r="H27" s="60">
        <f>F27-D27</f>
        <v>425962</v>
      </c>
      <c r="I27" s="38">
        <f>G27-E27</f>
        <v>982897.53</v>
      </c>
    </row>
    <row r="28" spans="1:9" x14ac:dyDescent="0.2">
      <c r="A28" s="9">
        <v>12</v>
      </c>
      <c r="B28" s="7"/>
      <c r="C28" s="18" t="s">
        <v>39</v>
      </c>
      <c r="D28" s="65">
        <f>'CE-FLSH'!L28</f>
        <v>0</v>
      </c>
      <c r="E28" s="66">
        <f>'CE-FLSH'!M28</f>
        <v>0</v>
      </c>
      <c r="F28" s="60">
        <f>CE_GL!D28</f>
        <v>-2380</v>
      </c>
      <c r="G28" s="38">
        <f>CE_GL!E28</f>
        <v>-5144.6099999999997</v>
      </c>
      <c r="H28" s="60">
        <f>F28-D28</f>
        <v>-2380</v>
      </c>
      <c r="I28" s="38">
        <f>G28-E28</f>
        <v>-5144.6099999999997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423582</v>
      </c>
      <c r="G29" s="70">
        <f t="shared" si="4"/>
        <v>977752.92</v>
      </c>
      <c r="H29" s="69">
        <f t="shared" si="4"/>
        <v>423582</v>
      </c>
      <c r="I29" s="70">
        <f t="shared" si="4"/>
        <v>977752.92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'CE-FLSH'!L32</f>
        <v>3584373</v>
      </c>
      <c r="E32" s="66">
        <f>'CE-FLSH'!M32</f>
        <v>8423805</v>
      </c>
      <c r="F32" s="60">
        <f>CE_GL!D32</f>
        <v>-248329</v>
      </c>
      <c r="G32" s="38">
        <f>CE_GL!E32</f>
        <v>-536885.94680000003</v>
      </c>
      <c r="H32" s="60">
        <f>F32-D32</f>
        <v>-3832702</v>
      </c>
      <c r="I32" s="38">
        <f>G32-E32</f>
        <v>-8960690.946800001</v>
      </c>
    </row>
    <row r="33" spans="1:9" x14ac:dyDescent="0.2">
      <c r="A33" s="9">
        <v>14</v>
      </c>
      <c r="B33" s="7"/>
      <c r="C33" s="18" t="s">
        <v>43</v>
      </c>
      <c r="D33" s="65">
        <f>'CE-FLSH'!L33</f>
        <v>-3560162</v>
      </c>
      <c r="E33" s="66">
        <f>'CE-FLSH'!M33</f>
        <v>-8319759</v>
      </c>
      <c r="F33" s="60">
        <f>CE_GL!D33</f>
        <v>-18636</v>
      </c>
      <c r="G33" s="38">
        <f>CE_GL!E33</f>
        <v>-41604</v>
      </c>
      <c r="H33" s="60">
        <f t="shared" ref="H33:I35" si="5">F33-D33</f>
        <v>3541526</v>
      </c>
      <c r="I33" s="38">
        <f t="shared" si="5"/>
        <v>8278155</v>
      </c>
    </row>
    <row r="34" spans="1:9" x14ac:dyDescent="0.2">
      <c r="A34" s="9">
        <v>15</v>
      </c>
      <c r="B34" s="7"/>
      <c r="C34" s="18" t="s">
        <v>44</v>
      </c>
      <c r="D34" s="65">
        <f>'CE-FLSH'!L34</f>
        <v>0</v>
      </c>
      <c r="E34" s="66">
        <f>'CE-FLSH'!M34</f>
        <v>0</v>
      </c>
      <c r="F34" s="60">
        <f>CE_GL!D34</f>
        <v>6125</v>
      </c>
      <c r="G34" s="38">
        <f>CE_GL!E34</f>
        <v>13434.849999999999</v>
      </c>
      <c r="H34" s="60">
        <f t="shared" si="5"/>
        <v>6125</v>
      </c>
      <c r="I34" s="38">
        <f t="shared" si="5"/>
        <v>13434.849999999999</v>
      </c>
    </row>
    <row r="35" spans="1:9" x14ac:dyDescent="0.2">
      <c r="A35" s="9">
        <v>16</v>
      </c>
      <c r="B35" s="7"/>
      <c r="C35" s="18" t="s">
        <v>45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-0.02</v>
      </c>
      <c r="H35" s="60">
        <f t="shared" si="5"/>
        <v>0</v>
      </c>
      <c r="I35" s="38">
        <f t="shared" si="5"/>
        <v>-0.02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24211</v>
      </c>
      <c r="E36" s="39">
        <f t="shared" si="6"/>
        <v>104046</v>
      </c>
      <c r="F36" s="61">
        <f t="shared" si="6"/>
        <v>-260840</v>
      </c>
      <c r="G36" s="39">
        <f t="shared" si="6"/>
        <v>-565055.11680000008</v>
      </c>
      <c r="H36" s="61">
        <f t="shared" si="6"/>
        <v>-285051</v>
      </c>
      <c r="I36" s="39">
        <f t="shared" si="6"/>
        <v>-669101.11680000101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'CE-FLSH'!L39</f>
        <v>533539</v>
      </c>
      <c r="E39" s="66">
        <f>'CE-FLSH'!M39</f>
        <v>866331</v>
      </c>
      <c r="F39" s="60">
        <f>CE_GL!D39</f>
        <v>426738</v>
      </c>
      <c r="G39" s="38">
        <f>CE_GL!E39</f>
        <v>922522.2</v>
      </c>
      <c r="H39" s="60">
        <f t="shared" ref="H39:I41" si="7">F39-D39</f>
        <v>-106801</v>
      </c>
      <c r="I39" s="38">
        <f t="shared" si="7"/>
        <v>56191.199999999953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'CE-FLSH'!L40</f>
        <v>-177299</v>
      </c>
      <c r="E40" s="66">
        <f>'CE-FLSH'!M40</f>
        <v>-126892</v>
      </c>
      <c r="F40" s="60">
        <f>CE_GL!D40</f>
        <v>-15004</v>
      </c>
      <c r="G40" s="38">
        <f>CE_GL!E40</f>
        <v>-33999.19</v>
      </c>
      <c r="H40" s="60">
        <f t="shared" si="7"/>
        <v>162295</v>
      </c>
      <c r="I40" s="38">
        <f t="shared" si="7"/>
        <v>92892.81</v>
      </c>
    </row>
    <row r="41" spans="1:9" x14ac:dyDescent="0.2">
      <c r="A41" s="9">
        <v>19</v>
      </c>
      <c r="B41" s="7"/>
      <c r="C41" s="18" t="s">
        <v>50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-177299</v>
      </c>
      <c r="E42" s="70">
        <f t="shared" si="8"/>
        <v>-126892</v>
      </c>
      <c r="F42" s="69">
        <f t="shared" si="8"/>
        <v>-15004</v>
      </c>
      <c r="G42" s="70">
        <f t="shared" si="8"/>
        <v>-33999.19</v>
      </c>
      <c r="H42" s="69">
        <f t="shared" si="8"/>
        <v>162295</v>
      </c>
      <c r="I42" s="70">
        <f t="shared" si="8"/>
        <v>92892.81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356240</v>
      </c>
      <c r="E43" s="39">
        <f t="shared" si="9"/>
        <v>739439</v>
      </c>
      <c r="F43" s="61">
        <f t="shared" si="9"/>
        <v>411734</v>
      </c>
      <c r="G43" s="39">
        <f t="shared" si="9"/>
        <v>888523.01</v>
      </c>
      <c r="H43" s="61">
        <f t="shared" si="9"/>
        <v>55494</v>
      </c>
      <c r="I43" s="39">
        <f t="shared" si="9"/>
        <v>149084.00999999995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'CE-FLSH'!L49</f>
        <v>19124</v>
      </c>
      <c r="E49" s="66">
        <f>'CE-FLSH'!M49</f>
        <v>41342.492687999998</v>
      </c>
      <c r="F49" s="60">
        <f>CE_GL!D49</f>
        <v>-265300</v>
      </c>
      <c r="G49" s="38">
        <f>CE_GL!E49</f>
        <v>-573525.54000000143</v>
      </c>
      <c r="H49" s="60">
        <f>F49-D49</f>
        <v>-284424</v>
      </c>
      <c r="I49" s="38">
        <f>G49-E49</f>
        <v>-614868.0326880014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'CE-FLSH'!L51</f>
        <v>-267285</v>
      </c>
      <c r="E51" s="66">
        <f>'CE-FLSH'!M51</f>
        <v>-584457</v>
      </c>
      <c r="F51" s="60">
        <f>CE_GL!D51</f>
        <v>-513967</v>
      </c>
      <c r="G51" s="38">
        <f>CE_GL!E51</f>
        <v>-1111087.4076</v>
      </c>
      <c r="H51" s="60">
        <f>F51-D51</f>
        <v>-246682</v>
      </c>
      <c r="I51" s="38">
        <f>G51-E51</f>
        <v>-526630.40760000004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'CE-FLSH'!L54</f>
        <v>0</v>
      </c>
      <c r="E54" s="66">
        <f>'CE-FLSH'!M54</f>
        <v>-62043</v>
      </c>
      <c r="F54" s="60">
        <f>CE_GL!D54</f>
        <v>-26661222</v>
      </c>
      <c r="G54" s="38">
        <f>CE_GL!E54</f>
        <v>-40533.4900000001</v>
      </c>
      <c r="H54" s="60">
        <f>F54-D54</f>
        <v>-26661222</v>
      </c>
      <c r="I54" s="38">
        <f>G54-E54</f>
        <v>21509.5099999999</v>
      </c>
    </row>
    <row r="55" spans="1:9" x14ac:dyDescent="0.2">
      <c r="A55" s="9">
        <v>25</v>
      </c>
      <c r="B55" s="7"/>
      <c r="C55" s="18" t="s">
        <v>59</v>
      </c>
      <c r="D55" s="65">
        <f>'CE-FLSH'!L55</f>
        <v>0</v>
      </c>
      <c r="E55" s="66">
        <f>'CE-FLSH'!M55</f>
        <v>-866359.73</v>
      </c>
      <c r="F55" s="60">
        <f>CE_GL!D55</f>
        <v>0</v>
      </c>
      <c r="G55" s="38">
        <f>CE_GL!E55</f>
        <v>-2210691.6</v>
      </c>
      <c r="H55" s="60">
        <f>F55-D55</f>
        <v>0</v>
      </c>
      <c r="I55" s="38">
        <f>G55-E55</f>
        <v>-1344331.87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-928402.73</v>
      </c>
      <c r="F56" s="61">
        <f t="shared" si="10"/>
        <v>-26661222</v>
      </c>
      <c r="G56" s="39">
        <f t="shared" si="10"/>
        <v>-2251225.0900000003</v>
      </c>
      <c r="H56" s="61">
        <f t="shared" si="10"/>
        <v>-26661222</v>
      </c>
      <c r="I56" s="39">
        <f t="shared" si="10"/>
        <v>-1322822.3600000001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'CE-FLSH'!L70</f>
        <v>0</v>
      </c>
      <c r="E70" s="66">
        <f>'CE-FLSH'!M70</f>
        <v>1416533.1176470588</v>
      </c>
      <c r="F70" s="60">
        <f>CE_GL!D70</f>
        <v>0</v>
      </c>
      <c r="G70" s="38">
        <f>CE_GL!E70</f>
        <v>1955927.12</v>
      </c>
      <c r="H70" s="60">
        <f>F70-D70</f>
        <v>0</v>
      </c>
      <c r="I70" s="38">
        <f>G70-E70</f>
        <v>539394.00235294132</v>
      </c>
    </row>
    <row r="71" spans="1:9" x14ac:dyDescent="0.2">
      <c r="A71" s="9">
        <v>31</v>
      </c>
      <c r="B71" s="3"/>
      <c r="C71" s="10" t="s">
        <v>71</v>
      </c>
      <c r="D71" s="65">
        <f>'CE-FLSH'!L71</f>
        <v>0</v>
      </c>
      <c r="E71" s="66">
        <f>'CE-FLSH'!M71</f>
        <v>-827151</v>
      </c>
      <c r="F71" s="60">
        <f>CE_GL!D71</f>
        <v>0</v>
      </c>
      <c r="G71" s="38">
        <f>CE_GL!E71</f>
        <v>-1107837</v>
      </c>
      <c r="H71" s="60">
        <f>F71-D71</f>
        <v>0</v>
      </c>
      <c r="I71" s="38">
        <f>G71-E71</f>
        <v>-280686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589382.1176470588</v>
      </c>
      <c r="F72" s="69">
        <f t="shared" si="13"/>
        <v>0</v>
      </c>
      <c r="G72" s="70">
        <f t="shared" si="13"/>
        <v>848090.12000000011</v>
      </c>
      <c r="H72" s="69">
        <f t="shared" si="13"/>
        <v>0</v>
      </c>
      <c r="I72" s="70">
        <f t="shared" si="13"/>
        <v>258708.00235294132</v>
      </c>
    </row>
    <row r="73" spans="1:9" x14ac:dyDescent="0.2">
      <c r="A73" s="9">
        <v>32</v>
      </c>
      <c r="B73" s="3"/>
      <c r="C73" s="10" t="s">
        <v>73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'CE-FLSH'!L74</f>
        <v>0</v>
      </c>
      <c r="E74" s="66">
        <f>'CE-FLSH'!M74</f>
        <v>378774</v>
      </c>
      <c r="F74" s="60">
        <f>CE_GL!D74</f>
        <v>0</v>
      </c>
      <c r="G74" s="38">
        <f>CE_GL!E74</f>
        <v>590210</v>
      </c>
      <c r="H74" s="60">
        <f t="shared" ref="H74:I79" si="14">F74-D74</f>
        <v>0</v>
      </c>
      <c r="I74" s="38">
        <f t="shared" si="14"/>
        <v>211436</v>
      </c>
    </row>
    <row r="75" spans="1:9" x14ac:dyDescent="0.2">
      <c r="A75" s="9">
        <v>34</v>
      </c>
      <c r="B75" s="3"/>
      <c r="C75" s="10" t="s">
        <v>75</v>
      </c>
      <c r="D75" s="65">
        <f>'CE-FLSH'!L75</f>
        <v>0</v>
      </c>
      <c r="E75" s="66">
        <f>'CE-FLSH'!M75</f>
        <v>46887</v>
      </c>
      <c r="F75" s="60">
        <f>CE_GL!D75</f>
        <v>0</v>
      </c>
      <c r="G75" s="38">
        <f>CE_GL!E75</f>
        <v>46100</v>
      </c>
      <c r="H75" s="60">
        <f t="shared" si="14"/>
        <v>0</v>
      </c>
      <c r="I75" s="38">
        <f t="shared" si="14"/>
        <v>-787</v>
      </c>
    </row>
    <row r="76" spans="1:9" x14ac:dyDescent="0.2">
      <c r="A76" s="9">
        <v>35</v>
      </c>
      <c r="B76" s="3"/>
      <c r="C76" s="10" t="s">
        <v>76</v>
      </c>
      <c r="D76" s="65">
        <f>'CE-FLSH'!L76</f>
        <v>0</v>
      </c>
      <c r="E76" s="66">
        <f>'CE-FLSH'!M76</f>
        <v>-17958</v>
      </c>
      <c r="F76" s="60">
        <f>CE_GL!D76</f>
        <v>0</v>
      </c>
      <c r="G76" s="38">
        <f>CE_GL!E76</f>
        <v>-19269.13</v>
      </c>
      <c r="H76" s="60">
        <f t="shared" si="14"/>
        <v>0</v>
      </c>
      <c r="I76" s="38">
        <f t="shared" si="14"/>
        <v>-1311.130000000001</v>
      </c>
    </row>
    <row r="77" spans="1:9" x14ac:dyDescent="0.2">
      <c r="A77" s="9">
        <v>36</v>
      </c>
      <c r="B77" s="3"/>
      <c r="C77" s="10" t="s">
        <v>77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1307284</v>
      </c>
      <c r="H79" s="60">
        <f t="shared" si="14"/>
        <v>0</v>
      </c>
      <c r="I79" s="38">
        <f t="shared" si="14"/>
        <v>1307284</v>
      </c>
    </row>
    <row r="80" spans="1:9" x14ac:dyDescent="0.2">
      <c r="A80" s="9">
        <v>39</v>
      </c>
      <c r="B80" s="3"/>
      <c r="C80" s="10" t="s">
        <v>80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'CE-FLSH'!L81</f>
        <v>0</v>
      </c>
      <c r="E81" s="66">
        <f>'CE-FLSH'!M81</f>
        <v>-322205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322205</v>
      </c>
    </row>
    <row r="82" spans="1:63" s="44" customFormat="1" ht="20.25" customHeight="1" thickBot="1" x14ac:dyDescent="0.3">
      <c r="A82" s="40"/>
      <c r="B82" s="41"/>
      <c r="C82" s="42" t="s">
        <v>82</v>
      </c>
      <c r="D82" s="71">
        <f>D16+D24+D29+D36+D43+D45+D47+D49</f>
        <v>0</v>
      </c>
      <c r="E82" s="72">
        <f>SUM(E72:E81)+E16+E24+E29+E36+E43+E45+E47+E49+E51+E56+E61+E66</f>
        <v>508309.8803350518</v>
      </c>
      <c r="F82" s="71">
        <f>F16+F24+F29+F36+F43+F45+F47+F49</f>
        <v>0</v>
      </c>
      <c r="G82" s="72">
        <f>SUM(G72:G81)+G16+G24+G29+G36+G43+G45+G47+G49+G51+G56+G61+G66</f>
        <v>1938677.6231999807</v>
      </c>
      <c r="H82" s="71">
        <f>H16+H24+H29+H36+H43+H45+H47+H49</f>
        <v>0</v>
      </c>
      <c r="I82" s="72">
        <f>SUM(I72:I81)+I16+I24+I29+I36+I43+I45+I47+I49+I51+I56+I61+I66</f>
        <v>1430367.7428649364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'EAST-EGM-FLSH'!L11</f>
        <v>78882482</v>
      </c>
      <c r="E11" s="66">
        <f>'EAST-EGM-FLSH'!M11</f>
        <v>178759572.94999999</v>
      </c>
      <c r="F11" s="60">
        <f>'EAST-EGM-GL'!D11</f>
        <v>78734067</v>
      </c>
      <c r="G11" s="38">
        <f>'EAST-EGM-GL'!E11</f>
        <v>182217046.87</v>
      </c>
      <c r="H11" s="60">
        <f>F11-D11</f>
        <v>-148415</v>
      </c>
      <c r="I11" s="38">
        <f>G11-E11</f>
        <v>3457473.9200000167</v>
      </c>
    </row>
    <row r="12" spans="1:22" x14ac:dyDescent="0.2">
      <c r="A12" s="9">
        <v>2</v>
      </c>
      <c r="B12" s="7"/>
      <c r="C12" s="18" t="s">
        <v>29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-1505387.0199999998</v>
      </c>
      <c r="H12" s="60">
        <f>F12-D12</f>
        <v>0</v>
      </c>
      <c r="I12" s="38">
        <f>G12-E12</f>
        <v>-1505387.0199999998</v>
      </c>
    </row>
    <row r="13" spans="1:22" x14ac:dyDescent="0.2">
      <c r="A13" s="9">
        <v>3</v>
      </c>
      <c r="B13" s="7"/>
      <c r="C13" s="18" t="s">
        <v>30</v>
      </c>
      <c r="D13" s="65">
        <f>'EAST-EGM-FLSH'!L13</f>
        <v>39490195</v>
      </c>
      <c r="E13" s="66">
        <f>'EAST-EGM-FLSH'!M13</f>
        <v>90588362</v>
      </c>
      <c r="F13" s="60">
        <f>'EAST-EGM-GL'!D13</f>
        <v>37219120</v>
      </c>
      <c r="G13" s="38">
        <f>'EAST-EGM-GL'!E13</f>
        <v>85375528</v>
      </c>
      <c r="H13" s="60">
        <f t="shared" ref="H13:I15" si="0">F13-D13</f>
        <v>-2271075</v>
      </c>
      <c r="I13" s="38">
        <f t="shared" si="0"/>
        <v>-5212834</v>
      </c>
    </row>
    <row r="14" spans="1:22" x14ac:dyDescent="0.2">
      <c r="A14" s="9">
        <v>4</v>
      </c>
      <c r="B14" s="7"/>
      <c r="C14" s="18" t="s">
        <v>31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15000</v>
      </c>
      <c r="H15" s="60">
        <f t="shared" si="0"/>
        <v>0</v>
      </c>
      <c r="I15" s="38">
        <f t="shared" si="0"/>
        <v>15000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118372677</v>
      </c>
      <c r="E16" s="39">
        <f t="shared" si="1"/>
        <v>269347934.94999999</v>
      </c>
      <c r="F16" s="61">
        <f t="shared" si="1"/>
        <v>115953187</v>
      </c>
      <c r="G16" s="39">
        <f t="shared" si="1"/>
        <v>266102187.84999999</v>
      </c>
      <c r="H16" s="61">
        <f t="shared" si="1"/>
        <v>-2419490</v>
      </c>
      <c r="I16" s="39">
        <f t="shared" si="1"/>
        <v>-3245747.0999999829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'EAST-EGM-FLSH'!L19</f>
        <v>-76531836</v>
      </c>
      <c r="E19" s="66">
        <f>'EAST-EGM-FLSH'!M19</f>
        <v>-171439613</v>
      </c>
      <c r="F19" s="60">
        <f>'EAST-EGM-GL'!D19</f>
        <v>-83004710</v>
      </c>
      <c r="G19" s="38">
        <f>'EAST-EGM-GL'!E19</f>
        <v>-188752378.08999997</v>
      </c>
      <c r="H19" s="60">
        <f>F19-D19</f>
        <v>-6472874</v>
      </c>
      <c r="I19" s="38">
        <f>G19-E19</f>
        <v>-17312765.089999974</v>
      </c>
    </row>
    <row r="20" spans="1:9" x14ac:dyDescent="0.2">
      <c r="A20" s="9">
        <v>7</v>
      </c>
      <c r="B20" s="7"/>
      <c r="C20" s="18" t="s">
        <v>29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-385025.32</v>
      </c>
      <c r="H20" s="60">
        <f>F20-D20</f>
        <v>0</v>
      </c>
      <c r="I20" s="38">
        <f>G20-E20</f>
        <v>-385025.32</v>
      </c>
    </row>
    <row r="21" spans="1:9" x14ac:dyDescent="0.2">
      <c r="A21" s="9">
        <v>8</v>
      </c>
      <c r="B21" s="7"/>
      <c r="C21" s="18" t="s">
        <v>30</v>
      </c>
      <c r="D21" s="65">
        <f>'EAST-EGM-FLSH'!L21</f>
        <v>-43028500</v>
      </c>
      <c r="E21" s="66">
        <f>'EAST-EGM-FLSH'!M21</f>
        <v>-99490756</v>
      </c>
      <c r="F21" s="60">
        <f>'EAST-EGM-GL'!D21</f>
        <v>-32629494</v>
      </c>
      <c r="G21" s="38">
        <f>'EAST-EGM-GL'!E21</f>
        <v>-75619749</v>
      </c>
      <c r="H21" s="60">
        <f t="shared" ref="H21:I23" si="2">F21-D21</f>
        <v>10399006</v>
      </c>
      <c r="I21" s="38">
        <f t="shared" si="2"/>
        <v>23871007</v>
      </c>
    </row>
    <row r="22" spans="1:9" x14ac:dyDescent="0.2">
      <c r="A22" s="9">
        <v>9</v>
      </c>
      <c r="B22" s="7"/>
      <c r="C22" s="18" t="s">
        <v>31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'EAST-EGM-FLSH'!L23</f>
        <v>133867</v>
      </c>
      <c r="E23" s="66">
        <f>'EAST-EGM-FLSH'!M23</f>
        <v>303086</v>
      </c>
      <c r="F23" s="60">
        <f>'EAST-EGM-GL'!D23</f>
        <v>107508</v>
      </c>
      <c r="G23" s="38">
        <f>'EAST-EGM-GL'!E23</f>
        <v>239690.27099999998</v>
      </c>
      <c r="H23" s="60">
        <f t="shared" si="2"/>
        <v>-26359</v>
      </c>
      <c r="I23" s="38">
        <f t="shared" si="2"/>
        <v>-63395.729000000021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-119426469</v>
      </c>
      <c r="E24" s="39">
        <f t="shared" si="3"/>
        <v>-270627283</v>
      </c>
      <c r="F24" s="61">
        <f t="shared" si="3"/>
        <v>-115526696</v>
      </c>
      <c r="G24" s="39">
        <f t="shared" si="3"/>
        <v>-264517462.13899997</v>
      </c>
      <c r="H24" s="61">
        <f t="shared" si="3"/>
        <v>3899773</v>
      </c>
      <c r="I24" s="39">
        <f t="shared" si="3"/>
        <v>6109820.8610000256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'EAST-EGM-FLSH'!L27</f>
        <v>0</v>
      </c>
      <c r="E27" s="66">
        <f>'EAST-EGM-FLSH'!M27</f>
        <v>0</v>
      </c>
      <c r="F27" s="60">
        <f>'EAST-EGM-GL'!D27</f>
        <v>67000</v>
      </c>
      <c r="G27" s="38">
        <f>'EAST-EGM-GL'!E27</f>
        <v>155075.79</v>
      </c>
      <c r="H27" s="60">
        <f>F27-D27</f>
        <v>67000</v>
      </c>
      <c r="I27" s="38">
        <f>G27-E27</f>
        <v>155075.79</v>
      </c>
    </row>
    <row r="28" spans="1:9" x14ac:dyDescent="0.2">
      <c r="A28" s="9">
        <v>12</v>
      </c>
      <c r="B28" s="7"/>
      <c r="C28" s="18" t="s">
        <v>39</v>
      </c>
      <c r="D28" s="65">
        <f>'EAST-EGM-FLSH'!L28</f>
        <v>0</v>
      </c>
      <c r="E28" s="66">
        <f>'EAST-EGM-FLSH'!M28</f>
        <v>0</v>
      </c>
      <c r="F28" s="60">
        <f>'EAST-EGM-GL'!D28</f>
        <v>-1181054</v>
      </c>
      <c r="G28" s="38">
        <f>'EAST-EGM-GL'!E28</f>
        <v>-2727008.2800000003</v>
      </c>
      <c r="H28" s="60">
        <f>F28-D28</f>
        <v>-1181054</v>
      </c>
      <c r="I28" s="38">
        <f>G28-E28</f>
        <v>-2727008.2800000003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-1114054</v>
      </c>
      <c r="G29" s="70">
        <f t="shared" si="4"/>
        <v>-2571932.4900000002</v>
      </c>
      <c r="H29" s="69">
        <f t="shared" si="4"/>
        <v>-1114054</v>
      </c>
      <c r="I29" s="70">
        <f t="shared" si="4"/>
        <v>-2571932.4900000002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'EAST-EGM-FLSH'!L32</f>
        <v>525505</v>
      </c>
      <c r="E32" s="66">
        <f>'EAST-EGM-FLSH'!M32</f>
        <v>1238528</v>
      </c>
      <c r="F32" s="60">
        <f>'EAST-EGM-GL'!D32</f>
        <v>-188785</v>
      </c>
      <c r="G32" s="38">
        <f>'EAST-EGM-GL'!E32</f>
        <v>-1127301.83</v>
      </c>
      <c r="H32" s="60">
        <f>F32-D32</f>
        <v>-714290</v>
      </c>
      <c r="I32" s="38">
        <f>G32-E32</f>
        <v>-2365829.83</v>
      </c>
    </row>
    <row r="33" spans="1:9" x14ac:dyDescent="0.2">
      <c r="A33" s="9">
        <v>14</v>
      </c>
      <c r="B33" s="7"/>
      <c r="C33" s="18" t="s">
        <v>43</v>
      </c>
      <c r="D33" s="65">
        <f>'EAST-EGM-FLSH'!L33</f>
        <v>-572495</v>
      </c>
      <c r="E33" s="66">
        <f>'EAST-EGM-FLSH'!M33</f>
        <v>-1346346</v>
      </c>
      <c r="F33" s="60">
        <f>'EAST-EGM-GL'!D33</f>
        <v>-30095</v>
      </c>
      <c r="G33" s="38">
        <f>'EAST-EGM-GL'!E33</f>
        <v>-66744.39</v>
      </c>
      <c r="H33" s="60">
        <f t="shared" ref="H33:I35" si="5">F33-D33</f>
        <v>542400</v>
      </c>
      <c r="I33" s="38">
        <f t="shared" si="5"/>
        <v>1279601.6100000001</v>
      </c>
    </row>
    <row r="34" spans="1:9" x14ac:dyDescent="0.2">
      <c r="A34" s="9">
        <v>15</v>
      </c>
      <c r="B34" s="7"/>
      <c r="C34" s="18" t="s">
        <v>44</v>
      </c>
      <c r="D34" s="65">
        <f>'EAST-EGM-FLSH'!L34</f>
        <v>352983</v>
      </c>
      <c r="E34" s="66">
        <f>'EAST-EGM-FLSH'!M34</f>
        <v>794701</v>
      </c>
      <c r="F34" s="60">
        <f>'EAST-EGM-GL'!D34</f>
        <v>328919</v>
      </c>
      <c r="G34" s="38">
        <f>'EAST-EGM-GL'!E34</f>
        <v>734440.80999999994</v>
      </c>
      <c r="H34" s="60">
        <f t="shared" si="5"/>
        <v>-24064</v>
      </c>
      <c r="I34" s="38">
        <f t="shared" si="5"/>
        <v>-60260.190000000061</v>
      </c>
    </row>
    <row r="35" spans="1:9" x14ac:dyDescent="0.2">
      <c r="A35" s="9">
        <v>16</v>
      </c>
      <c r="B35" s="7"/>
      <c r="C35" s="18" t="s">
        <v>45</v>
      </c>
      <c r="D35" s="65">
        <f>'EAST-EGM-FLSH'!L35</f>
        <v>-113080</v>
      </c>
      <c r="E35" s="66">
        <f>'EAST-EGM-FLSH'!M35</f>
        <v>-254388</v>
      </c>
      <c r="F35" s="60">
        <f>'EAST-EGM-GL'!D35</f>
        <v>600000</v>
      </c>
      <c r="G35" s="38">
        <f>'EAST-EGM-GL'!E35</f>
        <v>706499.99</v>
      </c>
      <c r="H35" s="60">
        <f t="shared" si="5"/>
        <v>713080</v>
      </c>
      <c r="I35" s="38">
        <f t="shared" si="5"/>
        <v>960887.99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192913</v>
      </c>
      <c r="E36" s="39">
        <f t="shared" si="6"/>
        <v>432495</v>
      </c>
      <c r="F36" s="61">
        <f t="shared" si="6"/>
        <v>710039</v>
      </c>
      <c r="G36" s="39">
        <f t="shared" si="6"/>
        <v>246894.57999999996</v>
      </c>
      <c r="H36" s="61">
        <f t="shared" si="6"/>
        <v>517126</v>
      </c>
      <c r="I36" s="39">
        <f t="shared" si="6"/>
        <v>-185600.42000000016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'EAST-EGM-FLSH'!L39</f>
        <v>0</v>
      </c>
      <c r="E39" s="66">
        <f>'EAST-EGM-FLSH'!M39</f>
        <v>0</v>
      </c>
      <c r="F39" s="60">
        <f>'EAST-EGM-GL'!D39</f>
        <v>0</v>
      </c>
      <c r="G39" s="38">
        <f>'EAST-EGM-GL'!E39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'EAST-EGM-FLSH'!L40</f>
        <v>0</v>
      </c>
      <c r="E40" s="66">
        <f>'EAST-EGM-FLSH'!M40</f>
        <v>0</v>
      </c>
      <c r="F40" s="60">
        <f>'EAST-EGM-GL'!D40</f>
        <v>-300000</v>
      </c>
      <c r="G40" s="38">
        <f>'EAST-EGM-GL'!E40</f>
        <v>-784200</v>
      </c>
      <c r="H40" s="60">
        <f t="shared" si="7"/>
        <v>-300000</v>
      </c>
      <c r="I40" s="38">
        <f t="shared" si="7"/>
        <v>-784200</v>
      </c>
    </row>
    <row r="41" spans="1:9" x14ac:dyDescent="0.2">
      <c r="A41" s="9">
        <v>19</v>
      </c>
      <c r="B41" s="7"/>
      <c r="C41" s="18" t="s">
        <v>50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-300000</v>
      </c>
      <c r="G42" s="70">
        <f t="shared" si="8"/>
        <v>-784200</v>
      </c>
      <c r="H42" s="69">
        <f t="shared" si="8"/>
        <v>-300000</v>
      </c>
      <c r="I42" s="70">
        <f t="shared" si="8"/>
        <v>-784200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-300000</v>
      </c>
      <c r="G43" s="39">
        <f t="shared" si="9"/>
        <v>-784200</v>
      </c>
      <c r="H43" s="61">
        <f t="shared" si="9"/>
        <v>-300000</v>
      </c>
      <c r="I43" s="39">
        <f t="shared" si="9"/>
        <v>-784200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'EAST-EGM-FLSH'!L49</f>
        <v>920879</v>
      </c>
      <c r="E49" s="66">
        <f>'EAST-EGM-FLSH'!M49</f>
        <v>2032598.1970115157</v>
      </c>
      <c r="F49" s="60">
        <f>'EAST-EGM-GL'!D49</f>
        <v>277524</v>
      </c>
      <c r="G49" s="38">
        <f>'EAST-EGM-GL'!E49</f>
        <v>618600.99599999981</v>
      </c>
      <c r="H49" s="60">
        <f>F49-D49</f>
        <v>-643355</v>
      </c>
      <c r="I49" s="38">
        <f>G49-E49</f>
        <v>-1413997.2010115159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'EAST-EGM-FLSH'!L51</f>
        <v>-133867</v>
      </c>
      <c r="E51" s="66">
        <f>'EAST-EGM-FLSH'!M51</f>
        <v>-303086</v>
      </c>
      <c r="F51" s="60">
        <f>'EAST-EGM-GL'!D51</f>
        <v>-134975</v>
      </c>
      <c r="G51" s="38">
        <f>'EAST-EGM-GL'!E51</f>
        <v>-300859.28000000003</v>
      </c>
      <c r="H51" s="60">
        <f>F51-D51</f>
        <v>-1108</v>
      </c>
      <c r="I51" s="38">
        <f>G51-E51</f>
        <v>2226.7199999999721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'EAST-EGM-FLSH'!L54</f>
        <v>0</v>
      </c>
      <c r="E54" s="66">
        <f>'EAST-EGM-FLSH'!M54</f>
        <v>-451779</v>
      </c>
      <c r="F54" s="60">
        <f>'EAST-EGM-GL'!D54</f>
        <v>-17068474</v>
      </c>
      <c r="G54" s="38">
        <f>'EAST-EGM-GL'!E54</f>
        <v>-563315.73</v>
      </c>
      <c r="H54" s="60">
        <f>F54-D54</f>
        <v>-17068474</v>
      </c>
      <c r="I54" s="38">
        <f>G54-E54</f>
        <v>-111536.72999999998</v>
      </c>
    </row>
    <row r="55" spans="1:9" x14ac:dyDescent="0.2">
      <c r="A55" s="9">
        <v>25</v>
      </c>
      <c r="B55" s="7"/>
      <c r="C55" s="18" t="s">
        <v>59</v>
      </c>
      <c r="D55" s="65">
        <f>'EAST-EGM-FLSH'!L55</f>
        <v>0</v>
      </c>
      <c r="E55" s="66">
        <f>'EAST-EGM-FLSH'!M55</f>
        <v>-434058</v>
      </c>
      <c r="F55" s="60">
        <f>'EAST-EGM-GL'!D55</f>
        <v>0</v>
      </c>
      <c r="G55" s="38">
        <f>'EAST-EGM-GL'!E55</f>
        <v>-448017.35</v>
      </c>
      <c r="H55" s="60">
        <f>F55-D55</f>
        <v>0</v>
      </c>
      <c r="I55" s="38">
        <f>G55-E55</f>
        <v>-13959.349999999977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-885837</v>
      </c>
      <c r="F56" s="61">
        <f t="shared" si="10"/>
        <v>-17068474</v>
      </c>
      <c r="G56" s="39">
        <f t="shared" si="10"/>
        <v>-1011333.08</v>
      </c>
      <c r="H56" s="61">
        <f t="shared" si="10"/>
        <v>-17068474</v>
      </c>
      <c r="I56" s="39">
        <f t="shared" si="10"/>
        <v>-125496.07999999996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46484.87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'EAST-EGM-FLSH'!L64</f>
        <v>0</v>
      </c>
      <c r="E64" s="66">
        <f>'EAST-EGM-FLSH'!M64</f>
        <v>68597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-68597</v>
      </c>
    </row>
    <row r="65" spans="1:9" x14ac:dyDescent="0.2">
      <c r="A65" s="9">
        <v>29</v>
      </c>
      <c r="B65" s="11"/>
      <c r="C65" s="18" t="s">
        <v>66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-68597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'EAST-EGM-FLSH'!L70</f>
        <v>0</v>
      </c>
      <c r="E70" s="66">
        <f>'EAST-EGM-FLSH'!M70</f>
        <v>5679557.9450000003</v>
      </c>
      <c r="F70" s="60">
        <f>'EAST-EGM-GL'!D70</f>
        <v>0</v>
      </c>
      <c r="G70" s="38">
        <f>'EAST-EGM-GL'!E70</f>
        <v>5679557.9500000002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71</v>
      </c>
      <c r="D71" s="65">
        <f>'EAST-EGM-FLSH'!L71</f>
        <v>0</v>
      </c>
      <c r="E71" s="66">
        <f>'EAST-EGM-FLSH'!M71</f>
        <v>-2849704.85</v>
      </c>
      <c r="F71" s="60">
        <f>'EAST-EGM-GL'!D71</f>
        <v>0</v>
      </c>
      <c r="G71" s="38">
        <f>'EAST-EGM-GL'!E71</f>
        <v>-2849706</v>
      </c>
      <c r="H71" s="60">
        <f>F71-D71</f>
        <v>0</v>
      </c>
      <c r="I71" s="38">
        <f>G71-E71</f>
        <v>-1.1499999999068677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2829853.0950000002</v>
      </c>
      <c r="F72" s="69">
        <f t="shared" si="13"/>
        <v>0</v>
      </c>
      <c r="G72" s="70">
        <f t="shared" si="13"/>
        <v>2829851.95</v>
      </c>
      <c r="H72" s="69">
        <f t="shared" si="13"/>
        <v>0</v>
      </c>
      <c r="I72" s="70">
        <f t="shared" si="13"/>
        <v>-1.1450000000186265</v>
      </c>
    </row>
    <row r="73" spans="1:9" x14ac:dyDescent="0.2">
      <c r="A73" s="9">
        <v>32</v>
      </c>
      <c r="B73" s="3"/>
      <c r="C73" s="10" t="s">
        <v>73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'EAST-EGM-FLSH'!L74</f>
        <v>0</v>
      </c>
      <c r="E74" s="66">
        <f>'EAST-EGM-FLSH'!M74</f>
        <v>-1040060</v>
      </c>
      <c r="F74" s="60">
        <f>'EAST-EGM-GL'!D74</f>
        <v>0</v>
      </c>
      <c r="G74" s="38">
        <f>'EAST-EGM-GL'!E74</f>
        <v>-1847776</v>
      </c>
      <c r="H74" s="60">
        <f t="shared" ref="H74:I79" si="14">F74-D74</f>
        <v>0</v>
      </c>
      <c r="I74" s="38">
        <f t="shared" si="14"/>
        <v>-807716</v>
      </c>
    </row>
    <row r="75" spans="1:9" x14ac:dyDescent="0.2">
      <c r="A75" s="9">
        <v>34</v>
      </c>
      <c r="B75" s="3"/>
      <c r="C75" s="10" t="s">
        <v>75</v>
      </c>
      <c r="D75" s="65">
        <f>'EAST-EGM-FLSH'!L75</f>
        <v>0</v>
      </c>
      <c r="E75" s="66">
        <f>'EAST-EGM-FLSH'!M75</f>
        <v>17993</v>
      </c>
      <c r="F75" s="60">
        <f>'EAST-EGM-GL'!D75</f>
        <v>0</v>
      </c>
      <c r="G75" s="38">
        <f>'EAST-EGM-GL'!E75</f>
        <v>59000</v>
      </c>
      <c r="H75" s="60">
        <f t="shared" si="14"/>
        <v>0</v>
      </c>
      <c r="I75" s="38">
        <f t="shared" si="14"/>
        <v>41007</v>
      </c>
    </row>
    <row r="76" spans="1:9" x14ac:dyDescent="0.2">
      <c r="A76" s="9">
        <v>35</v>
      </c>
      <c r="B76" s="3"/>
      <c r="C76" s="10" t="s">
        <v>76</v>
      </c>
      <c r="D76" s="65">
        <f>'EAST-EGM-FLSH'!L76</f>
        <v>0</v>
      </c>
      <c r="E76" s="66">
        <f>'EAST-EGM-FLSH'!M76</f>
        <v>-19109</v>
      </c>
      <c r="F76" s="60">
        <f>'EAST-EGM-GL'!D76</f>
        <v>0</v>
      </c>
      <c r="G76" s="38">
        <f>'EAST-EGM-GL'!E76</f>
        <v>-259215.52</v>
      </c>
      <c r="H76" s="60">
        <f t="shared" si="14"/>
        <v>0</v>
      </c>
      <c r="I76" s="38">
        <f t="shared" si="14"/>
        <v>-240106.52</v>
      </c>
    </row>
    <row r="77" spans="1:9" x14ac:dyDescent="0.2">
      <c r="A77" s="9">
        <v>36</v>
      </c>
      <c r="B77" s="3"/>
      <c r="C77" s="10" t="s">
        <v>77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-6794000</v>
      </c>
    </row>
    <row r="78" spans="1:9" x14ac:dyDescent="0.2">
      <c r="A78" s="9">
        <v>37</v>
      </c>
      <c r="B78" s="3"/>
      <c r="C78" s="10" t="s">
        <v>78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79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224706</v>
      </c>
      <c r="H79" s="60">
        <f t="shared" si="14"/>
        <v>0</v>
      </c>
      <c r="I79" s="38">
        <f t="shared" si="14"/>
        <v>224706</v>
      </c>
    </row>
    <row r="80" spans="1:9" x14ac:dyDescent="0.2">
      <c r="A80" s="9">
        <v>39</v>
      </c>
      <c r="B80" s="3"/>
      <c r="C80" s="10" t="s">
        <v>80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'EAST-EGM-FLSH'!L81</f>
        <v>0</v>
      </c>
      <c r="E81" s="66">
        <f>'EAST-EGM-FLSH'!M81</f>
        <v>-2667035</v>
      </c>
      <c r="F81" s="60">
        <f>'EAST-EGM-GL'!D81</f>
        <v>0</v>
      </c>
      <c r="G81" s="38">
        <f>'EAST-EGM-GL'!E81</f>
        <v>789835.96</v>
      </c>
      <c r="H81" s="60">
        <f>F81-D81</f>
        <v>0</v>
      </c>
      <c r="I81" s="38">
        <f>G81-E81</f>
        <v>3456870.96</v>
      </c>
    </row>
    <row r="82" spans="1:63" s="44" customFormat="1" ht="20.25" customHeight="1" thickBot="1" x14ac:dyDescent="0.3">
      <c r="A82" s="40"/>
      <c r="B82" s="41"/>
      <c r="C82" s="42" t="s">
        <v>82</v>
      </c>
      <c r="D82" s="71">
        <f>D16+D24+D29+D36+D43+D45+D47+D49</f>
        <v>60000</v>
      </c>
      <c r="E82" s="72">
        <f>SUM(E72:E81)+E16+E24+E29+E36+E43+E45+E47+E49+E51+E56+E61+E66</f>
        <v>2025291.3170115249</v>
      </c>
      <c r="F82" s="71">
        <f>F16+F24+F29+F36+F43+F45+F47+F49</f>
        <v>0</v>
      </c>
      <c r="G82" s="72">
        <f>SUM(G72:G81)+G16+G24+G29+G36+G43+G45+G47+G49+G51+G56+G61+G66</f>
        <v>-4355510.1729999892</v>
      </c>
      <c r="H82" s="71">
        <f>H16+H24+H29+H36+H43+H45+H47+H49</f>
        <v>-60000</v>
      </c>
      <c r="I82" s="72">
        <f>SUM(I72:I81)+I16+I24+I29+I36+I43+I45+I47+I49+I51+I56+I61+I66</f>
        <v>-6380801.4900114741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173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177</v>
      </c>
      <c r="D86" s="175">
        <f>'EAST-EGM-FLSH'!L86</f>
        <v>0</v>
      </c>
      <c r="E86" s="175">
        <f>'EAST-EGM-FLSH'!M86</f>
        <v>219364</v>
      </c>
      <c r="F86" s="175">
        <f>'EAST-EGM-GL'!D86</f>
        <v>0</v>
      </c>
      <c r="G86" s="175">
        <f>'EAST-EGM-GL'!E86</f>
        <v>229124</v>
      </c>
      <c r="H86" s="175">
        <f t="shared" ref="H86:I88" si="15">F86-D86</f>
        <v>0</v>
      </c>
      <c r="I86" s="175">
        <f t="shared" si="15"/>
        <v>9760</v>
      </c>
    </row>
    <row r="87" spans="1:63" x14ac:dyDescent="0.2">
      <c r="A87" s="174"/>
      <c r="B87" s="3"/>
      <c r="C87" s="10" t="s">
        <v>74</v>
      </c>
      <c r="D87" s="176">
        <f>'EAST-EGM-FLSH'!L87</f>
        <v>0</v>
      </c>
      <c r="E87" s="176">
        <f>'EAST-EGM-FLSH'!M87</f>
        <v>0</v>
      </c>
      <c r="F87" s="176">
        <f>'EAST-EGM-GL'!D87</f>
        <v>0</v>
      </c>
      <c r="G87" s="176">
        <f>'EAST-EGM-GL'!E87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75</v>
      </c>
      <c r="D88" s="177">
        <f>'EAST-EGM-FLSH'!L88</f>
        <v>0</v>
      </c>
      <c r="E88" s="177">
        <f>'EAST-EGM-FLSH'!M88</f>
        <v>0</v>
      </c>
      <c r="F88" s="177">
        <f>'EAST-EGM-GL'!D88</f>
        <v>0</v>
      </c>
      <c r="G88" s="177">
        <f>'EAST-EGM-GL'!E88</f>
        <v>-9800</v>
      </c>
      <c r="H88" s="177">
        <f t="shared" si="15"/>
        <v>0</v>
      </c>
      <c r="I88" s="177">
        <f t="shared" si="15"/>
        <v>-9800</v>
      </c>
    </row>
    <row r="89" spans="1:63" s="145" customFormat="1" x14ac:dyDescent="0.2">
      <c r="A89" s="188"/>
      <c r="B89" s="189"/>
      <c r="C89" s="187" t="s">
        <v>180</v>
      </c>
      <c r="D89" s="190">
        <f t="shared" ref="D89:I89" si="16">SUM(D86:D88)</f>
        <v>0</v>
      </c>
      <c r="E89" s="190">
        <f t="shared" si="16"/>
        <v>219364</v>
      </c>
      <c r="F89" s="190">
        <f t="shared" si="16"/>
        <v>0</v>
      </c>
      <c r="G89" s="190">
        <f t="shared" si="16"/>
        <v>219324</v>
      </c>
      <c r="H89" s="190">
        <f t="shared" si="16"/>
        <v>0</v>
      </c>
      <c r="I89" s="190">
        <f t="shared" si="16"/>
        <v>-40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183</v>
      </c>
      <c r="D91" s="190">
        <f t="shared" ref="D91:I91" si="17">+D82+D89</f>
        <v>60000</v>
      </c>
      <c r="E91" s="190">
        <f t="shared" si="17"/>
        <v>2244655.3170115249</v>
      </c>
      <c r="F91" s="190">
        <f t="shared" si="17"/>
        <v>0</v>
      </c>
      <c r="G91" s="190">
        <f t="shared" si="17"/>
        <v>-4136186.1729999892</v>
      </c>
      <c r="H91" s="190">
        <f t="shared" si="17"/>
        <v>-60000</v>
      </c>
      <c r="I91" s="190">
        <f t="shared" si="17"/>
        <v>-6380841.4900114741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'EAST-LRC-FLSH'!L11</f>
        <v>11184016</v>
      </c>
      <c r="E11" s="66">
        <f>'EAST-LRC-FLSH'!M11</f>
        <v>25440090.050000001</v>
      </c>
      <c r="F11" s="60">
        <f>'EAST-LRC-GL'!D11</f>
        <v>8471434</v>
      </c>
      <c r="G11" s="38">
        <f>'EAST-LRC-GL'!E11</f>
        <v>19249491.760000002</v>
      </c>
      <c r="H11" s="60">
        <f>F11-D11</f>
        <v>-2712582</v>
      </c>
      <c r="I11" s="38">
        <f>G11-E11</f>
        <v>-6190598.2899999991</v>
      </c>
    </row>
    <row r="12" spans="1:22" x14ac:dyDescent="0.2">
      <c r="A12" s="9">
        <v>2</v>
      </c>
      <c r="B12" s="7"/>
      <c r="C12" s="18" t="s">
        <v>29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-44383.68</v>
      </c>
      <c r="H12" s="60">
        <f>F12-D12</f>
        <v>0</v>
      </c>
      <c r="I12" s="38">
        <f>G12-E12</f>
        <v>-44383.68</v>
      </c>
    </row>
    <row r="13" spans="1:22" x14ac:dyDescent="0.2">
      <c r="A13" s="9">
        <v>3</v>
      </c>
      <c r="B13" s="7"/>
      <c r="C13" s="18" t="s">
        <v>30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31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11184016</v>
      </c>
      <c r="E16" s="39">
        <f t="shared" si="1"/>
        <v>25440090.050000001</v>
      </c>
      <c r="F16" s="61">
        <f t="shared" si="1"/>
        <v>8471434</v>
      </c>
      <c r="G16" s="39">
        <f t="shared" si="1"/>
        <v>19205108.080000002</v>
      </c>
      <c r="H16" s="61">
        <f t="shared" si="1"/>
        <v>-2712582</v>
      </c>
      <c r="I16" s="39">
        <f t="shared" si="1"/>
        <v>-6234981.9699999988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'EAST-LRC-FLSH'!L19</f>
        <v>-11095958</v>
      </c>
      <c r="E19" s="66">
        <f>'EAST-LRC-FLSH'!M19</f>
        <v>-25412684</v>
      </c>
      <c r="F19" s="60">
        <f>'EAST-LRC-GL'!D19</f>
        <v>-847001</v>
      </c>
      <c r="G19" s="38">
        <f>'EAST-LRC-GL'!E19</f>
        <v>-1854754.28</v>
      </c>
      <c r="H19" s="60">
        <f>F19-D19</f>
        <v>10248957</v>
      </c>
      <c r="I19" s="38">
        <f>G19-E19</f>
        <v>23557929.719999999</v>
      </c>
    </row>
    <row r="20" spans="1:9" x14ac:dyDescent="0.2">
      <c r="A20" s="9">
        <v>7</v>
      </c>
      <c r="B20" s="7"/>
      <c r="C20" s="18" t="s">
        <v>29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31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'EAST-LRC-FLSH'!L23</f>
        <v>0</v>
      </c>
      <c r="E23" s="66">
        <f>'EAST-LRC-FLSH'!M23</f>
        <v>0</v>
      </c>
      <c r="F23" s="60">
        <f>'EAST-LRC-GL'!D23</f>
        <v>34163</v>
      </c>
      <c r="G23" s="38">
        <f>'EAST-LRC-GL'!E23</f>
        <v>78532.86</v>
      </c>
      <c r="H23" s="60">
        <f t="shared" si="2"/>
        <v>34163</v>
      </c>
      <c r="I23" s="38">
        <f t="shared" si="2"/>
        <v>78532.86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-11095958</v>
      </c>
      <c r="E24" s="39">
        <f t="shared" si="3"/>
        <v>-25412684</v>
      </c>
      <c r="F24" s="61">
        <f t="shared" si="3"/>
        <v>-812838</v>
      </c>
      <c r="G24" s="39">
        <f t="shared" si="3"/>
        <v>-1776221.42</v>
      </c>
      <c r="H24" s="61">
        <f t="shared" si="3"/>
        <v>10283120</v>
      </c>
      <c r="I24" s="39">
        <f t="shared" si="3"/>
        <v>23636462.579999998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'EAST-LRC-FLSH'!L27</f>
        <v>0</v>
      </c>
      <c r="E27" s="66">
        <f>'EAST-LRC-FLSH'!M27</f>
        <v>0</v>
      </c>
      <c r="F27" s="60">
        <f>'EAST-LRC-GL'!D27</f>
        <v>1328614</v>
      </c>
      <c r="G27" s="38">
        <f>'EAST-LRC-GL'!E27</f>
        <v>3057009.3999999994</v>
      </c>
      <c r="H27" s="60">
        <f>F27-D27</f>
        <v>1328614</v>
      </c>
      <c r="I27" s="38">
        <f>G27-E27</f>
        <v>3057009.3999999994</v>
      </c>
    </row>
    <row r="28" spans="1:9" x14ac:dyDescent="0.2">
      <c r="A28" s="9">
        <v>12</v>
      </c>
      <c r="B28" s="7"/>
      <c r="C28" s="18" t="s">
        <v>39</v>
      </c>
      <c r="D28" s="65">
        <f>'EAST-LRC-FLSH'!L28</f>
        <v>0</v>
      </c>
      <c r="E28" s="66">
        <f>'EAST-LRC-FLSH'!M28</f>
        <v>0</v>
      </c>
      <c r="F28" s="60">
        <f>'EAST-LRC-GL'!D28</f>
        <v>-9475249</v>
      </c>
      <c r="G28" s="38">
        <f>'EAST-LRC-GL'!E28</f>
        <v>-21754100.880000006</v>
      </c>
      <c r="H28" s="60">
        <f>F28-D28</f>
        <v>-9475249</v>
      </c>
      <c r="I28" s="38">
        <f>G28-E28</f>
        <v>-21754100.880000006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-8146635</v>
      </c>
      <c r="G29" s="70">
        <f t="shared" si="4"/>
        <v>-18697091.480000008</v>
      </c>
      <c r="H29" s="69">
        <f t="shared" si="4"/>
        <v>-8146635</v>
      </c>
      <c r="I29" s="70">
        <f t="shared" si="4"/>
        <v>-18697091.480000008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'EAST-LRC-FLSH'!L32</f>
        <v>0</v>
      </c>
      <c r="E32" s="66">
        <f>'EAST-LRC-FLSH'!M32</f>
        <v>0</v>
      </c>
      <c r="F32" s="60">
        <f>'EAST-LRC-GL'!D32</f>
        <v>35808</v>
      </c>
      <c r="G32" s="38">
        <f>'EAST-LRC-GL'!E32</f>
        <v>79816.031999999992</v>
      </c>
      <c r="H32" s="60">
        <f>F32-D32</f>
        <v>35808</v>
      </c>
      <c r="I32" s="38">
        <f>G32-E32</f>
        <v>79816.031999999992</v>
      </c>
    </row>
    <row r="33" spans="1:9" x14ac:dyDescent="0.2">
      <c r="A33" s="9">
        <v>14</v>
      </c>
      <c r="B33" s="7"/>
      <c r="C33" s="18" t="s">
        <v>43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35808</v>
      </c>
      <c r="G36" s="39">
        <f t="shared" si="6"/>
        <v>79816.031999999992</v>
      </c>
      <c r="H36" s="61">
        <f t="shared" si="6"/>
        <v>35808</v>
      </c>
      <c r="I36" s="39">
        <f t="shared" si="6"/>
        <v>79816.031999999992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'EAST-LRC-FLSH'!L39</f>
        <v>913477</v>
      </c>
      <c r="E39" s="66">
        <f>'EAST-LRC-FLSH'!M39</f>
        <v>2037051</v>
      </c>
      <c r="F39" s="60">
        <f>'EAST-LRC-GL'!D39</f>
        <v>980688</v>
      </c>
      <c r="G39" s="38">
        <f>'EAST-LRC-GL'!E39</f>
        <v>2235968.64</v>
      </c>
      <c r="H39" s="60">
        <f t="shared" ref="H39:I41" si="7">F39-D39</f>
        <v>67211</v>
      </c>
      <c r="I39" s="38">
        <f t="shared" si="7"/>
        <v>198917.64000000013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'EAST-LRC-FLSH'!L40</f>
        <v>-244706</v>
      </c>
      <c r="E40" s="66">
        <f>'EAST-LRC-FLSH'!M40</f>
        <v>-545695</v>
      </c>
      <c r="F40" s="60">
        <f>'EAST-LRC-GL'!D40</f>
        <v>-584709</v>
      </c>
      <c r="G40" s="38">
        <f>'EAST-LRC-GL'!E40</f>
        <v>-1333136.52</v>
      </c>
      <c r="H40" s="60">
        <f t="shared" si="7"/>
        <v>-340003</v>
      </c>
      <c r="I40" s="38">
        <f t="shared" si="7"/>
        <v>-787441.52</v>
      </c>
    </row>
    <row r="41" spans="1:9" x14ac:dyDescent="0.2">
      <c r="A41" s="9">
        <v>19</v>
      </c>
      <c r="B41" s="7"/>
      <c r="C41" s="18" t="s">
        <v>50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-244706</v>
      </c>
      <c r="E42" s="70">
        <f t="shared" si="8"/>
        <v>-545695</v>
      </c>
      <c r="F42" s="69">
        <f t="shared" si="8"/>
        <v>-584709</v>
      </c>
      <c r="G42" s="70">
        <f t="shared" si="8"/>
        <v>-1333136.52</v>
      </c>
      <c r="H42" s="69">
        <f t="shared" si="8"/>
        <v>-340003</v>
      </c>
      <c r="I42" s="70">
        <f t="shared" si="8"/>
        <v>-787441.52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668771</v>
      </c>
      <c r="E43" s="39">
        <f t="shared" si="9"/>
        <v>1491356</v>
      </c>
      <c r="F43" s="61">
        <f t="shared" si="9"/>
        <v>395979</v>
      </c>
      <c r="G43" s="39">
        <f t="shared" si="9"/>
        <v>902832.12000000011</v>
      </c>
      <c r="H43" s="61">
        <f t="shared" si="9"/>
        <v>-272792</v>
      </c>
      <c r="I43" s="39">
        <f t="shared" si="9"/>
        <v>-588523.87999999989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-25247</v>
      </c>
      <c r="G45" s="38">
        <f>'EAST-LRC-GL'!E45</f>
        <v>-45544.09</v>
      </c>
      <c r="H45" s="60">
        <f>F45-D45</f>
        <v>-25247</v>
      </c>
      <c r="I45" s="38">
        <f>G45-E45</f>
        <v>-45544.09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'EAST-LRC-FLSH'!L49</f>
        <v>-816829</v>
      </c>
      <c r="E49" s="66">
        <f>'EAST-LRC-FLSH'!M49</f>
        <v>-1800711.7348383139</v>
      </c>
      <c r="F49" s="60">
        <f>'EAST-LRC-GL'!D49</f>
        <v>83749</v>
      </c>
      <c r="G49" s="38">
        <f>'EAST-LRC-GL'!E49</f>
        <v>186676.51700000002</v>
      </c>
      <c r="H49" s="60">
        <f>F49-D49</f>
        <v>900578</v>
      </c>
      <c r="I49" s="38">
        <f>G49-E49</f>
        <v>1987388.2518383139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-59521</v>
      </c>
      <c r="G51" s="38">
        <f>'EAST-LRC-GL'!E51</f>
        <v>-136926.63999999998</v>
      </c>
      <c r="H51" s="60">
        <f>F51-D51</f>
        <v>-59521</v>
      </c>
      <c r="I51" s="38">
        <f>G51-E51</f>
        <v>-136926.63999999998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'EAST-LRC-FLSH'!L54</f>
        <v>0</v>
      </c>
      <c r="E54" s="66">
        <f>'EAST-LRC-FLSH'!M54</f>
        <v>0</v>
      </c>
      <c r="F54" s="60">
        <f>'EAST-LRC-GL'!D54</f>
        <v>-95813</v>
      </c>
      <c r="G54" s="38">
        <f>'EAST-LRC-GL'!E54</f>
        <v>17227.760000000002</v>
      </c>
      <c r="H54" s="60">
        <f>F54-D54</f>
        <v>-95813</v>
      </c>
      <c r="I54" s="38">
        <f>G54-E54</f>
        <v>17227.760000000002</v>
      </c>
    </row>
    <row r="55" spans="1:9" x14ac:dyDescent="0.2">
      <c r="A55" s="9">
        <v>25</v>
      </c>
      <c r="B55" s="7"/>
      <c r="C55" s="18" t="s">
        <v>59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-95813</v>
      </c>
      <c r="G56" s="39">
        <f t="shared" si="10"/>
        <v>17227.760000000002</v>
      </c>
      <c r="H56" s="61">
        <f t="shared" si="10"/>
        <v>-95813</v>
      </c>
      <c r="I56" s="39">
        <f t="shared" si="10"/>
        <v>17227.760000000002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'EAST-LRC-FLSH'!L59</f>
        <v>0</v>
      </c>
      <c r="E59" s="66">
        <f>'EAST-LRC-FLSH'!M59</f>
        <v>0</v>
      </c>
      <c r="F59" s="60">
        <f>'EAST-LRC-GL'!D59</f>
        <v>3132845</v>
      </c>
      <c r="G59" s="38">
        <f>'EAST-LRC-GL'!E59</f>
        <v>55985.979999999996</v>
      </c>
      <c r="H59" s="60">
        <f>F59-D59</f>
        <v>3132845</v>
      </c>
      <c r="I59" s="38">
        <f>G59-E59</f>
        <v>55985.979999999996</v>
      </c>
    </row>
    <row r="60" spans="1:9" x14ac:dyDescent="0.2">
      <c r="A60" s="9">
        <v>27</v>
      </c>
      <c r="B60" s="11"/>
      <c r="C60" s="18" t="s">
        <v>63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3132845</v>
      </c>
      <c r="G61" s="70">
        <f t="shared" si="11"/>
        <v>55985.979999999996</v>
      </c>
      <c r="H61" s="69">
        <f t="shared" si="11"/>
        <v>3132845</v>
      </c>
      <c r="I61" s="70">
        <f t="shared" si="11"/>
        <v>9501.1099999999933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'EAST-LRC-FLSH'!L64</f>
        <v>0</v>
      </c>
      <c r="E64" s="66">
        <f>'EAST-LRC-FLSH'!M64</f>
        <v>0</v>
      </c>
      <c r="F64" s="60">
        <f>'EAST-LRC-GL'!D64</f>
        <v>-19886382</v>
      </c>
      <c r="G64" s="38">
        <f>'EAST-LRC-GL'!E64</f>
        <v>-1955974.55</v>
      </c>
      <c r="H64" s="60">
        <f>F64-D64</f>
        <v>-19886382</v>
      </c>
      <c r="I64" s="38">
        <f>G64-E64</f>
        <v>-1955974.55</v>
      </c>
    </row>
    <row r="65" spans="1:9" x14ac:dyDescent="0.2">
      <c r="A65" s="9">
        <v>29</v>
      </c>
      <c r="B65" s="11"/>
      <c r="C65" s="18" t="s">
        <v>66</v>
      </c>
      <c r="D65" s="65">
        <f>'EAST-LRC-FLSH'!L65</f>
        <v>0</v>
      </c>
      <c r="E65" s="66">
        <f>'EAST-LRC-FLSH'!M65</f>
        <v>0</v>
      </c>
      <c r="F65" s="60">
        <f>'EAST-LRC-GL'!D65</f>
        <v>18905694</v>
      </c>
      <c r="G65" s="38">
        <f>'EAST-LRC-GL'!E65</f>
        <v>1955974.54</v>
      </c>
      <c r="H65" s="60">
        <f>F65-D65</f>
        <v>18905694</v>
      </c>
      <c r="I65" s="38">
        <f>G65-E65</f>
        <v>1955974.54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-980688</v>
      </c>
      <c r="G66" s="39">
        <f t="shared" si="12"/>
        <v>-1.0000000009313226E-2</v>
      </c>
      <c r="H66" s="61">
        <f t="shared" si="12"/>
        <v>-980688</v>
      </c>
      <c r="I66" s="39">
        <f t="shared" si="12"/>
        <v>-1.0000000009313226E-2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75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78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'EAST-LRC-FLSH'!L81</f>
        <v>0</v>
      </c>
      <c r="E81" s="66">
        <f>'EAST-LRC-FLSH'!M81</f>
        <v>0</v>
      </c>
      <c r="F81" s="60">
        <f>'EAST-LRC-GL'!D81</f>
        <v>1116361</v>
      </c>
      <c r="G81" s="38">
        <f>'EAST-LRC-GL'!E81</f>
        <v>0</v>
      </c>
      <c r="H81" s="60">
        <f>F81-D81</f>
        <v>1116361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82</v>
      </c>
      <c r="D82" s="71">
        <f>D16+D24+D29+D36+D43+D45+D47+D49</f>
        <v>-60000</v>
      </c>
      <c r="E82" s="72">
        <f>SUM(E72:E81)+E16+E24+E29+E36+E43+E45+E47+E49+E51+E56+E61+E66</f>
        <v>-4132464.814838313</v>
      </c>
      <c r="F82" s="71">
        <f>F16+F24+F29+F36+F43+F45+F47+F49</f>
        <v>2250</v>
      </c>
      <c r="G82" s="72">
        <f>SUM(G72:G81)+G16+G24+G29+G36+G43+G45+G47+G49+G51+G56+G61+G66</f>
        <v>-208137.15100000397</v>
      </c>
      <c r="H82" s="71">
        <f>H16+H24+H29+H36+H43+H45+H47+H49</f>
        <v>62250</v>
      </c>
      <c r="I82" s="72">
        <f>SUM(I72:I81)+I16+I24+I29+I36+I43+I45+I47+I49+I51+I56+I61+I66</f>
        <v>3924327.6638383055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'EAST-CON-FLSH'!L11</f>
        <v>90066498</v>
      </c>
      <c r="E11" s="66">
        <f>'EAST-CON-FLSH'!M11</f>
        <v>204199663</v>
      </c>
      <c r="F11" s="60">
        <f>'EAST-CON-GL '!D11</f>
        <v>87205501</v>
      </c>
      <c r="G11" s="38">
        <f>'EAST-CON-GL '!E11</f>
        <v>201466538.63</v>
      </c>
      <c r="H11" s="60">
        <f>F11-D11</f>
        <v>-2860997</v>
      </c>
      <c r="I11" s="38">
        <f>G11-E11</f>
        <v>-2733124.3700000048</v>
      </c>
    </row>
    <row r="12" spans="1:22" x14ac:dyDescent="0.2">
      <c r="A12" s="9">
        <v>2</v>
      </c>
      <c r="B12" s="7"/>
      <c r="C12" s="18" t="s">
        <v>29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-1549770.6999999997</v>
      </c>
      <c r="H12" s="60">
        <f>F12-D12</f>
        <v>0</v>
      </c>
      <c r="I12" s="38">
        <f>G12-E12</f>
        <v>-1549770.6999999997</v>
      </c>
    </row>
    <row r="13" spans="1:22" x14ac:dyDescent="0.2">
      <c r="A13" s="9">
        <v>3</v>
      </c>
      <c r="B13" s="7"/>
      <c r="C13" s="18" t="s">
        <v>30</v>
      </c>
      <c r="D13" s="65">
        <f>'EAST-CON-FLSH'!L13</f>
        <v>39490195</v>
      </c>
      <c r="E13" s="66">
        <f>'EAST-CON-FLSH'!M13</f>
        <v>90588362</v>
      </c>
      <c r="F13" s="60">
        <f>'EAST-CON-GL '!D13</f>
        <v>37219120</v>
      </c>
      <c r="G13" s="38">
        <f>'EAST-CON-GL '!E13</f>
        <v>85375528</v>
      </c>
      <c r="H13" s="60">
        <f t="shared" ref="H13:I15" si="0">F13-D13</f>
        <v>-2271075</v>
      </c>
      <c r="I13" s="38">
        <f t="shared" si="0"/>
        <v>-5212834</v>
      </c>
    </row>
    <row r="14" spans="1:22" x14ac:dyDescent="0.2">
      <c r="A14" s="9">
        <v>4</v>
      </c>
      <c r="B14" s="7"/>
      <c r="C14" s="18" t="s">
        <v>31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15000</v>
      </c>
      <c r="H15" s="60">
        <f t="shared" si="0"/>
        <v>0</v>
      </c>
      <c r="I15" s="38">
        <f t="shared" si="0"/>
        <v>15000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129556693</v>
      </c>
      <c r="E16" s="39">
        <f t="shared" si="1"/>
        <v>294788025</v>
      </c>
      <c r="F16" s="61">
        <f t="shared" si="1"/>
        <v>124424621</v>
      </c>
      <c r="G16" s="39">
        <f t="shared" si="1"/>
        <v>285307295.93000001</v>
      </c>
      <c r="H16" s="61">
        <f t="shared" si="1"/>
        <v>-5132072</v>
      </c>
      <c r="I16" s="39">
        <f t="shared" si="1"/>
        <v>-9480729.070000004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'EAST-CON-FLSH'!L19</f>
        <v>-87627794</v>
      </c>
      <c r="E19" s="66">
        <f>'EAST-CON-FLSH'!M19</f>
        <v>-196852297</v>
      </c>
      <c r="F19" s="60">
        <f>'EAST-CON-GL '!D19</f>
        <v>-83851711</v>
      </c>
      <c r="G19" s="38">
        <f>'EAST-CON-GL '!E19</f>
        <v>-190607132.37</v>
      </c>
      <c r="H19" s="60">
        <f>F19-D19</f>
        <v>3776083</v>
      </c>
      <c r="I19" s="38">
        <f>G19-E19</f>
        <v>6245164.6299999952</v>
      </c>
    </row>
    <row r="20" spans="1:9" x14ac:dyDescent="0.2">
      <c r="A20" s="9">
        <v>7</v>
      </c>
      <c r="B20" s="7"/>
      <c r="C20" s="18" t="s">
        <v>29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-385025.32</v>
      </c>
      <c r="H20" s="60">
        <f>F20-D20</f>
        <v>0</v>
      </c>
      <c r="I20" s="38">
        <f>G20-E20</f>
        <v>-385025.32</v>
      </c>
    </row>
    <row r="21" spans="1:9" x14ac:dyDescent="0.2">
      <c r="A21" s="9">
        <v>8</v>
      </c>
      <c r="B21" s="7"/>
      <c r="C21" s="18" t="s">
        <v>30</v>
      </c>
      <c r="D21" s="65">
        <f>'EAST-CON-FLSH'!L21</f>
        <v>-43028500</v>
      </c>
      <c r="E21" s="66">
        <f>'EAST-CON-FLSH'!M21</f>
        <v>-99490756</v>
      </c>
      <c r="F21" s="60">
        <f>'EAST-CON-GL '!D21</f>
        <v>-32629494</v>
      </c>
      <c r="G21" s="38">
        <f>'EAST-CON-GL '!E21</f>
        <v>-75619749</v>
      </c>
      <c r="H21" s="60">
        <f t="shared" ref="H21:I23" si="2">F21-D21</f>
        <v>10399006</v>
      </c>
      <c r="I21" s="38">
        <f t="shared" si="2"/>
        <v>23871007</v>
      </c>
    </row>
    <row r="22" spans="1:9" x14ac:dyDescent="0.2">
      <c r="A22" s="9">
        <v>9</v>
      </c>
      <c r="B22" s="7"/>
      <c r="C22" s="18" t="s">
        <v>31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'EAST-CON-FLSH'!L23</f>
        <v>133867</v>
      </c>
      <c r="E23" s="66">
        <f>'EAST-CON-FLSH'!M23</f>
        <v>303086</v>
      </c>
      <c r="F23" s="60">
        <f>'EAST-CON-GL '!D23</f>
        <v>141671</v>
      </c>
      <c r="G23" s="38">
        <f>'EAST-CON-GL '!E23</f>
        <v>318223.13100000005</v>
      </c>
      <c r="H23" s="60">
        <f t="shared" si="2"/>
        <v>7804</v>
      </c>
      <c r="I23" s="38">
        <f t="shared" si="2"/>
        <v>15137.131000000052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-130522427</v>
      </c>
      <c r="E24" s="39">
        <f t="shared" si="3"/>
        <v>-296039967</v>
      </c>
      <c r="F24" s="61">
        <f t="shared" si="3"/>
        <v>-116339534</v>
      </c>
      <c r="G24" s="39">
        <f t="shared" si="3"/>
        <v>-266293683.55899999</v>
      </c>
      <c r="H24" s="61">
        <f t="shared" si="3"/>
        <v>14182893</v>
      </c>
      <c r="I24" s="39">
        <f t="shared" si="3"/>
        <v>29746283.440999996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'EAST-CON-FLSH'!L27</f>
        <v>0</v>
      </c>
      <c r="E27" s="66">
        <f>'EAST-CON-FLSH'!M27</f>
        <v>0</v>
      </c>
      <c r="F27" s="60">
        <f>'EAST-CON-GL '!D27</f>
        <v>1395614</v>
      </c>
      <c r="G27" s="38">
        <f>'EAST-CON-GL '!E27</f>
        <v>3212085.1899999995</v>
      </c>
      <c r="H27" s="60">
        <f>F27-D27</f>
        <v>1395614</v>
      </c>
      <c r="I27" s="38">
        <f>G27-E27</f>
        <v>3212085.1899999995</v>
      </c>
    </row>
    <row r="28" spans="1:9" x14ac:dyDescent="0.2">
      <c r="A28" s="9">
        <v>12</v>
      </c>
      <c r="B28" s="7"/>
      <c r="C28" s="18" t="s">
        <v>39</v>
      </c>
      <c r="D28" s="65">
        <f>'EAST-CON-FLSH'!L28</f>
        <v>0</v>
      </c>
      <c r="E28" s="66">
        <f>'EAST-CON-FLSH'!M28</f>
        <v>0</v>
      </c>
      <c r="F28" s="60">
        <f>'EAST-CON-GL '!D28</f>
        <v>-10656303</v>
      </c>
      <c r="G28" s="38">
        <f>'EAST-CON-GL '!E28</f>
        <v>-24481109.160000004</v>
      </c>
      <c r="H28" s="60">
        <f>F28-D28</f>
        <v>-10656303</v>
      </c>
      <c r="I28" s="38">
        <f>G28-E28</f>
        <v>-24481109.160000004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-9260689</v>
      </c>
      <c r="G29" s="70">
        <f t="shared" si="4"/>
        <v>-21269023.970000006</v>
      </c>
      <c r="H29" s="69">
        <f t="shared" si="4"/>
        <v>-9260689</v>
      </c>
      <c r="I29" s="70">
        <f t="shared" si="4"/>
        <v>-21269023.970000006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'EAST-CON-FLSH'!L32</f>
        <v>525505</v>
      </c>
      <c r="E32" s="66">
        <f>'EAST-CON-FLSH'!M32</f>
        <v>1238528</v>
      </c>
      <c r="F32" s="60">
        <f>'EAST-CON-GL '!D32</f>
        <v>-152977</v>
      </c>
      <c r="G32" s="38">
        <f>'EAST-CON-GL '!E32</f>
        <v>-1047485.7980000001</v>
      </c>
      <c r="H32" s="60">
        <f>F32-D32</f>
        <v>-678482</v>
      </c>
      <c r="I32" s="38">
        <f>G32-E32</f>
        <v>-2286013.798</v>
      </c>
    </row>
    <row r="33" spans="1:9" x14ac:dyDescent="0.2">
      <c r="A33" s="9">
        <v>14</v>
      </c>
      <c r="B33" s="7"/>
      <c r="C33" s="18" t="s">
        <v>43</v>
      </c>
      <c r="D33" s="65">
        <f>'EAST-CON-FLSH'!L33</f>
        <v>-572495</v>
      </c>
      <c r="E33" s="66">
        <f>'EAST-CON-FLSH'!M33</f>
        <v>-1346346</v>
      </c>
      <c r="F33" s="60">
        <f>'EAST-CON-GL '!D33</f>
        <v>-30095</v>
      </c>
      <c r="G33" s="38">
        <f>'EAST-CON-GL '!E33</f>
        <v>-66744.39</v>
      </c>
      <c r="H33" s="60">
        <f t="shared" ref="H33:I35" si="5">F33-D33</f>
        <v>542400</v>
      </c>
      <c r="I33" s="38">
        <f t="shared" si="5"/>
        <v>1279601.6100000001</v>
      </c>
    </row>
    <row r="34" spans="1:9" x14ac:dyDescent="0.2">
      <c r="A34" s="9">
        <v>15</v>
      </c>
      <c r="B34" s="7"/>
      <c r="C34" s="18" t="s">
        <v>44</v>
      </c>
      <c r="D34" s="65">
        <f>'EAST-CON-FLSH'!L34</f>
        <v>352983</v>
      </c>
      <c r="E34" s="66">
        <f>'EAST-CON-FLSH'!M34</f>
        <v>794701</v>
      </c>
      <c r="F34" s="60">
        <f>'EAST-CON-GL '!D34</f>
        <v>328919</v>
      </c>
      <c r="G34" s="38">
        <f>'EAST-CON-GL '!E34</f>
        <v>734440.80999999994</v>
      </c>
      <c r="H34" s="60">
        <f t="shared" si="5"/>
        <v>-24064</v>
      </c>
      <c r="I34" s="38">
        <f t="shared" si="5"/>
        <v>-60260.190000000061</v>
      </c>
    </row>
    <row r="35" spans="1:9" x14ac:dyDescent="0.2">
      <c r="A35" s="9">
        <v>16</v>
      </c>
      <c r="B35" s="7"/>
      <c r="C35" s="18" t="s">
        <v>45</v>
      </c>
      <c r="D35" s="65">
        <f>'EAST-CON-FLSH'!L35</f>
        <v>-113080</v>
      </c>
      <c r="E35" s="66">
        <f>'EAST-CON-FLSH'!M35</f>
        <v>-254388</v>
      </c>
      <c r="F35" s="60">
        <f>'EAST-CON-GL '!D35</f>
        <v>600000</v>
      </c>
      <c r="G35" s="38">
        <f>'EAST-CON-GL '!E35</f>
        <v>706499.99</v>
      </c>
      <c r="H35" s="60">
        <f t="shared" si="5"/>
        <v>713080</v>
      </c>
      <c r="I35" s="38">
        <f t="shared" si="5"/>
        <v>960887.99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192913</v>
      </c>
      <c r="E36" s="39">
        <f t="shared" si="6"/>
        <v>432495</v>
      </c>
      <c r="F36" s="61">
        <f t="shared" si="6"/>
        <v>745847</v>
      </c>
      <c r="G36" s="39">
        <f t="shared" si="6"/>
        <v>326710.61199999985</v>
      </c>
      <c r="H36" s="61">
        <f t="shared" si="6"/>
        <v>552934</v>
      </c>
      <c r="I36" s="39">
        <f t="shared" si="6"/>
        <v>-105784.38800000004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'EAST-CON-FLSH'!L39</f>
        <v>913477</v>
      </c>
      <c r="E39" s="66">
        <f>'EAST-CON-FLSH'!M39</f>
        <v>2037051</v>
      </c>
      <c r="F39" s="60">
        <f>'EAST-CON-GL '!D39</f>
        <v>980688</v>
      </c>
      <c r="G39" s="38">
        <f>'EAST-CON-GL '!E39</f>
        <v>2235968.64</v>
      </c>
      <c r="H39" s="60">
        <f t="shared" ref="H39:I41" si="7">F39-D39</f>
        <v>67211</v>
      </c>
      <c r="I39" s="38">
        <f t="shared" si="7"/>
        <v>198917.64000000013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'EAST-CON-FLSH'!L40</f>
        <v>-244706</v>
      </c>
      <c r="E40" s="66">
        <f>'EAST-CON-FLSH'!M40</f>
        <v>-545695</v>
      </c>
      <c r="F40" s="60">
        <f>'EAST-CON-GL '!D40</f>
        <v>-884709</v>
      </c>
      <c r="G40" s="38">
        <f>'EAST-CON-GL '!E40</f>
        <v>-2117336.52</v>
      </c>
      <c r="H40" s="60">
        <f t="shared" si="7"/>
        <v>-640003</v>
      </c>
      <c r="I40" s="38">
        <f t="shared" si="7"/>
        <v>-1571641.52</v>
      </c>
    </row>
    <row r="41" spans="1:9" x14ac:dyDescent="0.2">
      <c r="A41" s="9">
        <v>19</v>
      </c>
      <c r="B41" s="7"/>
      <c r="C41" s="18" t="s">
        <v>50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-244706</v>
      </c>
      <c r="E42" s="70">
        <f t="shared" si="8"/>
        <v>-545695</v>
      </c>
      <c r="F42" s="69">
        <f t="shared" si="8"/>
        <v>-884709</v>
      </c>
      <c r="G42" s="70">
        <f t="shared" si="8"/>
        <v>-2117336.52</v>
      </c>
      <c r="H42" s="69">
        <f t="shared" si="8"/>
        <v>-640003</v>
      </c>
      <c r="I42" s="70">
        <f t="shared" si="8"/>
        <v>-1571641.52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668771</v>
      </c>
      <c r="E43" s="39">
        <f t="shared" si="9"/>
        <v>1491356</v>
      </c>
      <c r="F43" s="61">
        <f t="shared" si="9"/>
        <v>95979</v>
      </c>
      <c r="G43" s="39">
        <f t="shared" si="9"/>
        <v>118632.12000000011</v>
      </c>
      <c r="H43" s="61">
        <f t="shared" si="9"/>
        <v>-572792</v>
      </c>
      <c r="I43" s="39">
        <f t="shared" si="9"/>
        <v>-1372723.88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-25247</v>
      </c>
      <c r="G45" s="38">
        <f>'EAST-CON-GL '!E45</f>
        <v>-45544.09</v>
      </c>
      <c r="H45" s="60">
        <f>F45-D45</f>
        <v>-25247</v>
      </c>
      <c r="I45" s="38">
        <f>G45-E45</f>
        <v>-45544.09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'EAST-CON-FLSH'!L49</f>
        <v>104050</v>
      </c>
      <c r="E49" s="66">
        <f>'EAST-CON-FLSH'!M49</f>
        <v>231886.46217320184</v>
      </c>
      <c r="F49" s="60">
        <f>'EAST-CON-GL '!D49</f>
        <v>361273</v>
      </c>
      <c r="G49" s="38">
        <f>'EAST-CON-GL '!E49</f>
        <v>805277.51300000038</v>
      </c>
      <c r="H49" s="60">
        <f>F49-D49</f>
        <v>257223</v>
      </c>
      <c r="I49" s="38">
        <f>G49-E49</f>
        <v>573391.05082679854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'EAST-CON-FLSH'!L51</f>
        <v>-133867</v>
      </c>
      <c r="E51" s="66">
        <f>'EAST-CON-FLSH'!M51</f>
        <v>-303086</v>
      </c>
      <c r="F51" s="60">
        <f>'EAST-CON-GL '!D51</f>
        <v>-194496</v>
      </c>
      <c r="G51" s="38">
        <f>'EAST-CON-GL '!E51</f>
        <v>-437785.92</v>
      </c>
      <c r="H51" s="60">
        <f>F51-D51</f>
        <v>-60629</v>
      </c>
      <c r="I51" s="38">
        <f>G51-E51</f>
        <v>-134699.91999999998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'EAST-CON-FLSH'!L54</f>
        <v>0</v>
      </c>
      <c r="E54" s="66">
        <f>'EAST-CON-FLSH'!M54</f>
        <v>-451779</v>
      </c>
      <c r="F54" s="60">
        <f>'EAST-CON-GL '!D54</f>
        <v>-17164287</v>
      </c>
      <c r="G54" s="38">
        <f>'EAST-CON-GL '!E54</f>
        <v>-546087.96999999986</v>
      </c>
      <c r="H54" s="60">
        <f>F54-D54</f>
        <v>-17164287</v>
      </c>
      <c r="I54" s="38">
        <f>G54-E54</f>
        <v>-94308.969999999856</v>
      </c>
    </row>
    <row r="55" spans="1:9" x14ac:dyDescent="0.2">
      <c r="A55" s="9">
        <v>25</v>
      </c>
      <c r="B55" s="7"/>
      <c r="C55" s="18" t="s">
        <v>59</v>
      </c>
      <c r="D55" s="65">
        <f>'EAST-CON-FLSH'!L55</f>
        <v>0</v>
      </c>
      <c r="E55" s="66">
        <f>'EAST-CON-FLSH'!M55</f>
        <v>-434058</v>
      </c>
      <c r="F55" s="60">
        <f>'EAST-CON-GL '!D55</f>
        <v>0</v>
      </c>
      <c r="G55" s="38">
        <f>'EAST-CON-GL '!E55</f>
        <v>-448017.35</v>
      </c>
      <c r="H55" s="60">
        <f>F55-D55</f>
        <v>0</v>
      </c>
      <c r="I55" s="38">
        <f>G55-E55</f>
        <v>-13959.349999999977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-885837</v>
      </c>
      <c r="F56" s="61">
        <f t="shared" si="10"/>
        <v>-17164287</v>
      </c>
      <c r="G56" s="39">
        <f t="shared" si="10"/>
        <v>-994105.31999999983</v>
      </c>
      <c r="H56" s="61">
        <f t="shared" si="10"/>
        <v>-17164287</v>
      </c>
      <c r="I56" s="39">
        <f t="shared" si="10"/>
        <v>-108268.31999999983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'EAST-CON-FLSH'!L59</f>
        <v>0</v>
      </c>
      <c r="E59" s="66">
        <f>'EAST-CON-FLSH'!M59</f>
        <v>0</v>
      </c>
      <c r="F59" s="60">
        <f>'EAST-CON-GL '!D59</f>
        <v>3132845</v>
      </c>
      <c r="G59" s="38">
        <f>'EAST-CON-GL '!E59</f>
        <v>55985.979999999996</v>
      </c>
      <c r="H59" s="60">
        <f>F59-D59</f>
        <v>3132845</v>
      </c>
      <c r="I59" s="38">
        <f>G59-E59</f>
        <v>55985.979999999996</v>
      </c>
    </row>
    <row r="60" spans="1:9" x14ac:dyDescent="0.2">
      <c r="A60" s="9">
        <v>27</v>
      </c>
      <c r="B60" s="11"/>
      <c r="C60" s="18" t="s">
        <v>63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3132845</v>
      </c>
      <c r="G61" s="70">
        <f t="shared" si="11"/>
        <v>55985.979999999996</v>
      </c>
      <c r="H61" s="69">
        <f t="shared" si="11"/>
        <v>3132845</v>
      </c>
      <c r="I61" s="70">
        <f t="shared" si="11"/>
        <v>55985.979999999996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'EAST-CON-FLSH'!L64</f>
        <v>0</v>
      </c>
      <c r="E64" s="66">
        <f>'EAST-CON-FLSH'!M64</f>
        <v>68597</v>
      </c>
      <c r="F64" s="60">
        <f>'EAST-CON-GL '!D64</f>
        <v>-20191991</v>
      </c>
      <c r="G64" s="38">
        <f>'EAST-CON-GL '!E64</f>
        <v>-1981332.06</v>
      </c>
      <c r="H64" s="60">
        <f>F64-D64</f>
        <v>-20191991</v>
      </c>
      <c r="I64" s="38">
        <f>G64-E64</f>
        <v>-2049929.06</v>
      </c>
    </row>
    <row r="65" spans="1:9" x14ac:dyDescent="0.2">
      <c r="A65" s="9">
        <v>29</v>
      </c>
      <c r="B65" s="11"/>
      <c r="C65" s="18" t="s">
        <v>66</v>
      </c>
      <c r="D65" s="65">
        <f>'EAST-CON-FLSH'!L65</f>
        <v>0</v>
      </c>
      <c r="E65" s="66">
        <f>'EAST-CON-FLSH'!M65</f>
        <v>0</v>
      </c>
      <c r="F65" s="60">
        <f>'EAST-CON-GL '!D65</f>
        <v>19106742</v>
      </c>
      <c r="G65" s="38">
        <f>'EAST-CON-GL '!E65</f>
        <v>1981332.07</v>
      </c>
      <c r="H65" s="60">
        <f>F65-D65</f>
        <v>19106742</v>
      </c>
      <c r="I65" s="38">
        <f>G65-E65</f>
        <v>1981332.07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-1085249</v>
      </c>
      <c r="G66" s="39">
        <f t="shared" si="12"/>
        <v>1.0000000009313226E-2</v>
      </c>
      <c r="H66" s="61">
        <f t="shared" si="12"/>
        <v>-1085249</v>
      </c>
      <c r="I66" s="39">
        <f t="shared" si="12"/>
        <v>-68596.989999999991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'EAST-CON-FLSH'!L70</f>
        <v>0</v>
      </c>
      <c r="E70" s="66">
        <f>'EAST-CON-FLSH'!M70</f>
        <v>5679557.9450000003</v>
      </c>
      <c r="F70" s="60">
        <f>'EAST-CON-GL '!D70</f>
        <v>0</v>
      </c>
      <c r="G70" s="38">
        <f>'EAST-CON-GL '!E70</f>
        <v>5679557.9500000002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71</v>
      </c>
      <c r="D71" s="65">
        <f>'EAST-CON-FLSH'!L71</f>
        <v>0</v>
      </c>
      <c r="E71" s="66">
        <f>'EAST-CON-FLSH'!M71</f>
        <v>-2849704.85</v>
      </c>
      <c r="F71" s="60">
        <f>'EAST-CON-GL '!D71</f>
        <v>0</v>
      </c>
      <c r="G71" s="38">
        <f>'EAST-CON-GL '!E71</f>
        <v>-2849706</v>
      </c>
      <c r="H71" s="60">
        <f>F71-D71</f>
        <v>0</v>
      </c>
      <c r="I71" s="38">
        <f>G71-E71</f>
        <v>-1.1499999999068677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2829853.0950000002</v>
      </c>
      <c r="F72" s="69">
        <f t="shared" si="13"/>
        <v>0</v>
      </c>
      <c r="G72" s="70">
        <f t="shared" si="13"/>
        <v>2829851.95</v>
      </c>
      <c r="H72" s="69">
        <f t="shared" si="13"/>
        <v>0</v>
      </c>
      <c r="I72" s="70">
        <f t="shared" si="13"/>
        <v>-1.1450000000186265</v>
      </c>
    </row>
    <row r="73" spans="1:9" x14ac:dyDescent="0.2">
      <c r="A73" s="9">
        <v>32</v>
      </c>
      <c r="B73" s="3"/>
      <c r="C73" s="10" t="s">
        <v>73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'EAST-CON-FLSH'!L74</f>
        <v>0</v>
      </c>
      <c r="E74" s="66">
        <f>'EAST-CON-FLSH'!M74</f>
        <v>-1040060</v>
      </c>
      <c r="F74" s="60">
        <f>'EAST-CON-GL '!D74</f>
        <v>0</v>
      </c>
      <c r="G74" s="38">
        <f>'EAST-CON-GL '!E74</f>
        <v>-1847776</v>
      </c>
      <c r="H74" s="60">
        <f t="shared" ref="H74:I79" si="14">F74-D74</f>
        <v>0</v>
      </c>
      <c r="I74" s="38">
        <f t="shared" si="14"/>
        <v>-807716</v>
      </c>
    </row>
    <row r="75" spans="1:9" x14ac:dyDescent="0.2">
      <c r="A75" s="9">
        <v>34</v>
      </c>
      <c r="B75" s="3"/>
      <c r="C75" s="10" t="s">
        <v>75</v>
      </c>
      <c r="D75" s="65">
        <f>'EAST-CON-FLSH'!L75</f>
        <v>0</v>
      </c>
      <c r="E75" s="66">
        <f>'EAST-CON-FLSH'!M75</f>
        <v>17993</v>
      </c>
      <c r="F75" s="60">
        <f>'EAST-CON-GL '!D75</f>
        <v>0</v>
      </c>
      <c r="G75" s="38">
        <f>'EAST-CON-GL '!E75</f>
        <v>59000</v>
      </c>
      <c r="H75" s="60">
        <f t="shared" si="14"/>
        <v>0</v>
      </c>
      <c r="I75" s="38">
        <f t="shared" si="14"/>
        <v>41007</v>
      </c>
    </row>
    <row r="76" spans="1:9" x14ac:dyDescent="0.2">
      <c r="A76" s="9">
        <v>35</v>
      </c>
      <c r="B76" s="3"/>
      <c r="C76" s="10" t="s">
        <v>76</v>
      </c>
      <c r="D76" s="65">
        <f>'EAST-CON-FLSH'!L76</f>
        <v>0</v>
      </c>
      <c r="E76" s="66">
        <f>'EAST-CON-FLSH'!M76</f>
        <v>-19109</v>
      </c>
      <c r="F76" s="60">
        <f>'EAST-CON-GL '!D76</f>
        <v>0</v>
      </c>
      <c r="G76" s="38">
        <f>'EAST-CON-GL '!E76</f>
        <v>-259215.52</v>
      </c>
      <c r="H76" s="60">
        <f t="shared" si="14"/>
        <v>0</v>
      </c>
      <c r="I76" s="38">
        <f t="shared" si="14"/>
        <v>-240106.52</v>
      </c>
    </row>
    <row r="77" spans="1:9" x14ac:dyDescent="0.2">
      <c r="A77" s="9">
        <v>36</v>
      </c>
      <c r="B77" s="3"/>
      <c r="C77" s="10" t="s">
        <v>77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-2897000</v>
      </c>
    </row>
    <row r="78" spans="1:9" x14ac:dyDescent="0.2">
      <c r="A78" s="9">
        <v>37</v>
      </c>
      <c r="B78" s="3"/>
      <c r="C78" s="10" t="s">
        <v>78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79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224706</v>
      </c>
      <c r="H79" s="60">
        <f t="shared" si="14"/>
        <v>0</v>
      </c>
      <c r="I79" s="38">
        <f t="shared" si="14"/>
        <v>224706</v>
      </c>
    </row>
    <row r="80" spans="1:9" x14ac:dyDescent="0.2">
      <c r="A80" s="9">
        <v>39</v>
      </c>
      <c r="B80" s="3"/>
      <c r="C80" s="10" t="s">
        <v>80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'EAST-CON-FLSH'!L81</f>
        <v>0</v>
      </c>
      <c r="E81" s="66">
        <f>'EAST-CON-FLSH'!M81</f>
        <v>-2667035</v>
      </c>
      <c r="F81" s="60">
        <f>'EAST-CON-GL '!D81</f>
        <v>1116361</v>
      </c>
      <c r="G81" s="38">
        <f>'EAST-CON-GL '!E81</f>
        <v>789835.96</v>
      </c>
      <c r="H81" s="60">
        <f>F81-D81</f>
        <v>1116361</v>
      </c>
      <c r="I81" s="38">
        <f>G81-E81</f>
        <v>3456870.96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-2107173.4978267765</v>
      </c>
      <c r="F82" s="111">
        <f>F16+F24+F29+F36+F43+F45+F47+F49</f>
        <v>2250</v>
      </c>
      <c r="G82" s="112">
        <f>SUM(G72:G81)+G16+G24+G29+G36+G43+G45+G47+G49+G51+G56+G61+G66</f>
        <v>-4563647.3039999977</v>
      </c>
      <c r="H82" s="111">
        <f>H16+H24+H29+H36+H43+H45+H47+H49</f>
        <v>2250</v>
      </c>
      <c r="I82" s="112">
        <f>SUM(I72:I81)+I16+I24+I29+I36+I43+I45+I47+I49+I51+I56+I61+I66</f>
        <v>-2456473.8061732138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173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177</v>
      </c>
      <c r="D86" s="175">
        <f>'EAST-CON-FLSH'!L86</f>
        <v>0</v>
      </c>
      <c r="E86" s="175">
        <f>'EAST-CON-FLSH'!M86</f>
        <v>219364</v>
      </c>
      <c r="F86" s="175">
        <f>'EAST-CON-GL '!D86</f>
        <v>0</v>
      </c>
      <c r="G86" s="175">
        <f>'EAST-CON-GL '!E86</f>
        <v>229124</v>
      </c>
      <c r="H86" s="175">
        <f t="shared" ref="H86:I88" si="15">F86-D86</f>
        <v>0</v>
      </c>
      <c r="I86" s="175">
        <f t="shared" si="15"/>
        <v>9760</v>
      </c>
    </row>
    <row r="87" spans="1:63" x14ac:dyDescent="0.2">
      <c r="A87" s="174"/>
      <c r="B87" s="3"/>
      <c r="C87" s="10" t="s">
        <v>74</v>
      </c>
      <c r="D87" s="176">
        <f>'EAST-CON-FLSH'!L87</f>
        <v>0</v>
      </c>
      <c r="E87" s="176">
        <f>'EAST-CON-FLSH'!M87</f>
        <v>0</v>
      </c>
      <c r="F87" s="176">
        <f>'EAST-CON-GL '!D87</f>
        <v>0</v>
      </c>
      <c r="G87" s="176">
        <f>'EAST-CON-GL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75</v>
      </c>
      <c r="D88" s="177">
        <f>'EAST-CON-FLSH'!L88</f>
        <v>0</v>
      </c>
      <c r="E88" s="177">
        <f>'EAST-CON-FLSH'!M88</f>
        <v>0</v>
      </c>
      <c r="F88" s="177">
        <f>'EAST-CON-GL '!D88</f>
        <v>0</v>
      </c>
      <c r="G88" s="177">
        <f>'EAST-CON-GL '!E88</f>
        <v>-9800</v>
      </c>
      <c r="H88" s="177">
        <f t="shared" si="15"/>
        <v>0</v>
      </c>
      <c r="I88" s="177">
        <f t="shared" si="15"/>
        <v>-9800</v>
      </c>
    </row>
    <row r="89" spans="1:63" ht="15" x14ac:dyDescent="0.2">
      <c r="A89" s="181"/>
      <c r="B89" s="182"/>
      <c r="C89" s="187" t="s">
        <v>180</v>
      </c>
      <c r="D89" s="185">
        <f t="shared" ref="D89:I89" si="16">SUM(D86:D88)</f>
        <v>0</v>
      </c>
      <c r="E89" s="185">
        <f t="shared" si="16"/>
        <v>219364</v>
      </c>
      <c r="F89" s="185">
        <f t="shared" si="16"/>
        <v>0</v>
      </c>
      <c r="G89" s="185">
        <f t="shared" si="16"/>
        <v>219324</v>
      </c>
      <c r="H89" s="185">
        <f t="shared" si="16"/>
        <v>0</v>
      </c>
      <c r="I89" s="185">
        <f t="shared" si="16"/>
        <v>-40</v>
      </c>
    </row>
    <row r="90" spans="1:63" x14ac:dyDescent="0.2">
      <c r="A90" s="4"/>
      <c r="B90" s="3"/>
      <c r="F90" s="31"/>
      <c r="G90" s="31"/>
      <c r="H90" s="31"/>
      <c r="I90" s="31"/>
    </row>
    <row r="91" spans="1:63" s="145" customFormat="1" x14ac:dyDescent="0.2">
      <c r="A91" s="188"/>
      <c r="B91" s="189"/>
      <c r="C91" s="187" t="s">
        <v>183</v>
      </c>
      <c r="D91" s="190">
        <f t="shared" ref="D91:I91" si="17">+D82+D89</f>
        <v>0</v>
      </c>
      <c r="E91" s="190">
        <f t="shared" si="17"/>
        <v>-1887809.4978267765</v>
      </c>
      <c r="F91" s="190">
        <f t="shared" si="17"/>
        <v>2250</v>
      </c>
      <c r="G91" s="190">
        <f t="shared" si="17"/>
        <v>-4344323.3039999977</v>
      </c>
      <c r="H91" s="190">
        <f t="shared" si="17"/>
        <v>2250</v>
      </c>
      <c r="I91" s="190">
        <f t="shared" si="17"/>
        <v>-2456513.8061732138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4"/>
      <c r="B94" s="195"/>
      <c r="D94" s="31"/>
      <c r="E94" s="14">
        <f>+'EAST-EGM-VAR'!E91+'EAST-LRC-VAR'!E82</f>
        <v>-1887809.4978267881</v>
      </c>
      <c r="G94" s="14">
        <f>+'EAST-EGM-VAR'!G91+'EAST-LRC-VAR'!G82</f>
        <v>-4344323.3239999935</v>
      </c>
      <c r="I94" s="14">
        <f>+'EAST-EGM-VAR'!I91+'EAST-LRC-VAR'!I82</f>
        <v>-2456513.8261731686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29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30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31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29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31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43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50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75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'TX-EGM-FLSH'!L11</f>
        <v>48318940</v>
      </c>
      <c r="E11" s="66">
        <f>'TX-EGM-FLSH'!M11</f>
        <v>108156193.66999999</v>
      </c>
      <c r="F11" s="60">
        <f>'TX-EGM-GL'!D11</f>
        <v>47942909</v>
      </c>
      <c r="G11" s="38">
        <f>'TX-EGM-GL'!E11</f>
        <v>104524477.68000001</v>
      </c>
      <c r="H11" s="60">
        <f>F11-D11</f>
        <v>-376031</v>
      </c>
      <c r="I11" s="38">
        <f>G11-E11</f>
        <v>-3631715.9899999797</v>
      </c>
    </row>
    <row r="12" spans="1:22" x14ac:dyDescent="0.2">
      <c r="A12" s="9">
        <v>2</v>
      </c>
      <c r="B12" s="7"/>
      <c r="C12" s="18" t="s">
        <v>29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-3223285.24</v>
      </c>
      <c r="H12" s="60">
        <f>F12-D12</f>
        <v>0</v>
      </c>
      <c r="I12" s="38">
        <f>G12-E12</f>
        <v>-3223285.24</v>
      </c>
    </row>
    <row r="13" spans="1:22" x14ac:dyDescent="0.2">
      <c r="A13" s="9">
        <v>3</v>
      </c>
      <c r="B13" s="7"/>
      <c r="C13" s="18" t="s">
        <v>30</v>
      </c>
      <c r="D13" s="65">
        <f>'TX-EGM-FLSH'!L13</f>
        <v>0</v>
      </c>
      <c r="E13" s="66">
        <f>'TX-EGM-FLSH'!M13</f>
        <v>0</v>
      </c>
      <c r="F13" s="60">
        <f>'TX-EGM-GL'!D13</f>
        <v>28708483</v>
      </c>
      <c r="G13" s="38">
        <f>'TX-EGM-GL'!E13</f>
        <v>65345130</v>
      </c>
      <c r="H13" s="60">
        <f t="shared" ref="H13:I15" si="0">F13-D13</f>
        <v>28708483</v>
      </c>
      <c r="I13" s="38">
        <f t="shared" si="0"/>
        <v>65345130</v>
      </c>
    </row>
    <row r="14" spans="1:22" x14ac:dyDescent="0.2">
      <c r="A14" s="9">
        <v>4</v>
      </c>
      <c r="B14" s="7"/>
      <c r="C14" s="18" t="s">
        <v>31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48318940</v>
      </c>
      <c r="E16" s="39">
        <f t="shared" si="1"/>
        <v>108156193.66999999</v>
      </c>
      <c r="F16" s="61">
        <f t="shared" si="1"/>
        <v>76651392</v>
      </c>
      <c r="G16" s="39">
        <f t="shared" si="1"/>
        <v>166646322.44</v>
      </c>
      <c r="H16" s="61">
        <f t="shared" si="1"/>
        <v>28332452</v>
      </c>
      <c r="I16" s="39">
        <f t="shared" si="1"/>
        <v>58490128.770000018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'TX-EGM-FLSH'!L19</f>
        <v>-47849624</v>
      </c>
      <c r="E19" s="66">
        <f>'TX-EGM-FLSH'!M19</f>
        <v>-105545250.86999999</v>
      </c>
      <c r="F19" s="60">
        <f>'TX-EGM-GL'!D19</f>
        <v>-33281285</v>
      </c>
      <c r="G19" s="38">
        <f>'TX-EGM-GL'!E19</f>
        <v>-72447312.490000024</v>
      </c>
      <c r="H19" s="60">
        <f>F19-D19</f>
        <v>14568339</v>
      </c>
      <c r="I19" s="38">
        <f>G19-E19</f>
        <v>33097938.379999965</v>
      </c>
    </row>
    <row r="20" spans="1:9" x14ac:dyDescent="0.2">
      <c r="A20" s="9">
        <v>7</v>
      </c>
      <c r="B20" s="7"/>
      <c r="C20" s="18" t="s">
        <v>29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5455023.3499999996</v>
      </c>
      <c r="H20" s="60">
        <f>F20-D20</f>
        <v>0</v>
      </c>
      <c r="I20" s="38">
        <f>G20-E20</f>
        <v>5455023.3499999996</v>
      </c>
    </row>
    <row r="21" spans="1:9" x14ac:dyDescent="0.2">
      <c r="A21" s="9">
        <v>8</v>
      </c>
      <c r="B21" s="7"/>
      <c r="C21" s="18" t="s">
        <v>30</v>
      </c>
      <c r="D21" s="65">
        <f>'TX-EGM-FLSH'!L21</f>
        <v>-1728732</v>
      </c>
      <c r="E21" s="66">
        <f>'TX-EGM-FLSH'!M21</f>
        <v>-3845421.13</v>
      </c>
      <c r="F21" s="60">
        <f>'TX-EGM-GL'!D21</f>
        <v>-30437214</v>
      </c>
      <c r="G21" s="38">
        <f>'TX-EGM-GL'!E21</f>
        <v>-69190550</v>
      </c>
      <c r="H21" s="60">
        <f t="shared" ref="H21:I23" si="2">F21-D21</f>
        <v>-28708482</v>
      </c>
      <c r="I21" s="38">
        <f t="shared" si="2"/>
        <v>-65345128.869999997</v>
      </c>
    </row>
    <row r="22" spans="1:9" x14ac:dyDescent="0.2">
      <c r="A22" s="9">
        <v>9</v>
      </c>
      <c r="B22" s="7"/>
      <c r="C22" s="18" t="s">
        <v>31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'TX-EGM-FLSH'!L23</f>
        <v>15826</v>
      </c>
      <c r="E23" s="66">
        <f>'TX-EGM-FLSH'!M23</f>
        <v>35650.74</v>
      </c>
      <c r="F23" s="60">
        <f>'TX-EGM-GL'!D23</f>
        <v>2980</v>
      </c>
      <c r="G23" s="38">
        <f>'TX-EGM-GL'!E23</f>
        <v>6499.38</v>
      </c>
      <c r="H23" s="60">
        <f t="shared" si="2"/>
        <v>-12846</v>
      </c>
      <c r="I23" s="38">
        <f t="shared" si="2"/>
        <v>-29151.359999999997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-49562530</v>
      </c>
      <c r="E24" s="39">
        <f t="shared" si="3"/>
        <v>-109355021.25999999</v>
      </c>
      <c r="F24" s="61">
        <f t="shared" si="3"/>
        <v>-63715519</v>
      </c>
      <c r="G24" s="39">
        <f t="shared" si="3"/>
        <v>-136176339.76000002</v>
      </c>
      <c r="H24" s="61">
        <f t="shared" si="3"/>
        <v>-14152989</v>
      </c>
      <c r="I24" s="39">
        <f t="shared" si="3"/>
        <v>-26821318.50000003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'TX-EGM-FLSH'!L27</f>
        <v>28708482</v>
      </c>
      <c r="E27" s="66">
        <f>'TX-EGM-FLSH'!M27</f>
        <v>65345122.939999998</v>
      </c>
      <c r="F27" s="60">
        <f>'TX-EGM-GL'!D27</f>
        <v>142846</v>
      </c>
      <c r="G27" s="38">
        <f>'TX-EGM-GL'!E27</f>
        <v>319974.40000000002</v>
      </c>
      <c r="H27" s="60">
        <f>F27-D27</f>
        <v>-28565636</v>
      </c>
      <c r="I27" s="38">
        <f>G27-E27</f>
        <v>-65025148.539999999</v>
      </c>
    </row>
    <row r="28" spans="1:9" x14ac:dyDescent="0.2">
      <c r="A28" s="9">
        <v>12</v>
      </c>
      <c r="B28" s="7"/>
      <c r="C28" s="18" t="s">
        <v>39</v>
      </c>
      <c r="D28" s="65">
        <f>'TX-EGM-FLSH'!L28</f>
        <v>-28733492</v>
      </c>
      <c r="E28" s="66">
        <f>'TX-EGM-FLSH'!M28</f>
        <v>-65401145.100000001</v>
      </c>
      <c r="F28" s="60">
        <f>'TX-EGM-GL'!D28</f>
        <v>-14777237</v>
      </c>
      <c r="G28" s="38">
        <f>'TX-EGM-GL'!E28</f>
        <v>-32972986.809999995</v>
      </c>
      <c r="H28" s="60">
        <f>F28-D28</f>
        <v>13956255</v>
      </c>
      <c r="I28" s="38">
        <f>G28-E28</f>
        <v>32428158.290000007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-25010</v>
      </c>
      <c r="E29" s="70">
        <f t="shared" si="4"/>
        <v>-56022.160000003874</v>
      </c>
      <c r="F29" s="69">
        <f t="shared" si="4"/>
        <v>-14634391</v>
      </c>
      <c r="G29" s="70">
        <f t="shared" si="4"/>
        <v>-32653012.409999996</v>
      </c>
      <c r="H29" s="69">
        <f t="shared" si="4"/>
        <v>-14609381</v>
      </c>
      <c r="I29" s="70">
        <f t="shared" si="4"/>
        <v>-32596990.249999993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'TX-EGM-FLSH'!L32</f>
        <v>0</v>
      </c>
      <c r="E32" s="66">
        <f>'TX-EGM-FLSH'!M32</f>
        <v>0</v>
      </c>
      <c r="F32" s="60">
        <f>'TX-EGM-GL'!D32</f>
        <v>-498612</v>
      </c>
      <c r="G32" s="38">
        <f>'TX-EGM-GL'!E32</f>
        <v>-1087473.0540000002</v>
      </c>
      <c r="H32" s="60">
        <f>F32-D32</f>
        <v>-498612</v>
      </c>
      <c r="I32" s="38">
        <f>G32-E32</f>
        <v>-1087473.0540000002</v>
      </c>
    </row>
    <row r="33" spans="1:9" x14ac:dyDescent="0.2">
      <c r="A33" s="9">
        <v>14</v>
      </c>
      <c r="B33" s="7"/>
      <c r="C33" s="18" t="s">
        <v>43</v>
      </c>
      <c r="D33" s="65">
        <f>'TX-EGM-FLSH'!L33</f>
        <v>87461</v>
      </c>
      <c r="E33" s="66">
        <f>'TX-EGM-FLSH'!M33</f>
        <v>158941.20053762317</v>
      </c>
      <c r="F33" s="60">
        <f>'TX-EGM-GL'!D33</f>
        <v>0</v>
      </c>
      <c r="G33" s="38">
        <f>'TX-EGM-GL'!E33</f>
        <v>0</v>
      </c>
      <c r="H33" s="60">
        <f t="shared" ref="H33:I35" si="5">F33-D33</f>
        <v>-87461</v>
      </c>
      <c r="I33" s="38">
        <f t="shared" si="5"/>
        <v>-158941.20053762317</v>
      </c>
    </row>
    <row r="34" spans="1:9" x14ac:dyDescent="0.2">
      <c r="A34" s="9">
        <v>15</v>
      </c>
      <c r="B34" s="7"/>
      <c r="C34" s="18" t="s">
        <v>44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87461</v>
      </c>
      <c r="E36" s="39">
        <f t="shared" si="6"/>
        <v>158941.20053762317</v>
      </c>
      <c r="F36" s="61">
        <f t="shared" si="6"/>
        <v>-498612</v>
      </c>
      <c r="G36" s="39">
        <f t="shared" si="6"/>
        <v>-1087473.0440000002</v>
      </c>
      <c r="H36" s="61">
        <f t="shared" si="6"/>
        <v>-586073</v>
      </c>
      <c r="I36" s="39">
        <f t="shared" si="6"/>
        <v>-1246414.2445376234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'TX-EGM-FLSH'!L39</f>
        <v>2109056</v>
      </c>
      <c r="E39" s="66">
        <f>'TX-EGM-FLSH'!M39</f>
        <v>4713318.3499999996</v>
      </c>
      <c r="F39" s="60">
        <f>'TX-EGM-GL'!D39</f>
        <v>1867848</v>
      </c>
      <c r="G39" s="38">
        <f>'TX-EGM-GL'!E39</f>
        <v>4453136.4200000009</v>
      </c>
      <c r="H39" s="60">
        <f t="shared" ref="H39:I41" si="7">F39-D39</f>
        <v>-241208</v>
      </c>
      <c r="I39" s="38">
        <f t="shared" si="7"/>
        <v>-260181.92999999877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'TX-EGM-FLSH'!L40</f>
        <v>-927917</v>
      </c>
      <c r="E40" s="66">
        <f>'TX-EGM-FLSH'!M40</f>
        <v>-2073864.9</v>
      </c>
      <c r="F40" s="60">
        <f>'TX-EGM-GL'!D40</f>
        <v>-31648</v>
      </c>
      <c r="G40" s="38">
        <f>'TX-EGM-GL'!E40</f>
        <v>-70575.040000000008</v>
      </c>
      <c r="H40" s="60">
        <f t="shared" si="7"/>
        <v>896269</v>
      </c>
      <c r="I40" s="38">
        <f t="shared" si="7"/>
        <v>2003289.8599999999</v>
      </c>
    </row>
    <row r="41" spans="1:9" x14ac:dyDescent="0.2">
      <c r="A41" s="9">
        <v>19</v>
      </c>
      <c r="B41" s="7"/>
      <c r="C41" s="18" t="s">
        <v>50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78532</v>
      </c>
      <c r="H41" s="60">
        <f t="shared" si="7"/>
        <v>0</v>
      </c>
      <c r="I41" s="38">
        <f t="shared" si="7"/>
        <v>78532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-927917</v>
      </c>
      <c r="E42" s="70">
        <f t="shared" si="8"/>
        <v>-2073864.9</v>
      </c>
      <c r="F42" s="69">
        <f t="shared" si="8"/>
        <v>-31648</v>
      </c>
      <c r="G42" s="70">
        <f t="shared" si="8"/>
        <v>7956.9599999999919</v>
      </c>
      <c r="H42" s="69">
        <f t="shared" si="8"/>
        <v>896269</v>
      </c>
      <c r="I42" s="70">
        <f t="shared" si="8"/>
        <v>2081821.8599999999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1181139</v>
      </c>
      <c r="E43" s="39">
        <f t="shared" si="9"/>
        <v>2639453.4499999997</v>
      </c>
      <c r="F43" s="61">
        <f t="shared" si="9"/>
        <v>1836200</v>
      </c>
      <c r="G43" s="39">
        <f t="shared" si="9"/>
        <v>4461093.3800000008</v>
      </c>
      <c r="H43" s="61">
        <f t="shared" si="9"/>
        <v>655061</v>
      </c>
      <c r="I43" s="39">
        <f t="shared" si="9"/>
        <v>1821639.9300000011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360930</v>
      </c>
      <c r="G49" s="38">
        <f>'TX-EGM-GL'!E49</f>
        <v>787188.32999999973</v>
      </c>
      <c r="H49" s="60">
        <f>F49-D49</f>
        <v>360930</v>
      </c>
      <c r="I49" s="38">
        <f>G49-E49</f>
        <v>787188.32999999973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'TX-EGM-FLSH'!L51</f>
        <v>-15826</v>
      </c>
      <c r="E51" s="66">
        <f>'TX-EGM-FLSH'!M51</f>
        <v>-25000</v>
      </c>
      <c r="F51" s="60">
        <f>'TX-EGM-GL'!D51</f>
        <v>-2980</v>
      </c>
      <c r="G51" s="38">
        <f>'TX-EGM-GL'!E51</f>
        <v>-6499.38</v>
      </c>
      <c r="H51" s="60">
        <f>F51-D51</f>
        <v>12846</v>
      </c>
      <c r="I51" s="38">
        <f>G51-E51</f>
        <v>18500.62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'TX-EGM-FLSH'!L54</f>
        <v>0</v>
      </c>
      <c r="E54" s="66">
        <f>'TX-EGM-FLSH'!M54</f>
        <v>-977752.72</v>
      </c>
      <c r="F54" s="60">
        <f>'TX-EGM-GL'!D54</f>
        <v>-7066206</v>
      </c>
      <c r="G54" s="38">
        <f>'TX-EGM-GL'!E54</f>
        <v>-391344.77</v>
      </c>
      <c r="H54" s="60">
        <f>F54-D54</f>
        <v>-7066206</v>
      </c>
      <c r="I54" s="38">
        <f>G54-E54</f>
        <v>586407.94999999995</v>
      </c>
    </row>
    <row r="55" spans="1:9" x14ac:dyDescent="0.2">
      <c r="A55" s="9">
        <v>25</v>
      </c>
      <c r="B55" s="7"/>
      <c r="C55" s="18" t="s">
        <v>59</v>
      </c>
      <c r="D55" s="65">
        <f>'TX-EGM-FLSH'!L55</f>
        <v>0</v>
      </c>
      <c r="E55" s="66">
        <f>'TX-EGM-FLSH'!M55</f>
        <v>-15000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-992752.72</v>
      </c>
      <c r="F56" s="61">
        <f t="shared" si="10"/>
        <v>-7066206</v>
      </c>
      <c r="G56" s="39">
        <f t="shared" si="10"/>
        <v>-391344.77</v>
      </c>
      <c r="H56" s="61">
        <f t="shared" si="10"/>
        <v>-7066206</v>
      </c>
      <c r="I56" s="39">
        <f t="shared" si="10"/>
        <v>601407.94999999995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40780.620000000003</v>
      </c>
      <c r="H59" s="60">
        <f>F59-D59</f>
        <v>0</v>
      </c>
      <c r="I59" s="38">
        <f>G59-E59</f>
        <v>40780.620000000003</v>
      </c>
    </row>
    <row r="60" spans="1:9" x14ac:dyDescent="0.2">
      <c r="A60" s="9">
        <v>27</v>
      </c>
      <c r="B60" s="11"/>
      <c r="C60" s="18" t="s">
        <v>63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40780.620000000003</v>
      </c>
      <c r="H61" s="69">
        <f t="shared" si="11"/>
        <v>0</v>
      </c>
      <c r="I61" s="70">
        <f t="shared" si="11"/>
        <v>40780.620000000003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'TX-EGM-FLSH'!L64</f>
        <v>0</v>
      </c>
      <c r="E64" s="66">
        <f>'TX-EGM-FLSH'!M64</f>
        <v>0</v>
      </c>
      <c r="F64" s="60">
        <f>'TX-EGM-GL'!D64</f>
        <v>-44769270</v>
      </c>
      <c r="G64" s="38">
        <f>'TX-EGM-GL'!E64</f>
        <v>-1118730.96</v>
      </c>
      <c r="H64" s="60">
        <f>F64-D64</f>
        <v>-44769270</v>
      </c>
      <c r="I64" s="38">
        <f>G64-E64</f>
        <v>-1118730.96</v>
      </c>
    </row>
    <row r="65" spans="1:9" x14ac:dyDescent="0.2">
      <c r="A65" s="9">
        <v>29</v>
      </c>
      <c r="B65" s="11"/>
      <c r="C65" s="18" t="s">
        <v>66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1115981</v>
      </c>
      <c r="H65" s="60">
        <f>F65-D65</f>
        <v>0</v>
      </c>
      <c r="I65" s="38">
        <f>G65-E65</f>
        <v>1115981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-44769270</v>
      </c>
      <c r="G66" s="39">
        <f t="shared" si="12"/>
        <v>-2749.9599999999627</v>
      </c>
      <c r="H66" s="61">
        <f t="shared" si="12"/>
        <v>-44769270</v>
      </c>
      <c r="I66" s="39">
        <f t="shared" si="12"/>
        <v>-2749.9599999999627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'TX-EGM-FLSH'!L70</f>
        <v>0</v>
      </c>
      <c r="E70" s="66">
        <f>'TX-EGM-FLSH'!M70</f>
        <v>722248.91</v>
      </c>
      <c r="F70" s="60">
        <f>'TX-EGM-GL'!D70</f>
        <v>0</v>
      </c>
      <c r="G70" s="38">
        <f>'TX-EGM-GL'!E70</f>
        <v>722248.91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'TX-EGM-FLSH'!L71</f>
        <v>0</v>
      </c>
      <c r="E71" s="66">
        <f>'TX-EGM-FLSH'!M71</f>
        <v>-250999</v>
      </c>
      <c r="F71" s="60">
        <f>'TX-EGM-GL'!D71</f>
        <v>0</v>
      </c>
      <c r="G71" s="38">
        <f>'TX-EGM-GL'!E71</f>
        <v>-250999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471249.91000000003</v>
      </c>
      <c r="F72" s="69">
        <f t="shared" si="13"/>
        <v>0</v>
      </c>
      <c r="G72" s="70">
        <f t="shared" si="13"/>
        <v>471249.91000000003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'TX-EGM-FLSH'!L74</f>
        <v>0</v>
      </c>
      <c r="E74" s="66">
        <f>'TX-EGM-FLSH'!M74</f>
        <v>740576.15</v>
      </c>
      <c r="F74" s="60">
        <f>'TX-EGM-GL'!D74</f>
        <v>0</v>
      </c>
      <c r="G74" s="38">
        <f>'TX-EGM-GL'!E74</f>
        <v>787615</v>
      </c>
      <c r="H74" s="60">
        <f t="shared" ref="H74:I79" si="14">F74-D74</f>
        <v>0</v>
      </c>
      <c r="I74" s="38">
        <f t="shared" si="14"/>
        <v>47038.849999999977</v>
      </c>
    </row>
    <row r="75" spans="1:9" x14ac:dyDescent="0.2">
      <c r="A75" s="9">
        <v>34</v>
      </c>
      <c r="B75" s="3"/>
      <c r="C75" s="10" t="s">
        <v>75</v>
      </c>
      <c r="D75" s="65">
        <f>'TX-EGM-FLSH'!L75</f>
        <v>0</v>
      </c>
      <c r="E75" s="66">
        <f>'TX-EGM-FLSH'!M75</f>
        <v>126894</v>
      </c>
      <c r="F75" s="60">
        <f>'TX-EGM-GL'!D75</f>
        <v>0</v>
      </c>
      <c r="G75" s="38">
        <f>'TX-EGM-GL'!E75</f>
        <v>126900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76</v>
      </c>
      <c r="D76" s="65">
        <f>'TX-EGM-FLSH'!L76</f>
        <v>0</v>
      </c>
      <c r="E76" s="66">
        <f>'TX-EGM-FLSH'!M76</f>
        <v>-22536</v>
      </c>
      <c r="F76" s="60">
        <f>'TX-EGM-GL'!D76</f>
        <v>0</v>
      </c>
      <c r="G76" s="38">
        <f>'TX-EGM-GL'!E76</f>
        <v>-247584</v>
      </c>
      <c r="H76" s="60">
        <f t="shared" si="14"/>
        <v>0</v>
      </c>
      <c r="I76" s="38">
        <f t="shared" si="14"/>
        <v>-225048</v>
      </c>
    </row>
    <row r="77" spans="1:9" x14ac:dyDescent="0.2">
      <c r="A77" s="9">
        <v>36</v>
      </c>
      <c r="B77" s="3"/>
      <c r="C77" s="10" t="s">
        <v>77</v>
      </c>
      <c r="D77" s="65">
        <f>'TX-EGM-FLSH'!L77</f>
        <v>0</v>
      </c>
      <c r="E77" s="66">
        <f>'TX-EGM-FLSH'!M77</f>
        <v>-103300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103300</v>
      </c>
    </row>
    <row r="78" spans="1:9" x14ac:dyDescent="0.2">
      <c r="A78" s="9">
        <v>37</v>
      </c>
      <c r="B78" s="3"/>
      <c r="C78" s="10" t="s">
        <v>78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'TX-EGM-FLSH'!L81</f>
        <v>0</v>
      </c>
      <c r="E81" s="66">
        <f>'TX-EGM-FLSH'!M81</f>
        <v>166908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-166908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1905584.2405376181</v>
      </c>
      <c r="F82" s="111">
        <f>F16+F24+F29+F36+F43+F45+F47+F49</f>
        <v>0</v>
      </c>
      <c r="G82" s="112">
        <f>SUM(G72:G81)+G16+G24+G29+G36+G43+G45+G47+G49+G51+G56+G61+G66</f>
        <v>2756146.3559999778</v>
      </c>
      <c r="H82" s="111">
        <f>H16+H24+H29+H36+H43+H45+H47+H49</f>
        <v>0</v>
      </c>
      <c r="I82" s="112">
        <f>SUM(I72:I81)+I16+I24+I29+I36+I43+I45+I47+I49+I51+I56+I61+I66</f>
        <v>850562.11546237452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173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177</v>
      </c>
      <c r="D86" s="175">
        <f>'TX-EGM-FLSH'!L86</f>
        <v>0</v>
      </c>
      <c r="E86" s="175">
        <f>'TX-EGM-FLSH'!M86</f>
        <v>114066</v>
      </c>
      <c r="F86" s="175">
        <f>'TX-EGM-GL'!D86</f>
        <v>0</v>
      </c>
      <c r="G86" s="175">
        <f>'TX-EGM-GL'!E86</f>
        <v>5825473</v>
      </c>
      <c r="H86" s="175">
        <f t="shared" ref="H86:I88" si="15">F86-D86</f>
        <v>0</v>
      </c>
      <c r="I86" s="175">
        <f t="shared" si="15"/>
        <v>5711407</v>
      </c>
    </row>
    <row r="87" spans="1:63" x14ac:dyDescent="0.2">
      <c r="A87" s="174"/>
      <c r="B87" s="3"/>
      <c r="C87" s="10" t="s">
        <v>74</v>
      </c>
      <c r="D87" s="176">
        <f>'TX-EGM-FLSH'!L87</f>
        <v>0</v>
      </c>
      <c r="E87" s="176">
        <f>'TX-EGM-FLSH'!M87</f>
        <v>0</v>
      </c>
      <c r="F87" s="176">
        <f>'TX-EGM-GL'!D87</f>
        <v>0</v>
      </c>
      <c r="G87" s="176">
        <f>'TX-EGM-GL'!E87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75</v>
      </c>
      <c r="D88" s="177">
        <f>'TX-EGM-FLSH'!L88</f>
        <v>0</v>
      </c>
      <c r="E88" s="177">
        <f>'TX-EGM-FLSH'!M88</f>
        <v>-113464</v>
      </c>
      <c r="F88" s="177">
        <f>'TX-EGM-GL'!D88</f>
        <v>0</v>
      </c>
      <c r="G88" s="177">
        <f>'TX-EGM-GL'!E88</f>
        <v>-5830400</v>
      </c>
      <c r="H88" s="177">
        <f t="shared" si="15"/>
        <v>0</v>
      </c>
      <c r="I88" s="177">
        <f t="shared" si="15"/>
        <v>-5716936</v>
      </c>
    </row>
    <row r="89" spans="1:63" s="145" customFormat="1" x14ac:dyDescent="0.2">
      <c r="A89" s="188"/>
      <c r="B89" s="189"/>
      <c r="C89" s="187" t="s">
        <v>180</v>
      </c>
      <c r="D89" s="190">
        <f t="shared" ref="D89:I89" si="16">SUM(D86:D88)</f>
        <v>0</v>
      </c>
      <c r="E89" s="190">
        <f t="shared" si="16"/>
        <v>602</v>
      </c>
      <c r="F89" s="190">
        <f t="shared" si="16"/>
        <v>0</v>
      </c>
      <c r="G89" s="190">
        <f t="shared" si="16"/>
        <v>-4927</v>
      </c>
      <c r="H89" s="190">
        <f t="shared" si="16"/>
        <v>0</v>
      </c>
      <c r="I89" s="190">
        <f t="shared" si="16"/>
        <v>-5529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183</v>
      </c>
      <c r="D91" s="190">
        <f t="shared" ref="D91:I91" si="17">+D82+D89</f>
        <v>0</v>
      </c>
      <c r="E91" s="190">
        <f t="shared" si="17"/>
        <v>1906186.2405376181</v>
      </c>
      <c r="F91" s="190">
        <f t="shared" si="17"/>
        <v>0</v>
      </c>
      <c r="G91" s="190">
        <f t="shared" si="17"/>
        <v>2751219.3559999778</v>
      </c>
      <c r="H91" s="190">
        <f t="shared" si="17"/>
        <v>0</v>
      </c>
      <c r="I91" s="190">
        <f t="shared" si="17"/>
        <v>845033.11546237452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'TX-HPL-FLSH'!L11</f>
        <v>1071329</v>
      </c>
      <c r="E11" s="66">
        <f>'TX-HPL-FLSH'!M11</f>
        <v>2372467.3300000131</v>
      </c>
      <c r="F11" s="60">
        <f>'TX-HPL-GL '!D11</f>
        <v>962126</v>
      </c>
      <c r="G11" s="38">
        <f>'TX-HPL-GL '!E11</f>
        <v>2104875.1900000004</v>
      </c>
      <c r="H11" s="60">
        <f>F11-D11</f>
        <v>-109203</v>
      </c>
      <c r="I11" s="38">
        <f>G11-E11</f>
        <v>-267592.1400000127</v>
      </c>
    </row>
    <row r="12" spans="1:22" x14ac:dyDescent="0.2">
      <c r="A12" s="9">
        <v>2</v>
      </c>
      <c r="B12" s="7"/>
      <c r="C12" s="18" t="s">
        <v>29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-8636.77</v>
      </c>
      <c r="H12" s="60">
        <f>F12-D12</f>
        <v>0</v>
      </c>
      <c r="I12" s="38">
        <f>G12-E12</f>
        <v>-8636.77</v>
      </c>
    </row>
    <row r="13" spans="1:22" x14ac:dyDescent="0.2">
      <c r="A13" s="9">
        <v>3</v>
      </c>
      <c r="B13" s="7"/>
      <c r="C13" s="18" t="s">
        <v>30</v>
      </c>
      <c r="D13" s="65">
        <f>'TX-HPL-FLSH'!L13</f>
        <v>0</v>
      </c>
      <c r="E13" s="66">
        <f>'TX-HPL-FLSH'!M13</f>
        <v>0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31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1071329</v>
      </c>
      <c r="E16" s="39">
        <f t="shared" si="1"/>
        <v>2372467.3300000131</v>
      </c>
      <c r="F16" s="61">
        <f t="shared" si="1"/>
        <v>962126</v>
      </c>
      <c r="G16" s="39">
        <f t="shared" si="1"/>
        <v>2096238.4200000004</v>
      </c>
      <c r="H16" s="61">
        <f t="shared" si="1"/>
        <v>-109203</v>
      </c>
      <c r="I16" s="39">
        <f t="shared" si="1"/>
        <v>-276228.91000001272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'TX-HPL-FLSH'!L19</f>
        <v>-1143041</v>
      </c>
      <c r="E19" s="66">
        <f>'TX-HPL-FLSH'!M19</f>
        <v>-2493269.1300000101</v>
      </c>
      <c r="F19" s="60">
        <f>'TX-HPL-GL '!D19</f>
        <v>-1065864</v>
      </c>
      <c r="G19" s="38">
        <f>'TX-HPL-GL '!E19</f>
        <v>-2287666.0299999998</v>
      </c>
      <c r="H19" s="60">
        <f>F19-D19</f>
        <v>77177</v>
      </c>
      <c r="I19" s="38">
        <f>G19-E19</f>
        <v>205603.10000001034</v>
      </c>
    </row>
    <row r="20" spans="1:9" x14ac:dyDescent="0.2">
      <c r="A20" s="9">
        <v>7</v>
      </c>
      <c r="B20" s="7"/>
      <c r="C20" s="18" t="s">
        <v>29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-10002.44</v>
      </c>
      <c r="H20" s="60">
        <f>F20-D20</f>
        <v>0</v>
      </c>
      <c r="I20" s="38">
        <f>G20-E20</f>
        <v>-10002.44</v>
      </c>
    </row>
    <row r="21" spans="1:9" x14ac:dyDescent="0.2">
      <c r="A21" s="9">
        <v>8</v>
      </c>
      <c r="B21" s="7"/>
      <c r="C21" s="18" t="s">
        <v>30</v>
      </c>
      <c r="D21" s="65">
        <f>'TX-HPL-FLSH'!L21</f>
        <v>0</v>
      </c>
      <c r="E21" s="66">
        <f>'TX-HPL-FLSH'!M21</f>
        <v>1.1299999998882413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-1.1299999998882413</v>
      </c>
    </row>
    <row r="22" spans="1:9" x14ac:dyDescent="0.2">
      <c r="A22" s="9">
        <v>9</v>
      </c>
      <c r="B22" s="7"/>
      <c r="C22" s="18" t="s">
        <v>31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'TX-HPL-FLSH'!L23</f>
        <v>0</v>
      </c>
      <c r="E23" s="66">
        <f>'TX-HPL-FLSH'!M23</f>
        <v>-1.7399999999979627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1.7399999999979627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-1143041</v>
      </c>
      <c r="E24" s="39">
        <f t="shared" si="3"/>
        <v>-2493269.7400000105</v>
      </c>
      <c r="F24" s="61">
        <f t="shared" si="3"/>
        <v>-1065864</v>
      </c>
      <c r="G24" s="39">
        <f t="shared" si="3"/>
        <v>-2297668.4699999997</v>
      </c>
      <c r="H24" s="61">
        <f t="shared" si="3"/>
        <v>77177</v>
      </c>
      <c r="I24" s="39">
        <f t="shared" si="3"/>
        <v>195601.27000001044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'TX-HPL-FLSH'!L27</f>
        <v>25010</v>
      </c>
      <c r="E27" s="66">
        <f>'TX-HPL-FLSH'!M27</f>
        <v>56029.060000002384</v>
      </c>
      <c r="F27" s="60">
        <f>'TX-HPL-GL '!D27</f>
        <v>110708</v>
      </c>
      <c r="G27" s="38">
        <f>'TX-HPL-GL '!E27</f>
        <v>239524.14950000003</v>
      </c>
      <c r="H27" s="60">
        <f>F27-D27</f>
        <v>85698</v>
      </c>
      <c r="I27" s="38">
        <f>G27-E27</f>
        <v>183495.08949999764</v>
      </c>
    </row>
    <row r="28" spans="1:9" x14ac:dyDescent="0.2">
      <c r="A28" s="9">
        <v>12</v>
      </c>
      <c r="B28" s="7"/>
      <c r="C28" s="18" t="s">
        <v>39</v>
      </c>
      <c r="D28" s="65">
        <f>'TX-HPL-FLSH'!L28</f>
        <v>0</v>
      </c>
      <c r="E28" s="66">
        <f>'TX-HPL-FLSH'!M28</f>
        <v>-6.8999999985098839</v>
      </c>
      <c r="F28" s="60">
        <f>'TX-HPL-GL '!D28</f>
        <v>-6990</v>
      </c>
      <c r="G28" s="38">
        <f>'TX-HPL-GL '!E28</f>
        <v>-15862.28</v>
      </c>
      <c r="H28" s="60">
        <f>F28-D28</f>
        <v>-6990</v>
      </c>
      <c r="I28" s="38">
        <f>G28-E28</f>
        <v>-15855.380000001491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25010</v>
      </c>
      <c r="E29" s="70">
        <f t="shared" si="4"/>
        <v>56022.160000003874</v>
      </c>
      <c r="F29" s="69">
        <f t="shared" si="4"/>
        <v>103718</v>
      </c>
      <c r="G29" s="70">
        <f t="shared" si="4"/>
        <v>223661.86950000003</v>
      </c>
      <c r="H29" s="69">
        <f t="shared" si="4"/>
        <v>78708</v>
      </c>
      <c r="I29" s="70">
        <f t="shared" si="4"/>
        <v>167639.70949999616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'TX-HPL-FLSH'!L32</f>
        <v>0</v>
      </c>
      <c r="E32" s="66">
        <f>'TX-HPL-FLSH'!M32</f>
        <v>0</v>
      </c>
      <c r="F32" s="60">
        <f>'TX-HPL-GL '!D32</f>
        <v>20</v>
      </c>
      <c r="G32" s="38">
        <f>'TX-HPL-GL '!E32</f>
        <v>43.62</v>
      </c>
      <c r="H32" s="60">
        <f>F32-D32</f>
        <v>20</v>
      </c>
      <c r="I32" s="38">
        <f>G32-E32</f>
        <v>43.62</v>
      </c>
    </row>
    <row r="33" spans="1:9" x14ac:dyDescent="0.2">
      <c r="A33" s="9">
        <v>14</v>
      </c>
      <c r="B33" s="7"/>
      <c r="C33" s="18" t="s">
        <v>43</v>
      </c>
      <c r="D33" s="65">
        <f>'TX-HPL-FLSH'!L33</f>
        <v>46702</v>
      </c>
      <c r="E33" s="66">
        <f>'TX-HPL-FLSH'!M33</f>
        <v>133722.13958130774</v>
      </c>
      <c r="F33" s="60">
        <f>'TX-HPL-GL '!D33</f>
        <v>0</v>
      </c>
      <c r="G33" s="38">
        <f>'TX-HPL-GL '!E33</f>
        <v>0</v>
      </c>
      <c r="H33" s="60">
        <f t="shared" ref="H33:I35" si="5">F33-D33</f>
        <v>-46702</v>
      </c>
      <c r="I33" s="38">
        <f t="shared" si="5"/>
        <v>-133722.13958130774</v>
      </c>
    </row>
    <row r="34" spans="1:9" x14ac:dyDescent="0.2">
      <c r="A34" s="9">
        <v>15</v>
      </c>
      <c r="B34" s="7"/>
      <c r="C34" s="18" t="s">
        <v>44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46702</v>
      </c>
      <c r="E36" s="39">
        <f t="shared" si="6"/>
        <v>133722.13958130774</v>
      </c>
      <c r="F36" s="61">
        <f t="shared" si="6"/>
        <v>20</v>
      </c>
      <c r="G36" s="39">
        <f t="shared" si="6"/>
        <v>43.62</v>
      </c>
      <c r="H36" s="61">
        <f t="shared" si="6"/>
        <v>-46682</v>
      </c>
      <c r="I36" s="39">
        <f t="shared" si="6"/>
        <v>-133678.51958130774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'TX-HPL-FLSH'!L39</f>
        <v>0</v>
      </c>
      <c r="E39" s="66">
        <f>'TX-HPL-FLSH'!M39</f>
        <v>-0.34999999962747097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0.34999999962747097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'TX-HPL-FLSH'!L40</f>
        <v>0</v>
      </c>
      <c r="E40" s="66">
        <f>'TX-HPL-FLSH'!M40</f>
        <v>-0.10000000009313226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0.10000000009313226</v>
      </c>
    </row>
    <row r="41" spans="1:9" x14ac:dyDescent="0.2">
      <c r="A41" s="9">
        <v>19</v>
      </c>
      <c r="B41" s="7"/>
      <c r="C41" s="18" t="s">
        <v>50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-0.10000000009313226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0.10000000009313226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-0.44999999972060323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0.44999999972060323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'TX-HPL-FLSH'!L51</f>
        <v>15826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-15826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-642398</v>
      </c>
      <c r="H55" s="60">
        <f>F55-D55</f>
        <v>0</v>
      </c>
      <c r="I55" s="38">
        <f>G55-E55</f>
        <v>-642398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-642398</v>
      </c>
      <c r="H56" s="61">
        <f t="shared" si="10"/>
        <v>0</v>
      </c>
      <c r="I56" s="39">
        <f t="shared" si="10"/>
        <v>-642398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1949.96</v>
      </c>
      <c r="H59" s="60">
        <f>F59-D59</f>
        <v>0</v>
      </c>
      <c r="I59" s="38">
        <f>G59-E59</f>
        <v>1949.96</v>
      </c>
    </row>
    <row r="60" spans="1:9" x14ac:dyDescent="0.2">
      <c r="A60" s="9">
        <v>27</v>
      </c>
      <c r="B60" s="11"/>
      <c r="C60" s="18" t="s">
        <v>63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1949.96</v>
      </c>
      <c r="H61" s="69">
        <f t="shared" si="11"/>
        <v>0</v>
      </c>
      <c r="I61" s="70">
        <f t="shared" si="11"/>
        <v>1949.96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'TX-HPL-FLSH'!L64</f>
        <v>0</v>
      </c>
      <c r="E64" s="66">
        <f>'TX-HPL-FLSH'!M64</f>
        <v>0</v>
      </c>
      <c r="F64" s="60">
        <f>'TX-HPL-GL '!D64</f>
        <v>-892549</v>
      </c>
      <c r="G64" s="38">
        <f>'TX-HPL-GL '!E64</f>
        <v>-94247.410000000018</v>
      </c>
      <c r="H64" s="60">
        <f>F64-D64</f>
        <v>-892549</v>
      </c>
      <c r="I64" s="38">
        <f>G64-E64</f>
        <v>-94247.410000000018</v>
      </c>
    </row>
    <row r="65" spans="1:9" x14ac:dyDescent="0.2">
      <c r="A65" s="9">
        <v>29</v>
      </c>
      <c r="B65" s="11"/>
      <c r="C65" s="18" t="s">
        <v>66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92201</v>
      </c>
      <c r="H65" s="60">
        <f>F65-D65</f>
        <v>0</v>
      </c>
      <c r="I65" s="38">
        <f>G65-E65</f>
        <v>92201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-892549</v>
      </c>
      <c r="G66" s="39">
        <f t="shared" si="12"/>
        <v>-2046.410000000018</v>
      </c>
      <c r="H66" s="61">
        <f t="shared" si="12"/>
        <v>-892549</v>
      </c>
      <c r="I66" s="39">
        <f t="shared" si="12"/>
        <v>-2046.410000000018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75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93941.439581314538</v>
      </c>
      <c r="F82" s="111">
        <f>F16+F24+F29+F36+F43+F45+F47+F49</f>
        <v>0</v>
      </c>
      <c r="G82" s="112">
        <f>SUM(G72:G81)+G16+G24+G29+G36+G43+G45+G47+G49+G51+G56+G61+G66</f>
        <v>-620219.45049999934</v>
      </c>
      <c r="H82" s="111">
        <f>H16+H24+H29+H36+H43+H45+H47+H49</f>
        <v>0</v>
      </c>
      <c r="I82" s="112">
        <f>SUM(I72:I81)+I16+I24+I29+I36+I43+I45+I47+I49+I51+I56+I61+I66</f>
        <v>-714160.89008131425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H73" sqref="H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'TX-CON-FLSH'!L11</f>
        <v>49390269</v>
      </c>
      <c r="E11" s="66">
        <f>'TX-CON-FLSH'!M11</f>
        <v>110528661</v>
      </c>
      <c r="F11" s="60">
        <f>'TX-CON-GL '!D11</f>
        <v>48905035</v>
      </c>
      <c r="G11" s="38">
        <f>'TX-CON-GL '!E11</f>
        <v>106629352.87000002</v>
      </c>
      <c r="H11" s="60">
        <f>F11-D11</f>
        <v>-485234</v>
      </c>
      <c r="I11" s="38">
        <f>G11-E11</f>
        <v>-3899308.1299999803</v>
      </c>
    </row>
    <row r="12" spans="1:22" x14ac:dyDescent="0.2">
      <c r="A12" s="9">
        <v>2</v>
      </c>
      <c r="B12" s="7"/>
      <c r="C12" s="18" t="s">
        <v>29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-3231922.0100000002</v>
      </c>
      <c r="H12" s="60">
        <f>F12-D12</f>
        <v>0</v>
      </c>
      <c r="I12" s="38">
        <f>G12-E12</f>
        <v>-3231922.0100000002</v>
      </c>
    </row>
    <row r="13" spans="1:22" x14ac:dyDescent="0.2">
      <c r="A13" s="9">
        <v>3</v>
      </c>
      <c r="B13" s="7"/>
      <c r="C13" s="18" t="s">
        <v>30</v>
      </c>
      <c r="D13" s="65">
        <f>'TX-CON-FLSH'!L13</f>
        <v>0</v>
      </c>
      <c r="E13" s="66">
        <f>'TX-CON-FLSH'!M13</f>
        <v>0</v>
      </c>
      <c r="F13" s="60">
        <f>'TX-CON-GL '!D13</f>
        <v>28708483</v>
      </c>
      <c r="G13" s="38">
        <f>'TX-CON-GL '!E13</f>
        <v>65345130</v>
      </c>
      <c r="H13" s="60">
        <f t="shared" ref="H13:I15" si="0">F13-D13</f>
        <v>28708483</v>
      </c>
      <c r="I13" s="38">
        <f t="shared" si="0"/>
        <v>65345130</v>
      </c>
    </row>
    <row r="14" spans="1:22" x14ac:dyDescent="0.2">
      <c r="A14" s="9">
        <v>4</v>
      </c>
      <c r="B14" s="7"/>
      <c r="C14" s="18" t="s">
        <v>31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49390269</v>
      </c>
      <c r="E16" s="39">
        <f t="shared" si="1"/>
        <v>110528661</v>
      </c>
      <c r="F16" s="61">
        <f t="shared" si="1"/>
        <v>77613518</v>
      </c>
      <c r="G16" s="39">
        <f t="shared" si="1"/>
        <v>168742560.86000001</v>
      </c>
      <c r="H16" s="61">
        <f t="shared" si="1"/>
        <v>28223249</v>
      </c>
      <c r="I16" s="39">
        <f t="shared" si="1"/>
        <v>58213899.860000022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'TX-CON-FLSH'!L19</f>
        <v>-48992665</v>
      </c>
      <c r="E19" s="66">
        <f>'TX-CON-FLSH'!M19</f>
        <v>-108038520</v>
      </c>
      <c r="F19" s="60">
        <f>'TX-CON-GL '!D19</f>
        <v>-34347149</v>
      </c>
      <c r="G19" s="38">
        <f>'TX-CON-GL '!E19</f>
        <v>-74734978.520000026</v>
      </c>
      <c r="H19" s="60">
        <f>F19-D19</f>
        <v>14645516</v>
      </c>
      <c r="I19" s="38">
        <f>G19-E19</f>
        <v>33303541.479999974</v>
      </c>
    </row>
    <row r="20" spans="1:9" x14ac:dyDescent="0.2">
      <c r="A20" s="9">
        <v>7</v>
      </c>
      <c r="B20" s="7"/>
      <c r="C20" s="18" t="s">
        <v>29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5445020.9099999992</v>
      </c>
      <c r="H20" s="60">
        <f>F20-D20</f>
        <v>0</v>
      </c>
      <c r="I20" s="38">
        <f>G20-E20</f>
        <v>5445020.9099999992</v>
      </c>
    </row>
    <row r="21" spans="1:9" x14ac:dyDescent="0.2">
      <c r="A21" s="9">
        <v>8</v>
      </c>
      <c r="B21" s="7"/>
      <c r="C21" s="18" t="s">
        <v>30</v>
      </c>
      <c r="D21" s="65">
        <f>'TX-CON-FLSH'!L21</f>
        <v>-1728732</v>
      </c>
      <c r="E21" s="66">
        <f>'TX-CON-FLSH'!M21</f>
        <v>-3845420</v>
      </c>
      <c r="F21" s="60">
        <f>'TX-CON-GL '!D21</f>
        <v>-30437214</v>
      </c>
      <c r="G21" s="38">
        <f>'TX-CON-GL '!E21</f>
        <v>-69190550</v>
      </c>
      <c r="H21" s="60">
        <f t="shared" ref="H21:I23" si="2">F21-D21</f>
        <v>-28708482</v>
      </c>
      <c r="I21" s="38">
        <f t="shared" si="2"/>
        <v>-65345130</v>
      </c>
    </row>
    <row r="22" spans="1:9" x14ac:dyDescent="0.2">
      <c r="A22" s="9">
        <v>9</v>
      </c>
      <c r="B22" s="7"/>
      <c r="C22" s="18" t="s">
        <v>31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'TX-CON-FLSH'!L23</f>
        <v>15826</v>
      </c>
      <c r="E23" s="66">
        <f>'TX-CON-FLSH'!M23</f>
        <v>35649</v>
      </c>
      <c r="F23" s="60">
        <f>'TX-CON-GL '!D23</f>
        <v>2980</v>
      </c>
      <c r="G23" s="38">
        <f>'TX-CON-GL '!E23</f>
        <v>6499.38</v>
      </c>
      <c r="H23" s="60">
        <f t="shared" si="2"/>
        <v>-12846</v>
      </c>
      <c r="I23" s="38">
        <f t="shared" si="2"/>
        <v>-29149.62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-50705571</v>
      </c>
      <c r="E24" s="39">
        <f t="shared" si="3"/>
        <v>-111848291</v>
      </c>
      <c r="F24" s="61">
        <f t="shared" si="3"/>
        <v>-64781383</v>
      </c>
      <c r="G24" s="39">
        <f t="shared" si="3"/>
        <v>-138474008.23000002</v>
      </c>
      <c r="H24" s="61">
        <f t="shared" si="3"/>
        <v>-14075812</v>
      </c>
      <c r="I24" s="39">
        <f t="shared" si="3"/>
        <v>-26625717.23000003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'TX-CON-FLSH'!L27</f>
        <v>28733492</v>
      </c>
      <c r="E27" s="66">
        <f>'TX-CON-FLSH'!M27</f>
        <v>65401152</v>
      </c>
      <c r="F27" s="60">
        <f>'TX-CON-GL '!D27</f>
        <v>253554</v>
      </c>
      <c r="G27" s="38">
        <f>'TX-CON-GL '!E27</f>
        <v>559498.54949999996</v>
      </c>
      <c r="H27" s="60">
        <f>F27-D27</f>
        <v>-28479938</v>
      </c>
      <c r="I27" s="38">
        <f>G27-E27</f>
        <v>-64841653.450499997</v>
      </c>
    </row>
    <row r="28" spans="1:9" x14ac:dyDescent="0.2">
      <c r="A28" s="9">
        <v>12</v>
      </c>
      <c r="B28" s="7"/>
      <c r="C28" s="18" t="s">
        <v>39</v>
      </c>
      <c r="D28" s="65">
        <f>'TX-CON-FLSH'!L28</f>
        <v>-28733492</v>
      </c>
      <c r="E28" s="66">
        <f>'TX-CON-FLSH'!M28</f>
        <v>-65401152</v>
      </c>
      <c r="F28" s="60">
        <f>'TX-CON-GL '!D28</f>
        <v>-14784227</v>
      </c>
      <c r="G28" s="38">
        <f>'TX-CON-GL '!E28</f>
        <v>-32988849.089999996</v>
      </c>
      <c r="H28" s="60">
        <f>F28-D28</f>
        <v>13949265</v>
      </c>
      <c r="I28" s="38">
        <f>G28-E28</f>
        <v>32412302.910000004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-14530673</v>
      </c>
      <c r="G29" s="70">
        <f t="shared" si="4"/>
        <v>-32429350.540499996</v>
      </c>
      <c r="H29" s="69">
        <f t="shared" si="4"/>
        <v>-14530673</v>
      </c>
      <c r="I29" s="70">
        <f t="shared" si="4"/>
        <v>-32429350.540499993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'TX-CON-FLSH'!L32</f>
        <v>0</v>
      </c>
      <c r="E32" s="66">
        <f>'TX-CON-FLSH'!M32</f>
        <v>0</v>
      </c>
      <c r="F32" s="60">
        <f>'TX-CON-GL '!D32</f>
        <v>-498592</v>
      </c>
      <c r="G32" s="38">
        <f>'TX-CON-GL '!E32</f>
        <v>-1087429.4339999999</v>
      </c>
      <c r="H32" s="60">
        <f>F32-D32</f>
        <v>-498592</v>
      </c>
      <c r="I32" s="38">
        <f>G32-E32</f>
        <v>-1087429.4339999999</v>
      </c>
    </row>
    <row r="33" spans="1:9" x14ac:dyDescent="0.2">
      <c r="A33" s="9">
        <v>14</v>
      </c>
      <c r="B33" s="7"/>
      <c r="C33" s="18" t="s">
        <v>43</v>
      </c>
      <c r="D33" s="65">
        <f>'TX-CON-FLSH'!L33</f>
        <v>134163</v>
      </c>
      <c r="E33" s="66">
        <f>'TX-CON-FLSH'!M33</f>
        <v>292663.34011893091</v>
      </c>
      <c r="F33" s="60">
        <f>'TX-CON-GL '!D33</f>
        <v>0</v>
      </c>
      <c r="G33" s="38">
        <f>'TX-CON-GL '!E33</f>
        <v>0</v>
      </c>
      <c r="H33" s="60">
        <f t="shared" ref="H33:I35" si="5">F33-D33</f>
        <v>-134163</v>
      </c>
      <c r="I33" s="38">
        <f t="shared" si="5"/>
        <v>-292663.34011893091</v>
      </c>
    </row>
    <row r="34" spans="1:9" x14ac:dyDescent="0.2">
      <c r="A34" s="9">
        <v>15</v>
      </c>
      <c r="B34" s="7"/>
      <c r="C34" s="18" t="s">
        <v>44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134163</v>
      </c>
      <c r="E36" s="39">
        <f t="shared" si="6"/>
        <v>292663.34011893091</v>
      </c>
      <c r="F36" s="61">
        <f t="shared" si="6"/>
        <v>-498592</v>
      </c>
      <c r="G36" s="39">
        <f t="shared" si="6"/>
        <v>-1087429.4239999999</v>
      </c>
      <c r="H36" s="61">
        <f t="shared" si="6"/>
        <v>-632755</v>
      </c>
      <c r="I36" s="39">
        <f t="shared" si="6"/>
        <v>-1380092.7641189308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'TX-CON-FLSH'!L39</f>
        <v>2109056</v>
      </c>
      <c r="E39" s="66">
        <f>'TX-CON-FLSH'!M39</f>
        <v>4713318</v>
      </c>
      <c r="F39" s="60">
        <f>'TX-CON-GL '!D39</f>
        <v>1867848</v>
      </c>
      <c r="G39" s="38">
        <f>'TX-CON-GL '!E39</f>
        <v>4453136.4200000009</v>
      </c>
      <c r="H39" s="60">
        <f t="shared" ref="H39:I41" si="7">F39-D39</f>
        <v>-241208</v>
      </c>
      <c r="I39" s="38">
        <f t="shared" si="7"/>
        <v>-260181.57999999914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'TX-CON-FLSH'!L40</f>
        <v>-927917</v>
      </c>
      <c r="E40" s="66">
        <f>'TX-CON-FLSH'!M40</f>
        <v>-2073865</v>
      </c>
      <c r="F40" s="60">
        <f>'TX-CON-GL '!D40</f>
        <v>-31648</v>
      </c>
      <c r="G40" s="38">
        <f>'TX-CON-GL '!E40</f>
        <v>-70575.040000000008</v>
      </c>
      <c r="H40" s="60">
        <f t="shared" si="7"/>
        <v>896269</v>
      </c>
      <c r="I40" s="38">
        <f t="shared" si="7"/>
        <v>2003289.96</v>
      </c>
    </row>
    <row r="41" spans="1:9" x14ac:dyDescent="0.2">
      <c r="A41" s="9">
        <v>19</v>
      </c>
      <c r="B41" s="7"/>
      <c r="C41" s="18" t="s">
        <v>50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78532</v>
      </c>
      <c r="H41" s="60">
        <f t="shared" si="7"/>
        <v>0</v>
      </c>
      <c r="I41" s="38">
        <f t="shared" si="7"/>
        <v>78532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-927917</v>
      </c>
      <c r="E42" s="70">
        <f t="shared" si="8"/>
        <v>-2073865</v>
      </c>
      <c r="F42" s="69">
        <f t="shared" si="8"/>
        <v>-31648</v>
      </c>
      <c r="G42" s="70">
        <f t="shared" si="8"/>
        <v>7956.9599999999919</v>
      </c>
      <c r="H42" s="69">
        <f t="shared" si="8"/>
        <v>896269</v>
      </c>
      <c r="I42" s="70">
        <f t="shared" si="8"/>
        <v>2081821.96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1181139</v>
      </c>
      <c r="E43" s="39">
        <f t="shared" si="9"/>
        <v>2639453</v>
      </c>
      <c r="F43" s="61">
        <f t="shared" si="9"/>
        <v>1836200</v>
      </c>
      <c r="G43" s="39">
        <f t="shared" si="9"/>
        <v>4461093.3800000008</v>
      </c>
      <c r="H43" s="61">
        <f t="shared" si="9"/>
        <v>655061</v>
      </c>
      <c r="I43" s="39">
        <f t="shared" si="9"/>
        <v>1821640.3800000008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360930</v>
      </c>
      <c r="G49" s="38">
        <f>'TX-CON-GL '!E49</f>
        <v>787188.32999999973</v>
      </c>
      <c r="H49" s="60">
        <f>F49-D49</f>
        <v>360930</v>
      </c>
      <c r="I49" s="38">
        <f>G49-E49</f>
        <v>787188.32999999973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-2980</v>
      </c>
      <c r="G51" s="38">
        <f>'TX-CON-GL '!E51</f>
        <v>-6499.38</v>
      </c>
      <c r="H51" s="60">
        <f>F51-D51</f>
        <v>-2980</v>
      </c>
      <c r="I51" s="38">
        <f>G51-E51</f>
        <v>-6499.38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'TX-CON-FLSH'!L54</f>
        <v>0</v>
      </c>
      <c r="E54" s="66">
        <f>'TX-CON-FLSH'!M54</f>
        <v>-977752.72</v>
      </c>
      <c r="F54" s="60">
        <f>'TX-CON-GL '!D54</f>
        <v>-7066206</v>
      </c>
      <c r="G54" s="38">
        <f>'TX-CON-GL '!E54</f>
        <v>-391344.77</v>
      </c>
      <c r="H54" s="60">
        <f>F54-D54</f>
        <v>-7066206</v>
      </c>
      <c r="I54" s="38">
        <f>G54-E54</f>
        <v>586407.94999999995</v>
      </c>
    </row>
    <row r="55" spans="1:9" x14ac:dyDescent="0.2">
      <c r="A55" s="9">
        <v>25</v>
      </c>
      <c r="B55" s="7"/>
      <c r="C55" s="18" t="s">
        <v>59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-642398</v>
      </c>
      <c r="H55" s="60">
        <f>F55-D55</f>
        <v>0</v>
      </c>
      <c r="I55" s="38">
        <f>G55-E55</f>
        <v>-627398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-992752.72</v>
      </c>
      <c r="F56" s="61">
        <f t="shared" si="10"/>
        <v>-7066206</v>
      </c>
      <c r="G56" s="39">
        <f t="shared" si="10"/>
        <v>-1033742.77</v>
      </c>
      <c r="H56" s="61">
        <f t="shared" si="10"/>
        <v>-7066206</v>
      </c>
      <c r="I56" s="39">
        <f t="shared" si="10"/>
        <v>-40990.050000000047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42730.58</v>
      </c>
      <c r="H59" s="60">
        <f>F59-D59</f>
        <v>0</v>
      </c>
      <c r="I59" s="38">
        <f>G59-E59</f>
        <v>42730.58</v>
      </c>
    </row>
    <row r="60" spans="1:9" x14ac:dyDescent="0.2">
      <c r="A60" s="9">
        <v>27</v>
      </c>
      <c r="B60" s="11"/>
      <c r="C60" s="18" t="s">
        <v>63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42730.58</v>
      </c>
      <c r="H61" s="69">
        <f t="shared" si="11"/>
        <v>0</v>
      </c>
      <c r="I61" s="70">
        <f t="shared" si="11"/>
        <v>42730.58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'TX-CON-FLSH'!L64</f>
        <v>0</v>
      </c>
      <c r="E64" s="66">
        <f>'TX-CON-FLSH'!M64</f>
        <v>0</v>
      </c>
      <c r="F64" s="60">
        <f>'TX-CON-GL '!D64</f>
        <v>-45661819</v>
      </c>
      <c r="G64" s="38">
        <f>'TX-CON-GL '!E64</f>
        <v>-1212978.3699999999</v>
      </c>
      <c r="H64" s="60">
        <f>F64-D64</f>
        <v>-45661819</v>
      </c>
      <c r="I64" s="38">
        <f>G64-E64</f>
        <v>-1212978.3699999999</v>
      </c>
    </row>
    <row r="65" spans="1:9" x14ac:dyDescent="0.2">
      <c r="A65" s="9">
        <v>29</v>
      </c>
      <c r="B65" s="11"/>
      <c r="C65" s="18" t="s">
        <v>66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1208182</v>
      </c>
      <c r="H65" s="60">
        <f>F65-D65</f>
        <v>0</v>
      </c>
      <c r="I65" s="38">
        <f>G65-E65</f>
        <v>1208182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-45661819</v>
      </c>
      <c r="G66" s="39">
        <f t="shared" si="12"/>
        <v>-4796.3699999998789</v>
      </c>
      <c r="H66" s="61">
        <f t="shared" si="12"/>
        <v>-45661819</v>
      </c>
      <c r="I66" s="39">
        <f t="shared" si="12"/>
        <v>-4796.3699999998789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'TX-CON-FLSH'!L70</f>
        <v>0</v>
      </c>
      <c r="E70" s="66">
        <f>'TX-CON-FLSH'!M70</f>
        <v>722248.91</v>
      </c>
      <c r="F70" s="60">
        <f>'TX-CON-GL '!D70</f>
        <v>0</v>
      </c>
      <c r="G70" s="38">
        <f>'TX-CON-GL '!E70</f>
        <v>722248.91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'TX-CON-FLSH'!L71</f>
        <v>0</v>
      </c>
      <c r="E71" s="66">
        <f>'TX-CON-FLSH'!M71</f>
        <v>-250999</v>
      </c>
      <c r="F71" s="60">
        <f>'TX-CON-GL '!D71</f>
        <v>0</v>
      </c>
      <c r="G71" s="38">
        <f>'TX-CON-GL '!E71</f>
        <v>-250999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471249.91000000003</v>
      </c>
      <c r="F72" s="69">
        <f t="shared" si="13"/>
        <v>0</v>
      </c>
      <c r="G72" s="70">
        <f t="shared" si="13"/>
        <v>471249.91000000003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73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'TX-CON-FLSH'!L74</f>
        <v>0</v>
      </c>
      <c r="E74" s="66">
        <f>'TX-CON-FLSH'!M74</f>
        <v>740576.15</v>
      </c>
      <c r="F74" s="60">
        <f>'TX-CON-GL '!D74</f>
        <v>0</v>
      </c>
      <c r="G74" s="38">
        <f>'TX-CON-GL '!E74</f>
        <v>787615</v>
      </c>
      <c r="H74" s="60">
        <f t="shared" ref="H74:I79" si="14">F74-D74</f>
        <v>0</v>
      </c>
      <c r="I74" s="38">
        <f t="shared" si="14"/>
        <v>47038.849999999977</v>
      </c>
    </row>
    <row r="75" spans="1:9" x14ac:dyDescent="0.2">
      <c r="A75" s="9">
        <v>34</v>
      </c>
      <c r="B75" s="3"/>
      <c r="C75" s="10" t="s">
        <v>75</v>
      </c>
      <c r="D75" s="65">
        <f>'TX-CON-FLSH'!L75</f>
        <v>0</v>
      </c>
      <c r="E75" s="66">
        <f>'TX-CON-FLSH'!M75</f>
        <v>126894</v>
      </c>
      <c r="F75" s="60">
        <f>'TX-CON-GL '!D75</f>
        <v>0</v>
      </c>
      <c r="G75" s="38">
        <f>'TX-CON-GL '!E75</f>
        <v>126900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76</v>
      </c>
      <c r="D76" s="65">
        <f>'TX-CON-FLSH'!L76</f>
        <v>0</v>
      </c>
      <c r="E76" s="66">
        <f>'TX-CON-FLSH'!M76</f>
        <v>-22536</v>
      </c>
      <c r="F76" s="60">
        <f>'TX-CON-GL '!D76</f>
        <v>0</v>
      </c>
      <c r="G76" s="38">
        <f>'TX-CON-GL '!E76</f>
        <v>-247584</v>
      </c>
      <c r="H76" s="60">
        <f t="shared" si="14"/>
        <v>0</v>
      </c>
      <c r="I76" s="38">
        <f t="shared" si="14"/>
        <v>-225048</v>
      </c>
    </row>
    <row r="77" spans="1:9" x14ac:dyDescent="0.2">
      <c r="A77" s="9">
        <v>36</v>
      </c>
      <c r="B77" s="3"/>
      <c r="C77" s="10" t="s">
        <v>77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103300</v>
      </c>
    </row>
    <row r="78" spans="1:9" x14ac:dyDescent="0.2">
      <c r="A78" s="9">
        <v>37</v>
      </c>
      <c r="B78" s="3"/>
      <c r="C78" s="10" t="s">
        <v>78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'TX-CON-FLSH'!L81</f>
        <v>0</v>
      </c>
      <c r="E81" s="66">
        <f>'TX-CON-FLSH'!M81</f>
        <v>166908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-166908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1999525.6801189331</v>
      </c>
      <c r="F82" s="111">
        <f>F16+F24+F29+F36+F43+F45+F47+F49</f>
        <v>0</v>
      </c>
      <c r="G82" s="112">
        <f>SUM(G72:G81)+G16+G24+G29+G36+G43+G45+G47+G49+G51+G56+G61+G66</f>
        <v>2135926.9054999966</v>
      </c>
      <c r="H82" s="111">
        <f>H16+H24+H29+H36+H43+H45+H47+H49</f>
        <v>0</v>
      </c>
      <c r="I82" s="112">
        <f>SUM(I72:I81)+I16+I24+I29+I36+I43+I45+I47+I49+I51+I56+I61+I66</f>
        <v>136401.22538107022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173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177</v>
      </c>
      <c r="D86" s="175">
        <f>'TX-CON-FLSH'!L86</f>
        <v>0</v>
      </c>
      <c r="E86" s="175">
        <f>'TX-CON-FLSH'!M86</f>
        <v>114066</v>
      </c>
      <c r="F86" s="175">
        <f>'TX-CON-GL '!D86</f>
        <v>0</v>
      </c>
      <c r="G86" s="175">
        <f>'TX-CON-GL '!E86</f>
        <v>5825473</v>
      </c>
      <c r="H86" s="175">
        <f t="shared" ref="H86:I88" si="15">F86-D86</f>
        <v>0</v>
      </c>
      <c r="I86" s="175">
        <f t="shared" si="15"/>
        <v>5711407</v>
      </c>
    </row>
    <row r="87" spans="1:63" x14ac:dyDescent="0.2">
      <c r="A87" s="174"/>
      <c r="B87" s="3"/>
      <c r="C87" s="10" t="s">
        <v>74</v>
      </c>
      <c r="D87" s="176">
        <f>'TX-CON-FLSH'!L87</f>
        <v>0</v>
      </c>
      <c r="E87" s="176">
        <f>'TX-CON-FLSH'!M87</f>
        <v>0</v>
      </c>
      <c r="F87" s="176">
        <f>'TX-CON-GL '!D87</f>
        <v>0</v>
      </c>
      <c r="G87" s="176">
        <f>'TX-CON-GL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75</v>
      </c>
      <c r="D88" s="177">
        <f>'TX-CON-FLSH'!L88</f>
        <v>0</v>
      </c>
      <c r="E88" s="177">
        <f>'TX-CON-FLSH'!M88</f>
        <v>-113464</v>
      </c>
      <c r="F88" s="177">
        <f>'TX-CON-GL '!D88</f>
        <v>0</v>
      </c>
      <c r="G88" s="177">
        <f>'TX-CON-GL '!E88</f>
        <v>-5830400</v>
      </c>
      <c r="H88" s="177">
        <f t="shared" si="15"/>
        <v>0</v>
      </c>
      <c r="I88" s="177">
        <f t="shared" si="15"/>
        <v>-5716936</v>
      </c>
    </row>
    <row r="89" spans="1:63" ht="15" x14ac:dyDescent="0.2">
      <c r="A89" s="181"/>
      <c r="B89" s="182"/>
      <c r="C89" s="187" t="s">
        <v>180</v>
      </c>
      <c r="D89" s="185">
        <f t="shared" ref="D89:I89" si="16">SUM(D86:D88)</f>
        <v>0</v>
      </c>
      <c r="E89" s="185">
        <f t="shared" si="16"/>
        <v>602</v>
      </c>
      <c r="F89" s="185">
        <f t="shared" si="16"/>
        <v>0</v>
      </c>
      <c r="G89" s="185">
        <f t="shared" si="16"/>
        <v>-4927</v>
      </c>
      <c r="H89" s="185">
        <f t="shared" si="16"/>
        <v>0</v>
      </c>
      <c r="I89" s="185">
        <f t="shared" si="16"/>
        <v>-5529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81"/>
      <c r="B91" s="182"/>
      <c r="C91" s="187" t="s">
        <v>183</v>
      </c>
      <c r="D91" s="185">
        <f t="shared" ref="D91:I91" si="17">+D82+D89</f>
        <v>0</v>
      </c>
      <c r="E91" s="185">
        <f t="shared" si="17"/>
        <v>2000127.6801189331</v>
      </c>
      <c r="F91" s="185">
        <f t="shared" si="17"/>
        <v>0</v>
      </c>
      <c r="G91" s="185">
        <f t="shared" si="17"/>
        <v>2130999.9054999966</v>
      </c>
      <c r="H91" s="185">
        <f t="shared" si="17"/>
        <v>0</v>
      </c>
      <c r="I91" s="185">
        <f t="shared" si="17"/>
        <v>130872.22538107022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'WE-FLSH'!L11</f>
        <v>25709008</v>
      </c>
      <c r="E11" s="66">
        <f>'WE-FLSH'!M11</f>
        <v>52991795</v>
      </c>
      <c r="F11" s="60">
        <f>'WE-GL '!D11</f>
        <v>25584350</v>
      </c>
      <c r="G11" s="38">
        <f>'WE-GL '!E11</f>
        <v>52126423.329999998</v>
      </c>
      <c r="H11" s="60">
        <f>F11-D11</f>
        <v>-124658</v>
      </c>
      <c r="I11" s="38">
        <f>G11-E11</f>
        <v>-865371.67000000179</v>
      </c>
    </row>
    <row r="12" spans="1:22" x14ac:dyDescent="0.2">
      <c r="A12" s="9">
        <v>2</v>
      </c>
      <c r="B12" s="7"/>
      <c r="C12" s="18" t="s">
        <v>29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597992.4</v>
      </c>
      <c r="H12" s="60">
        <f>F12-D12</f>
        <v>0</v>
      </c>
      <c r="I12" s="38">
        <f>G12-E12</f>
        <v>597992.4</v>
      </c>
    </row>
    <row r="13" spans="1:22" x14ac:dyDescent="0.2">
      <c r="A13" s="9">
        <v>3</v>
      </c>
      <c r="B13" s="7"/>
      <c r="C13" s="18" t="s">
        <v>30</v>
      </c>
      <c r="D13" s="65">
        <f>'WE-FLSH'!L13</f>
        <v>21934545</v>
      </c>
      <c r="E13" s="66">
        <f>'WE-FLSH'!M13</f>
        <v>46926648</v>
      </c>
      <c r="F13" s="60">
        <f>'WE-GL '!D13</f>
        <v>21435046</v>
      </c>
      <c r="G13" s="38">
        <f>'WE-GL '!E13</f>
        <v>45842195</v>
      </c>
      <c r="H13" s="60">
        <f t="shared" ref="H13:I15" si="0">F13-D13</f>
        <v>-499499</v>
      </c>
      <c r="I13" s="38">
        <f t="shared" si="0"/>
        <v>-1084453</v>
      </c>
    </row>
    <row r="14" spans="1:22" x14ac:dyDescent="0.2">
      <c r="A14" s="9">
        <v>4</v>
      </c>
      <c r="B14" s="7"/>
      <c r="C14" s="18" t="s">
        <v>31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47643553</v>
      </c>
      <c r="E16" s="39">
        <f t="shared" si="1"/>
        <v>99918443</v>
      </c>
      <c r="F16" s="61">
        <f t="shared" si="1"/>
        <v>47019396</v>
      </c>
      <c r="G16" s="39">
        <f t="shared" si="1"/>
        <v>98566610.729999989</v>
      </c>
      <c r="H16" s="61">
        <f t="shared" si="1"/>
        <v>-624157</v>
      </c>
      <c r="I16" s="39">
        <f t="shared" si="1"/>
        <v>-1351832.2700000019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'WE-FLSH'!L19</f>
        <v>-24975750</v>
      </c>
      <c r="E19" s="66">
        <f>'WE-FLSH'!M19</f>
        <v>-50478903</v>
      </c>
      <c r="F19" s="60">
        <f>'WE-GL '!D19</f>
        <v>-28036255</v>
      </c>
      <c r="G19" s="38">
        <f>'WE-GL '!E19</f>
        <v>-55959879.759999998</v>
      </c>
      <c r="H19" s="60">
        <f>F19-D19</f>
        <v>-3060505</v>
      </c>
      <c r="I19" s="38">
        <f>G19-E19</f>
        <v>-5480976.7599999979</v>
      </c>
    </row>
    <row r="20" spans="1:9" x14ac:dyDescent="0.2">
      <c r="A20" s="9">
        <v>7</v>
      </c>
      <c r="B20" s="7"/>
      <c r="C20" s="18" t="s">
        <v>29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-259121.8</v>
      </c>
      <c r="H20" s="60">
        <f>F20-D20</f>
        <v>0</v>
      </c>
      <c r="I20" s="38">
        <f>G20-E20</f>
        <v>-259121.8</v>
      </c>
    </row>
    <row r="21" spans="1:9" x14ac:dyDescent="0.2">
      <c r="A21" s="9">
        <v>8</v>
      </c>
      <c r="B21" s="7"/>
      <c r="C21" s="18" t="s">
        <v>30</v>
      </c>
      <c r="D21" s="65">
        <f>'WE-FLSH'!L21</f>
        <v>-22817932</v>
      </c>
      <c r="E21" s="66">
        <f>'WE-FLSH'!M21</f>
        <v>-48452350</v>
      </c>
      <c r="F21" s="60">
        <f>'WE-GL '!D21</f>
        <v>-19226020</v>
      </c>
      <c r="G21" s="38">
        <f>'WE-GL '!E21</f>
        <v>-41053457</v>
      </c>
      <c r="H21" s="60">
        <f t="shared" ref="H21:I23" si="2">F21-D21</f>
        <v>3591912</v>
      </c>
      <c r="I21" s="38">
        <f t="shared" si="2"/>
        <v>7398893</v>
      </c>
    </row>
    <row r="22" spans="1:9" x14ac:dyDescent="0.2">
      <c r="A22" s="9">
        <v>9</v>
      </c>
      <c r="B22" s="7"/>
      <c r="C22" s="18" t="s">
        <v>31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'WE-FLSH'!L23</f>
        <v>295007</v>
      </c>
      <c r="E23" s="66">
        <f>'WE-FLSH'!M23</f>
        <v>597680</v>
      </c>
      <c r="F23" s="60">
        <f>'WE-GL '!D23</f>
        <v>290422</v>
      </c>
      <c r="G23" s="38">
        <f>'WE-GL '!E23</f>
        <v>604077.75999999989</v>
      </c>
      <c r="H23" s="60">
        <f t="shared" si="2"/>
        <v>-4585</v>
      </c>
      <c r="I23" s="38">
        <f t="shared" si="2"/>
        <v>6397.7599999998929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-47498675</v>
      </c>
      <c r="E24" s="39">
        <f t="shared" si="3"/>
        <v>-98333573</v>
      </c>
      <c r="F24" s="61">
        <f t="shared" si="3"/>
        <v>-46971853</v>
      </c>
      <c r="G24" s="39">
        <f t="shared" si="3"/>
        <v>-96668380.799999997</v>
      </c>
      <c r="H24" s="61">
        <f t="shared" si="3"/>
        <v>526822</v>
      </c>
      <c r="I24" s="39">
        <f t="shared" si="3"/>
        <v>1665192.200000002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'WE-FLSH'!L32</f>
        <v>117016</v>
      </c>
      <c r="E32" s="66">
        <f>'WE-FLSH'!M32</f>
        <v>236652</v>
      </c>
      <c r="F32" s="60">
        <f>'WE-GL '!D32</f>
        <v>-16944</v>
      </c>
      <c r="G32" s="38">
        <f>'WE-GL '!E32</f>
        <v>-34566.036999999989</v>
      </c>
      <c r="H32" s="60">
        <f>F32-D32</f>
        <v>-133960</v>
      </c>
      <c r="I32" s="38">
        <f>G32-E32</f>
        <v>-271218.03700000001</v>
      </c>
    </row>
    <row r="33" spans="1:9" x14ac:dyDescent="0.2">
      <c r="A33" s="9">
        <v>14</v>
      </c>
      <c r="B33" s="7"/>
      <c r="C33" s="18" t="s">
        <v>43</v>
      </c>
      <c r="D33" s="65">
        <f>'WE-FLSH'!L33</f>
        <v>-187316</v>
      </c>
      <c r="E33" s="66">
        <f>'WE-FLSH'!M33</f>
        <v>-375003</v>
      </c>
      <c r="F33" s="60">
        <f>'WE-GL '!D33</f>
        <v>-4013</v>
      </c>
      <c r="G33" s="38">
        <f>'WE-GL '!E33</f>
        <v>-8793.2800000000007</v>
      </c>
      <c r="H33" s="60">
        <f t="shared" ref="H33:I35" si="5">F33-D33</f>
        <v>183303</v>
      </c>
      <c r="I33" s="38">
        <f t="shared" si="5"/>
        <v>366209.72</v>
      </c>
    </row>
    <row r="34" spans="1:9" x14ac:dyDescent="0.2">
      <c r="A34" s="9">
        <v>15</v>
      </c>
      <c r="B34" s="7"/>
      <c r="C34" s="18" t="s">
        <v>44</v>
      </c>
      <c r="D34" s="65">
        <f>'WE-FLSH'!L34</f>
        <v>0</v>
      </c>
      <c r="E34" s="66">
        <f>'WE-FLSH'!M34</f>
        <v>0</v>
      </c>
      <c r="F34" s="60">
        <f>'WE-GL '!D34</f>
        <v>428</v>
      </c>
      <c r="G34" s="38">
        <f>'WE-GL '!E34</f>
        <v>901.77</v>
      </c>
      <c r="H34" s="60">
        <f t="shared" si="5"/>
        <v>428</v>
      </c>
      <c r="I34" s="38">
        <f t="shared" si="5"/>
        <v>901.77</v>
      </c>
    </row>
    <row r="35" spans="1:9" x14ac:dyDescent="0.2">
      <c r="A35" s="9">
        <v>16</v>
      </c>
      <c r="B35" s="7"/>
      <c r="C35" s="18" t="s">
        <v>45</v>
      </c>
      <c r="D35" s="65">
        <f>'WE-FLSH'!L35</f>
        <v>0</v>
      </c>
      <c r="E35" s="66">
        <f>'WE-FLSH'!M35</f>
        <v>0</v>
      </c>
      <c r="F35" s="60">
        <f>'WE-GL '!D35</f>
        <v>12669</v>
      </c>
      <c r="G35" s="38">
        <f>'WE-GL '!E35</f>
        <v>26352.01</v>
      </c>
      <c r="H35" s="60">
        <f t="shared" si="5"/>
        <v>12669</v>
      </c>
      <c r="I35" s="38">
        <f t="shared" si="5"/>
        <v>26352.01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-70300</v>
      </c>
      <c r="E36" s="39">
        <f t="shared" si="6"/>
        <v>-138351</v>
      </c>
      <c r="F36" s="61">
        <f t="shared" si="6"/>
        <v>-7860</v>
      </c>
      <c r="G36" s="39">
        <f t="shared" si="6"/>
        <v>-16105.536999999993</v>
      </c>
      <c r="H36" s="61">
        <f t="shared" si="6"/>
        <v>62440</v>
      </c>
      <c r="I36" s="39">
        <f t="shared" si="6"/>
        <v>122245.46299999996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'WE-FLSH'!L39</f>
        <v>48029</v>
      </c>
      <c r="E39" s="66">
        <f>'WE-FLSH'!M39</f>
        <v>92436</v>
      </c>
      <c r="F39" s="60">
        <f>'WE-GL '!D39</f>
        <v>0</v>
      </c>
      <c r="G39" s="38">
        <f>'WE-GL '!E39</f>
        <v>0</v>
      </c>
      <c r="H39" s="60">
        <f t="shared" ref="H39:I41" si="7">F39-D39</f>
        <v>-48029</v>
      </c>
      <c r="I39" s="38">
        <f t="shared" si="7"/>
        <v>-92436</v>
      </c>
    </row>
    <row r="40" spans="1:9" ht="22.5" customHeight="1" x14ac:dyDescent="0.2">
      <c r="A40" s="9">
        <v>18</v>
      </c>
      <c r="B40" s="7"/>
      <c r="C40" s="18" t="s">
        <v>49</v>
      </c>
      <c r="D40" s="65">
        <f>'WE-FLSH'!L40</f>
        <v>-83901</v>
      </c>
      <c r="E40" s="66">
        <f>'WE-FLSH'!M40</f>
        <v>-160416</v>
      </c>
      <c r="F40" s="60">
        <f>'WE-GL '!D40</f>
        <v>0</v>
      </c>
      <c r="G40" s="38">
        <f>'WE-GL '!E40</f>
        <v>0</v>
      </c>
      <c r="H40" s="60">
        <f t="shared" si="7"/>
        <v>83901</v>
      </c>
      <c r="I40" s="38">
        <f t="shared" si="7"/>
        <v>160416</v>
      </c>
    </row>
    <row r="41" spans="1:9" x14ac:dyDescent="0.2">
      <c r="A41" s="9">
        <v>19</v>
      </c>
      <c r="B41" s="7"/>
      <c r="C41" s="18" t="s">
        <v>50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1">
        <f t="shared" ref="D42:I42" si="8">SUM(D40:D41)</f>
        <v>-83901</v>
      </c>
      <c r="E42" s="39">
        <f t="shared" si="8"/>
        <v>-160416</v>
      </c>
      <c r="F42" s="61">
        <f t="shared" si="8"/>
        <v>0</v>
      </c>
      <c r="G42" s="39">
        <f t="shared" si="8"/>
        <v>0</v>
      </c>
      <c r="H42" s="61">
        <f t="shared" si="8"/>
        <v>83901</v>
      </c>
      <c r="I42" s="39">
        <f t="shared" si="8"/>
        <v>160416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-35872</v>
      </c>
      <c r="E43" s="39">
        <f t="shared" si="9"/>
        <v>-67980</v>
      </c>
      <c r="F43" s="61">
        <f t="shared" si="9"/>
        <v>0</v>
      </c>
      <c r="G43" s="39">
        <f t="shared" si="9"/>
        <v>0</v>
      </c>
      <c r="H43" s="61">
        <f t="shared" si="9"/>
        <v>35872</v>
      </c>
      <c r="I43" s="39">
        <f t="shared" si="9"/>
        <v>67980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'WE-FLSH'!L49</f>
        <v>-38706</v>
      </c>
      <c r="E49" s="66">
        <f>'WE-FLSH'!M49</f>
        <v>-80494.023766379614</v>
      </c>
      <c r="F49" s="60">
        <f>'WE-GL '!D49</f>
        <v>-39683</v>
      </c>
      <c r="G49" s="38">
        <f>'WE-GL '!E49</f>
        <v>-82540.640000000363</v>
      </c>
      <c r="H49" s="60">
        <f>F49-D49</f>
        <v>-977</v>
      </c>
      <c r="I49" s="38">
        <f>G49-E49</f>
        <v>-2046.616233620749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'WE-FLSH'!L51</f>
        <v>-295007</v>
      </c>
      <c r="E51" s="66">
        <f>'WE-FLSH'!M51</f>
        <v>-597680</v>
      </c>
      <c r="F51" s="60">
        <f>'WE-GL '!D51</f>
        <v>-290422</v>
      </c>
      <c r="G51" s="38">
        <f>'WE-GL '!E51</f>
        <v>-604077.75999999989</v>
      </c>
      <c r="H51" s="60">
        <f>F51-D51</f>
        <v>4585</v>
      </c>
      <c r="I51" s="38">
        <f>G51-E51</f>
        <v>-6397.7599999998929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'WE-FLSH'!L54</f>
        <v>0</v>
      </c>
      <c r="E54" s="66">
        <f>'WE-FLSH'!M54</f>
        <v>-172911.24</v>
      </c>
      <c r="F54" s="60">
        <f>'WE-GL '!D54</f>
        <v>-11109229</v>
      </c>
      <c r="G54" s="38">
        <f>'WE-GL '!E54</f>
        <v>-241577.63</v>
      </c>
      <c r="H54" s="60">
        <f>F54-D54</f>
        <v>-11109229</v>
      </c>
      <c r="I54" s="38">
        <f>G54-E54</f>
        <v>-68666.390000000014</v>
      </c>
    </row>
    <row r="55" spans="1:9" x14ac:dyDescent="0.2">
      <c r="A55" s="9">
        <v>25</v>
      </c>
      <c r="B55" s="7"/>
      <c r="C55" s="18" t="s">
        <v>59</v>
      </c>
      <c r="D55" s="65">
        <f>'WE-FLSH'!L55</f>
        <v>0</v>
      </c>
      <c r="E55" s="66">
        <f>'WE-FLSH'!M55</f>
        <v>-1321394.46</v>
      </c>
      <c r="F55" s="60">
        <f>'WE-GL '!D55</f>
        <v>0</v>
      </c>
      <c r="G55" s="38">
        <f>'WE-GL '!E55</f>
        <v>-1495894.56</v>
      </c>
      <c r="H55" s="60">
        <f>F55-D55</f>
        <v>0</v>
      </c>
      <c r="I55" s="38">
        <f>G55-E55</f>
        <v>-174500.10000000009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-1494305.7</v>
      </c>
      <c r="F56" s="61">
        <f t="shared" si="10"/>
        <v>-11109229</v>
      </c>
      <c r="G56" s="39">
        <f t="shared" si="10"/>
        <v>-1737472.19</v>
      </c>
      <c r="H56" s="61">
        <f t="shared" si="10"/>
        <v>-11109229</v>
      </c>
      <c r="I56" s="39">
        <f t="shared" si="10"/>
        <v>-243166.49000000011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65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'WE-FLSH'!L70</f>
        <v>0</v>
      </c>
      <c r="E70" s="66">
        <f>'WE-FLSH'!M70</f>
        <v>2029682</v>
      </c>
      <c r="F70" s="60">
        <f>'WE-GL '!D70</f>
        <v>0</v>
      </c>
      <c r="G70" s="38">
        <f>'WE-GL '!E70</f>
        <v>2029682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'WE-FLSH'!L71</f>
        <v>0</v>
      </c>
      <c r="E71" s="66">
        <f>'WE-FLSH'!M71</f>
        <v>-1493590</v>
      </c>
      <c r="F71" s="60">
        <f>'WE-GL '!D71</f>
        <v>0</v>
      </c>
      <c r="G71" s="38">
        <f>'WE-GL '!E71</f>
        <v>-1493640</v>
      </c>
      <c r="H71" s="60">
        <f>F71-D71</f>
        <v>0</v>
      </c>
      <c r="I71" s="38">
        <f>G71-E71</f>
        <v>-50</v>
      </c>
    </row>
    <row r="72" spans="1:9" x14ac:dyDescent="0.2">
      <c r="A72" s="9"/>
      <c r="B72" s="3"/>
      <c r="C72" s="55" t="s">
        <v>72</v>
      </c>
      <c r="D72" s="61">
        <f t="shared" ref="D72:I72" si="13">SUM(D70:D71)</f>
        <v>0</v>
      </c>
      <c r="E72" s="39">
        <f t="shared" si="13"/>
        <v>536092</v>
      </c>
      <c r="F72" s="61">
        <f t="shared" si="13"/>
        <v>0</v>
      </c>
      <c r="G72" s="39">
        <f t="shared" si="13"/>
        <v>536042</v>
      </c>
      <c r="H72" s="61">
        <f t="shared" si="13"/>
        <v>0</v>
      </c>
      <c r="I72" s="39">
        <f t="shared" si="13"/>
        <v>-50</v>
      </c>
    </row>
    <row r="73" spans="1:9" x14ac:dyDescent="0.2">
      <c r="A73" s="9">
        <v>32</v>
      </c>
      <c r="B73" s="3"/>
      <c r="C73" s="10" t="s">
        <v>73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'WE-FLSH'!L74</f>
        <v>0</v>
      </c>
      <c r="E74" s="66">
        <f>'WE-FLSH'!M74</f>
        <v>20312</v>
      </c>
      <c r="F74" s="60">
        <f>'WE-GL '!D74</f>
        <v>0</v>
      </c>
      <c r="G74" s="38">
        <f>'WE-GL '!E74</f>
        <v>-73631.049999999988</v>
      </c>
      <c r="H74" s="60">
        <f t="shared" ref="H74:I79" si="14">F74-D74</f>
        <v>0</v>
      </c>
      <c r="I74" s="38">
        <f t="shared" si="14"/>
        <v>-93943.049999999988</v>
      </c>
    </row>
    <row r="75" spans="1:9" x14ac:dyDescent="0.2">
      <c r="A75" s="9">
        <v>34</v>
      </c>
      <c r="B75" s="3"/>
      <c r="C75" s="10" t="s">
        <v>75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'WE-FLSH'!L76</f>
        <v>0</v>
      </c>
      <c r="E76" s="66">
        <f>'WE-FLSH'!M76</f>
        <v>-23097</v>
      </c>
      <c r="F76" s="60">
        <f>'WE-GL '!D76</f>
        <v>0</v>
      </c>
      <c r="G76" s="38">
        <f>'WE-GL '!E76</f>
        <v>-23472.43</v>
      </c>
      <c r="H76" s="60">
        <f t="shared" si="14"/>
        <v>0</v>
      </c>
      <c r="I76" s="38">
        <f t="shared" si="14"/>
        <v>-375.43000000000029</v>
      </c>
    </row>
    <row r="77" spans="1:9" x14ac:dyDescent="0.2">
      <c r="A77" s="9">
        <v>36</v>
      </c>
      <c r="B77" s="3"/>
      <c r="C77" s="10" t="s">
        <v>77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'WE-FLSH'!L81</f>
        <v>0</v>
      </c>
      <c r="E81" s="66">
        <f>'WE-FLSH'!M81</f>
        <v>51876</v>
      </c>
      <c r="F81" s="60">
        <f>'WE-GL '!D81</f>
        <v>0</v>
      </c>
      <c r="G81" s="38">
        <f>'WE-GL '!E81</f>
        <v>61694.39</v>
      </c>
      <c r="H81" s="60">
        <f>F81-D81</f>
        <v>0</v>
      </c>
      <c r="I81" s="38">
        <f>G81-E81</f>
        <v>9818.39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-208757.72376637952</v>
      </c>
      <c r="F82" s="111">
        <f>F16+F24+F29+F36+F43+F45+F47+F49</f>
        <v>0</v>
      </c>
      <c r="G82" s="112">
        <f>SUM(G72:G81)+G16+G24+G29+G36+G43+G45+G47+G49+G51+G56+G61+G66</f>
        <v>-41333.287000011187</v>
      </c>
      <c r="H82" s="111">
        <f>H16+H24+H29+H36+H43+H45+H47+H49</f>
        <v>0</v>
      </c>
      <c r="I82" s="112">
        <f>SUM(I72:I81)+I16+I24+I29+I36+I43+I45+I47+I49+I51+I56+I61+I66</f>
        <v>167424.43676637934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66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29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-79467</v>
      </c>
      <c r="H12" s="60">
        <f>F12-D12</f>
        <v>0</v>
      </c>
      <c r="I12" s="38">
        <f>G12-E12</f>
        <v>-79467</v>
      </c>
    </row>
    <row r="13" spans="1:22" x14ac:dyDescent="0.2">
      <c r="A13" s="9">
        <v>3</v>
      </c>
      <c r="B13" s="7"/>
      <c r="C13" s="18" t="s">
        <v>30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-2679577</v>
      </c>
      <c r="H13" s="60">
        <f t="shared" ref="H13:I15" si="0">F13-D13</f>
        <v>0</v>
      </c>
      <c r="I13" s="38">
        <f t="shared" si="0"/>
        <v>-2679577</v>
      </c>
    </row>
    <row r="14" spans="1:22" x14ac:dyDescent="0.2">
      <c r="A14" s="9">
        <v>4</v>
      </c>
      <c r="B14" s="7"/>
      <c r="C14" s="18" t="s">
        <v>31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-2759044</v>
      </c>
      <c r="H16" s="61">
        <f t="shared" si="1"/>
        <v>0</v>
      </c>
      <c r="I16" s="39">
        <f t="shared" si="1"/>
        <v>-2759044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29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31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43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50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341873</v>
      </c>
      <c r="H41" s="60">
        <f t="shared" si="7"/>
        <v>0</v>
      </c>
      <c r="I41" s="38">
        <f t="shared" si="7"/>
        <v>341873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341873</v>
      </c>
      <c r="H42" s="69">
        <f t="shared" si="8"/>
        <v>0</v>
      </c>
      <c r="I42" s="70">
        <f t="shared" si="8"/>
        <v>341873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341873</v>
      </c>
      <c r="H43" s="61">
        <f t="shared" si="9"/>
        <v>0</v>
      </c>
      <c r="I43" s="39">
        <f t="shared" si="9"/>
        <v>341873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4103270</v>
      </c>
      <c r="H70" s="60">
        <f>F70-D70</f>
        <v>0</v>
      </c>
      <c r="I70" s="38">
        <f>G70-E70</f>
        <v>4103270</v>
      </c>
    </row>
    <row r="71" spans="1:9" x14ac:dyDescent="0.2">
      <c r="A71" s="9">
        <v>31</v>
      </c>
      <c r="B71" s="3"/>
      <c r="C71" s="10" t="s">
        <v>71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4103270</v>
      </c>
      <c r="H72" s="69">
        <f t="shared" si="13"/>
        <v>0</v>
      </c>
      <c r="I72" s="70">
        <f t="shared" si="13"/>
        <v>4103270</v>
      </c>
    </row>
    <row r="73" spans="1:9" x14ac:dyDescent="0.2">
      <c r="A73" s="9">
        <v>32</v>
      </c>
      <c r="B73" s="3"/>
      <c r="C73" s="10" t="s">
        <v>73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-2741516</v>
      </c>
      <c r="H74" s="60">
        <f t="shared" ref="H74:I79" si="14">F74-D74</f>
        <v>0</v>
      </c>
      <c r="I74" s="38">
        <f t="shared" si="14"/>
        <v>-2741516</v>
      </c>
    </row>
    <row r="75" spans="1:9" x14ac:dyDescent="0.2">
      <c r="A75" s="9">
        <v>34</v>
      </c>
      <c r="B75" s="3"/>
      <c r="C75" s="10" t="s">
        <v>75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1633400</v>
      </c>
      <c r="H75" s="60">
        <f t="shared" si="14"/>
        <v>0</v>
      </c>
      <c r="I75" s="38">
        <f t="shared" si="14"/>
        <v>1633400</v>
      </c>
    </row>
    <row r="76" spans="1:9" x14ac:dyDescent="0.2">
      <c r="A76" s="9">
        <v>35</v>
      </c>
      <c r="B76" s="3"/>
      <c r="C76" s="10" t="s">
        <v>76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-1075</v>
      </c>
      <c r="H76" s="60">
        <f t="shared" si="14"/>
        <v>0</v>
      </c>
      <c r="I76" s="38">
        <f t="shared" si="14"/>
        <v>-1075</v>
      </c>
    </row>
    <row r="77" spans="1:9" x14ac:dyDescent="0.2">
      <c r="A77" s="9">
        <v>36</v>
      </c>
      <c r="B77" s="3"/>
      <c r="C77" s="10" t="s">
        <v>77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STG_FLSH!L81</f>
        <v>0</v>
      </c>
      <c r="E81" s="66">
        <f>STG_FLSH!M81</f>
        <v>2386000</v>
      </c>
      <c r="F81" s="60">
        <f>STG_GL!D81</f>
        <v>0</v>
      </c>
      <c r="G81" s="38">
        <f>STG_GL!E81</f>
        <v>-550379</v>
      </c>
      <c r="H81" s="60">
        <f>F81-D81</f>
        <v>0</v>
      </c>
      <c r="I81" s="38">
        <f>G81-E81</f>
        <v>-2936379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2386000</v>
      </c>
      <c r="F82" s="111">
        <f>F16+F24+F29+F36+F43+F45+F47+F49</f>
        <v>0</v>
      </c>
      <c r="G82" s="112">
        <f>SUM(G72:G81)+G16+G24+G29+G36+G43+G45+G47+G49+G51+G56+G61+G66</f>
        <v>149791</v>
      </c>
      <c r="H82" s="111">
        <f>H16+H24+H29+H36+H43+H45+H47+H49</f>
        <v>0</v>
      </c>
      <c r="I82" s="112">
        <f>SUM(I72:I81)+I16+I24+I29+I36+I43+I45+I47+I49+I51+I56+I61+I66</f>
        <v>-2236209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C4" sqref="C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83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84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9906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85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86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21</v>
      </c>
      <c r="W8" s="27"/>
      <c r="X8" s="26" t="s">
        <v>117</v>
      </c>
      <c r="Y8" s="27"/>
    </row>
    <row r="9" spans="1:25" s="80" customFormat="1" x14ac:dyDescent="0.2">
      <c r="A9" s="52"/>
      <c r="B9" s="78"/>
      <c r="C9" s="79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  <c r="N9" s="77" t="s">
        <v>25</v>
      </c>
      <c r="O9" s="76" t="s">
        <v>26</v>
      </c>
      <c r="P9" s="77" t="s">
        <v>25</v>
      </c>
      <c r="Q9" s="76" t="s">
        <v>26</v>
      </c>
      <c r="R9" s="77" t="s">
        <v>25</v>
      </c>
      <c r="S9" s="76" t="s">
        <v>26</v>
      </c>
      <c r="T9" s="77" t="s">
        <v>25</v>
      </c>
      <c r="U9" s="76" t="s">
        <v>26</v>
      </c>
      <c r="V9" s="77" t="s">
        <v>25</v>
      </c>
      <c r="W9" s="76" t="s">
        <v>26</v>
      </c>
      <c r="X9" s="77" t="s">
        <v>25</v>
      </c>
      <c r="Y9" s="76" t="s">
        <v>26</v>
      </c>
    </row>
    <row r="10" spans="1:25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28</v>
      </c>
      <c r="D11" s="66">
        <f t="shared" ref="D11:E15" si="0">F11+H11+J11+L11+N11+P11+R11+T11+V11+X11</f>
        <v>0</v>
      </c>
      <c r="E11" s="66">
        <f t="shared" si="0"/>
        <v>-13547776.99</v>
      </c>
      <c r="F11" s="60"/>
      <c r="G11" s="38">
        <f>-10125-811529-631059.99-1346250-257386-1049898+47</f>
        <v>-4106200.99</v>
      </c>
      <c r="H11" s="60"/>
      <c r="I11" s="38">
        <f>-224706-15000-1362914-1362914-1362914</f>
        <v>-4328448</v>
      </c>
      <c r="J11" s="60"/>
      <c r="K11" s="38"/>
      <c r="L11" s="60"/>
      <c r="M11" s="38"/>
      <c r="N11" s="60"/>
      <c r="O11" s="38">
        <f>-3906-5403-5944-299007</f>
        <v>-314260</v>
      </c>
      <c r="P11" s="60"/>
      <c r="Q11" s="38"/>
      <c r="R11" s="60"/>
      <c r="S11" s="38">
        <v>1346250</v>
      </c>
      <c r="T11" s="60"/>
      <c r="U11" s="38"/>
      <c r="V11" s="60"/>
      <c r="W11" s="38"/>
      <c r="X11" s="60"/>
      <c r="Y11" s="38">
        <f>-9954543-279317+1362914+1362914+1362914</f>
        <v>-6145118</v>
      </c>
    </row>
    <row r="12" spans="1:25" x14ac:dyDescent="0.2">
      <c r="A12" s="9">
        <v>2</v>
      </c>
      <c r="B12" s="7"/>
      <c r="C12" s="18" t="s">
        <v>29</v>
      </c>
      <c r="D12" s="66">
        <f t="shared" si="0"/>
        <v>0</v>
      </c>
      <c r="E12" s="66">
        <f t="shared" si="0"/>
        <v>-1425717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-1346250</v>
      </c>
      <c r="T12" s="60"/>
      <c r="U12" s="38">
        <v>-79467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30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31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32</v>
      </c>
      <c r="D15" s="66">
        <f t="shared" si="0"/>
        <v>0</v>
      </c>
      <c r="E15" s="66">
        <f t="shared" si="0"/>
        <v>294317</v>
      </c>
      <c r="F15" s="60"/>
      <c r="G15" s="38">
        <v>0</v>
      </c>
      <c r="H15" s="60"/>
      <c r="I15" s="38">
        <v>15000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>
        <v>279317</v>
      </c>
    </row>
    <row r="16" spans="1:25" x14ac:dyDescent="0.2">
      <c r="A16" s="9"/>
      <c r="B16" s="7" t="s">
        <v>33</v>
      </c>
      <c r="C16" s="6"/>
      <c r="D16" s="61">
        <f t="shared" ref="D16:M16" si="1">SUM(D11:D15)</f>
        <v>0</v>
      </c>
      <c r="E16" s="39">
        <f t="shared" si="1"/>
        <v>-14679176.99</v>
      </c>
      <c r="F16" s="61">
        <f t="shared" si="1"/>
        <v>0</v>
      </c>
      <c r="G16" s="39">
        <f t="shared" si="1"/>
        <v>-4106200.99</v>
      </c>
      <c r="H16" s="61">
        <f t="shared" si="1"/>
        <v>0</v>
      </c>
      <c r="I16" s="39">
        <f t="shared" si="1"/>
        <v>-4313448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-314260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-79467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-5865801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28</v>
      </c>
      <c r="D19" s="66">
        <f t="shared" ref="D19:E23" si="3">F19+H19+J19+L19+N19+P19+R19+T19+V19+X19</f>
        <v>0</v>
      </c>
      <c r="E19" s="66">
        <f t="shared" si="3"/>
        <v>-196709</v>
      </c>
      <c r="F19" s="60"/>
      <c r="G19" s="38">
        <v>56264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>
        <v>-252973</v>
      </c>
    </row>
    <row r="20" spans="1:25" x14ac:dyDescent="0.2">
      <c r="A20" s="9">
        <v>7</v>
      </c>
      <c r="B20" s="7"/>
      <c r="C20" s="18" t="s">
        <v>29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30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31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35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36</v>
      </c>
      <c r="C24" s="6"/>
      <c r="D24" s="61">
        <f t="shared" ref="D24:M24" si="4">SUM(D19:D23)</f>
        <v>0</v>
      </c>
      <c r="E24" s="39">
        <f t="shared" si="4"/>
        <v>-196709</v>
      </c>
      <c r="F24" s="61">
        <f t="shared" si="4"/>
        <v>0</v>
      </c>
      <c r="G24" s="39">
        <f t="shared" si="4"/>
        <v>56264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-252973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38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39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40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42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43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44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45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46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48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49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50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-6483</v>
      </c>
      <c r="T41" s="60"/>
      <c r="U41" s="38">
        <v>6483</v>
      </c>
      <c r="V41" s="60"/>
      <c r="W41" s="38"/>
      <c r="X41" s="60"/>
      <c r="Y41" s="38"/>
    </row>
    <row r="42" spans="1:25" x14ac:dyDescent="0.2">
      <c r="A42" s="9"/>
      <c r="B42" s="7"/>
      <c r="C42" s="53" t="s">
        <v>51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-6483</v>
      </c>
      <c r="T42" s="61">
        <f t="shared" si="13"/>
        <v>0</v>
      </c>
      <c r="U42" s="39">
        <f t="shared" si="13"/>
        <v>6483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52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-6483</v>
      </c>
      <c r="T43" s="61">
        <f t="shared" si="15"/>
        <v>0</v>
      </c>
      <c r="U43" s="39">
        <f t="shared" si="15"/>
        <v>6483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53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54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55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56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58</v>
      </c>
      <c r="D54" s="66">
        <f>F54+H54+J54+L54+N54+P54+R54+T54+V54+X54</f>
        <v>0</v>
      </c>
      <c r="E54" s="66">
        <f>G54+I54+K54+M54+O54+Q54+S54+U54+W54+Y54</f>
        <v>2456635</v>
      </c>
      <c r="F54" s="60"/>
      <c r="G54" s="38">
        <f>1475+2181912+21750</f>
        <v>2205137</v>
      </c>
      <c r="H54" s="60"/>
      <c r="I54" s="38">
        <f>33000-42756</f>
        <v>-9756</v>
      </c>
      <c r="J54" s="60"/>
      <c r="K54" s="38"/>
      <c r="L54" s="60"/>
      <c r="M54" s="38"/>
      <c r="N54" s="60"/>
      <c r="O54" s="38"/>
      <c r="P54" s="60"/>
      <c r="Q54" s="38"/>
      <c r="R54" s="60"/>
      <c r="S54" s="38">
        <v>-1475</v>
      </c>
      <c r="T54" s="60"/>
      <c r="U54" s="38"/>
      <c r="V54" s="60"/>
      <c r="W54" s="38"/>
      <c r="X54" s="60"/>
      <c r="Y54" s="38">
        <f>252973-33000+42756</f>
        <v>262729</v>
      </c>
    </row>
    <row r="55" spans="1:25" x14ac:dyDescent="0.2">
      <c r="A55" s="9">
        <v>25</v>
      </c>
      <c r="B55" s="7"/>
      <c r="C55" s="18" t="s">
        <v>59</v>
      </c>
      <c r="D55" s="66">
        <f>F55+H55+J55+L55+N55+P55+R55+T55+V55+X55</f>
        <v>0</v>
      </c>
      <c r="E55" s="66">
        <f>G55+I55+K55+M55+O55+Q55+S55+U55+W55+Y55</f>
        <v>-471249.00999999978</v>
      </c>
      <c r="F55" s="60"/>
      <c r="G55" s="38">
        <f>10125-56264-47+14655-2181912</f>
        <v>-2213443</v>
      </c>
      <c r="H55" s="60"/>
      <c r="I55" s="38">
        <f>631059.99+287650+716253+52800+571644+105200+43736+32922</f>
        <v>2441264.9900000002</v>
      </c>
      <c r="J55" s="60"/>
      <c r="K55" s="38"/>
      <c r="L55" s="60"/>
      <c r="M55" s="38"/>
      <c r="N55" s="60"/>
      <c r="O55" s="38">
        <f>3906+5403+5944+299007+811529</f>
        <v>1125789</v>
      </c>
      <c r="P55" s="60"/>
      <c r="Q55" s="38"/>
      <c r="R55" s="60"/>
      <c r="S55" s="38"/>
      <c r="T55" s="60"/>
      <c r="U55" s="38"/>
      <c r="V55" s="60"/>
      <c r="W55" s="38">
        <v>-14655</v>
      </c>
      <c r="X55" s="60"/>
      <c r="Y55" s="38">
        <f>-287650-716253-52800-571644-105200-43736-32922</f>
        <v>-1810205</v>
      </c>
    </row>
    <row r="56" spans="1:25" x14ac:dyDescent="0.2">
      <c r="A56" s="9"/>
      <c r="B56" s="7" t="s">
        <v>60</v>
      </c>
      <c r="C56" s="6"/>
      <c r="D56" s="61">
        <f t="shared" ref="D56:M56" si="16">SUM(D54:D55)</f>
        <v>0</v>
      </c>
      <c r="E56" s="39">
        <f t="shared" si="16"/>
        <v>1985385.9900000002</v>
      </c>
      <c r="F56" s="61">
        <f t="shared" si="16"/>
        <v>0</v>
      </c>
      <c r="G56" s="39">
        <f t="shared" si="16"/>
        <v>-8306</v>
      </c>
      <c r="H56" s="61">
        <f t="shared" si="16"/>
        <v>0</v>
      </c>
      <c r="I56" s="39">
        <f t="shared" si="16"/>
        <v>2431508.9900000002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1125789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-1475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-14655</v>
      </c>
      <c r="X56" s="61">
        <f t="shared" si="17"/>
        <v>0</v>
      </c>
      <c r="Y56" s="39">
        <f t="shared" si="17"/>
        <v>-1547476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62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63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64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65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66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">
      <c r="A66" s="9"/>
      <c r="B66" s="7" t="s">
        <v>67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70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71</v>
      </c>
      <c r="D71" s="66">
        <f>F71+H71+J71+L71+N71+P71+R71+T71+V71+X71</f>
        <v>0</v>
      </c>
      <c r="E71" s="66">
        <f>G71+I71+K71+M71+O71+Q71+S71+U71+W71+Y71</f>
        <v>-21750</v>
      </c>
      <c r="F71" s="60"/>
      <c r="G71" s="38">
        <v>-21750</v>
      </c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72</v>
      </c>
      <c r="D72" s="61">
        <f t="shared" ref="D72:M72" si="22">SUM(D70:D71)</f>
        <v>0</v>
      </c>
      <c r="E72" s="39">
        <f t="shared" si="22"/>
        <v>-21750</v>
      </c>
      <c r="F72" s="61">
        <f t="shared" si="22"/>
        <v>0</v>
      </c>
      <c r="G72" s="39">
        <f t="shared" si="22"/>
        <v>-21750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73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74</v>
      </c>
      <c r="D74" s="66">
        <f t="shared" si="24"/>
        <v>0</v>
      </c>
      <c r="E74" s="66">
        <f t="shared" si="24"/>
        <v>1425717</v>
      </c>
      <c r="F74" s="60"/>
      <c r="G74" s="38">
        <v>-100000</v>
      </c>
      <c r="H74" s="60"/>
      <c r="I74" s="38">
        <v>0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f>1346250-149614-14500</f>
        <v>1182136</v>
      </c>
      <c r="T74" s="60"/>
      <c r="U74" s="38">
        <f>149614+14500+79467+100000</f>
        <v>343581</v>
      </c>
      <c r="V74" s="60"/>
      <c r="W74" s="38"/>
      <c r="X74" s="60"/>
      <c r="Y74" s="38"/>
    </row>
    <row r="75" spans="1:25" x14ac:dyDescent="0.2">
      <c r="A75" s="9">
        <v>34</v>
      </c>
      <c r="B75" s="3"/>
      <c r="C75" s="10" t="s">
        <v>75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76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77</v>
      </c>
      <c r="D77" s="66">
        <f t="shared" si="24"/>
        <v>0</v>
      </c>
      <c r="E77" s="66">
        <f t="shared" si="24"/>
        <v>9954543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0</v>
      </c>
      <c r="V77" s="60"/>
      <c r="W77" s="38"/>
      <c r="X77" s="60"/>
      <c r="Y77" s="38">
        <v>9954543</v>
      </c>
    </row>
    <row r="78" spans="1:25" x14ac:dyDescent="0.2">
      <c r="A78" s="9">
        <v>37</v>
      </c>
      <c r="B78" s="3"/>
      <c r="C78" s="10" t="s">
        <v>78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79</v>
      </c>
      <c r="D79" s="66">
        <f t="shared" si="24"/>
        <v>0</v>
      </c>
      <c r="E79" s="66">
        <f t="shared" si="24"/>
        <v>1531990</v>
      </c>
      <c r="F79" s="60"/>
      <c r="G79" s="38">
        <f>257386+1049898</f>
        <v>1307284</v>
      </c>
      <c r="H79" s="60"/>
      <c r="I79" s="38">
        <v>224706</v>
      </c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80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81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-2872708.99</v>
      </c>
      <c r="H82" s="92">
        <f>H16+H24+H29+H36+H43+H45+H47+H49</f>
        <v>0</v>
      </c>
      <c r="I82" s="93">
        <f>SUM(I72:I81)+I16+I24+I29+I36+I43+I45+I47+I49+I51+I56+I61+I66</f>
        <v>-1657233.0099999998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811529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1174178</v>
      </c>
      <c r="T82" s="92">
        <f>T16+T24+T29+T36+T43+T45+T47+T49</f>
        <v>0</v>
      </c>
      <c r="U82" s="93">
        <f>SUM(U72:U81)+U16+U24+U29+U36+U43+U45+U47+U49+U51+U56+U61+U66</f>
        <v>270597</v>
      </c>
      <c r="V82" s="92">
        <f>V16+V24+V29+V36+V43+V45+V47+V49</f>
        <v>0</v>
      </c>
      <c r="W82" s="93">
        <f>SUM(W72:W81)+W16+W24+W29+W36+W43+W45+W47+W49+W51+W56+W61+W66</f>
        <v>-14655</v>
      </c>
      <c r="X82" s="92">
        <f>X16+X24+X29+X36+X43+X45+X47+X49</f>
        <v>0</v>
      </c>
      <c r="Y82" s="93">
        <f>SUM(Y72:Y81)+Y16+Y24+Y29+Y36+Y43+Y45+Y47+Y49+Y51+Y56+Y61+Y66</f>
        <v>2288293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G13" sqref="G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ONT_FLSH!L11</f>
        <v>8282439</v>
      </c>
      <c r="E11" s="66">
        <f>ONT_FLSH!M11</f>
        <v>19073437</v>
      </c>
      <c r="F11" s="60">
        <f>'ONT_GL '!D11</f>
        <v>9403756</v>
      </c>
      <c r="G11" s="38">
        <f>'ONT_GL '!E11</f>
        <v>19810707</v>
      </c>
      <c r="H11" s="60">
        <f>F11-D11</f>
        <v>1121317</v>
      </c>
      <c r="I11" s="38">
        <f>G11-E11</f>
        <v>737270</v>
      </c>
    </row>
    <row r="12" spans="1:22" x14ac:dyDescent="0.2">
      <c r="A12" s="9">
        <v>2</v>
      </c>
      <c r="B12" s="7"/>
      <c r="C12" s="18" t="s">
        <v>29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-19375.46</v>
      </c>
      <c r="H12" s="60">
        <f>F12-D12</f>
        <v>0</v>
      </c>
      <c r="I12" s="38">
        <f>G12-E12</f>
        <v>-19375.46</v>
      </c>
    </row>
    <row r="13" spans="1:22" x14ac:dyDescent="0.2">
      <c r="A13" s="9">
        <v>3</v>
      </c>
      <c r="B13" s="7"/>
      <c r="C13" s="18" t="s">
        <v>30</v>
      </c>
      <c r="D13" s="65">
        <f>ONT_FLSH!L13</f>
        <v>3928389</v>
      </c>
      <c r="E13" s="66">
        <f>ONT_FLSH!M13</f>
        <v>9058926</v>
      </c>
      <c r="F13" s="60">
        <f>'ONT_GL '!D13</f>
        <v>2941839</v>
      </c>
      <c r="G13" s="38">
        <f>'ONT_GL '!E13</f>
        <v>6789801</v>
      </c>
      <c r="H13" s="60">
        <f t="shared" ref="H13:I15" si="0">F13-D13</f>
        <v>-986550</v>
      </c>
      <c r="I13" s="38">
        <f t="shared" si="0"/>
        <v>-2269125</v>
      </c>
    </row>
    <row r="14" spans="1:22" x14ac:dyDescent="0.2">
      <c r="A14" s="9">
        <v>4</v>
      </c>
      <c r="B14" s="7"/>
      <c r="C14" s="18" t="s">
        <v>31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12210828</v>
      </c>
      <c r="E16" s="39">
        <f t="shared" si="1"/>
        <v>28132363</v>
      </c>
      <c r="F16" s="61">
        <f t="shared" si="1"/>
        <v>12345595</v>
      </c>
      <c r="G16" s="39">
        <f t="shared" si="1"/>
        <v>26581132.539999999</v>
      </c>
      <c r="H16" s="61">
        <f t="shared" si="1"/>
        <v>134767</v>
      </c>
      <c r="I16" s="39">
        <f t="shared" si="1"/>
        <v>-1551230.46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ONT_FLSH!L19</f>
        <v>-7814436</v>
      </c>
      <c r="E19" s="66">
        <f>ONT_FLSH!M19</f>
        <v>-17970825</v>
      </c>
      <c r="F19" s="60">
        <f>'ONT_GL '!D19</f>
        <v>-10944670</v>
      </c>
      <c r="G19" s="38">
        <f>'ONT_GL '!E19</f>
        <v>-25050006</v>
      </c>
      <c r="H19" s="60">
        <f>F19-D19</f>
        <v>-3130234</v>
      </c>
      <c r="I19" s="38">
        <f>G19-E19</f>
        <v>-7079181</v>
      </c>
    </row>
    <row r="20" spans="1:9" x14ac:dyDescent="0.2">
      <c r="A20" s="9">
        <v>7</v>
      </c>
      <c r="B20" s="7"/>
      <c r="C20" s="18" t="s">
        <v>29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20976.74</v>
      </c>
      <c r="H20" s="60">
        <f>F20-D20</f>
        <v>0</v>
      </c>
      <c r="I20" s="38">
        <f>G20-E20</f>
        <v>20976.74</v>
      </c>
    </row>
    <row r="21" spans="1:9" x14ac:dyDescent="0.2">
      <c r="A21" s="9">
        <v>8</v>
      </c>
      <c r="B21" s="7"/>
      <c r="C21" s="18" t="s">
        <v>30</v>
      </c>
      <c r="D21" s="65">
        <f>ONT_FLSH!L21</f>
        <v>-4391586</v>
      </c>
      <c r="E21" s="66">
        <f>ONT_FLSH!M21</f>
        <v>-10165395</v>
      </c>
      <c r="F21" s="60">
        <f>'ONT_GL '!D21</f>
        <v>-1162000</v>
      </c>
      <c r="G21" s="38">
        <f>'ONT_GL '!E21</f>
        <v>-2684960</v>
      </c>
      <c r="H21" s="60">
        <f t="shared" ref="H21:I23" si="2">F21-D21</f>
        <v>3229586</v>
      </c>
      <c r="I21" s="38">
        <f t="shared" si="2"/>
        <v>7480435</v>
      </c>
    </row>
    <row r="22" spans="1:9" x14ac:dyDescent="0.2">
      <c r="A22" s="9">
        <v>9</v>
      </c>
      <c r="B22" s="7"/>
      <c r="C22" s="18" t="s">
        <v>31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-12206022</v>
      </c>
      <c r="E24" s="39">
        <f t="shared" si="3"/>
        <v>-28136220</v>
      </c>
      <c r="F24" s="61">
        <f t="shared" si="3"/>
        <v>-12106670</v>
      </c>
      <c r="G24" s="39">
        <f t="shared" si="3"/>
        <v>-27713989.260000002</v>
      </c>
      <c r="H24" s="61">
        <f t="shared" si="3"/>
        <v>99352</v>
      </c>
      <c r="I24" s="39">
        <f t="shared" si="3"/>
        <v>422230.74000000022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43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45</v>
      </c>
      <c r="D35" s="65">
        <f>ONT_FLSH!L35</f>
        <v>0</v>
      </c>
      <c r="E35" s="66">
        <f>ONT_FLSH!M35</f>
        <v>0</v>
      </c>
      <c r="F35" s="60">
        <f>'ONT_GL '!D35</f>
        <v>562918</v>
      </c>
      <c r="G35" s="38">
        <f>'ONT_GL '!E35</f>
        <v>72417</v>
      </c>
      <c r="H35" s="60">
        <f t="shared" si="5"/>
        <v>562918</v>
      </c>
      <c r="I35" s="38">
        <f t="shared" si="5"/>
        <v>72417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562918</v>
      </c>
      <c r="G36" s="39">
        <f t="shared" si="6"/>
        <v>72417</v>
      </c>
      <c r="H36" s="61">
        <f t="shared" si="6"/>
        <v>562918</v>
      </c>
      <c r="I36" s="39">
        <f t="shared" si="6"/>
        <v>72417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49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50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ONT_FLSH!L49</f>
        <v>-4806</v>
      </c>
      <c r="E49" s="66">
        <f>ONT_FLSH!M49</f>
        <v>-10957.68</v>
      </c>
      <c r="F49" s="60">
        <f>'ONT_GL '!D49</f>
        <v>-801843</v>
      </c>
      <c r="G49" s="38">
        <f>'ONT_GL '!E49</f>
        <v>-1828202</v>
      </c>
      <c r="H49" s="60">
        <f>F49-D49</f>
        <v>-797037</v>
      </c>
      <c r="I49" s="38">
        <f>G49-E49</f>
        <v>-1817244.32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59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-14655</v>
      </c>
      <c r="H55" s="60">
        <f>F55-D55</f>
        <v>0</v>
      </c>
      <c r="I55" s="38">
        <f>G55-E55</f>
        <v>-14655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-14655</v>
      </c>
      <c r="H56" s="61">
        <f t="shared" si="10"/>
        <v>0</v>
      </c>
      <c r="I56" s="39">
        <f t="shared" si="10"/>
        <v>-14655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63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ONT_FLSH!L70</f>
        <v>0</v>
      </c>
      <c r="E70" s="66">
        <f>ONT_FLSH!M70</f>
        <v>-832910</v>
      </c>
      <c r="F70" s="60">
        <f>'ONT_GL '!D70</f>
        <v>0</v>
      </c>
      <c r="G70" s="38">
        <f>'ONT_GL '!E70</f>
        <v>-832910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71</v>
      </c>
      <c r="D71" s="65">
        <f>ONT_FLSH!L71</f>
        <v>0</v>
      </c>
      <c r="E71" s="66">
        <f>ONT_FLSH!M71</f>
        <v>775951</v>
      </c>
      <c r="F71" s="60">
        <f>'ONT_GL '!D71</f>
        <v>0</v>
      </c>
      <c r="G71" s="38">
        <f>'ONT_GL '!E71</f>
        <v>808257</v>
      </c>
      <c r="H71" s="60">
        <f>F71-D71</f>
        <v>0</v>
      </c>
      <c r="I71" s="38">
        <f>G71-E71</f>
        <v>32306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-56959</v>
      </c>
      <c r="F72" s="69">
        <f t="shared" si="13"/>
        <v>0</v>
      </c>
      <c r="G72" s="70">
        <f t="shared" si="13"/>
        <v>-24653</v>
      </c>
      <c r="H72" s="69">
        <f t="shared" si="13"/>
        <v>0</v>
      </c>
      <c r="I72" s="70">
        <f t="shared" si="13"/>
        <v>32306</v>
      </c>
    </row>
    <row r="73" spans="1:9" x14ac:dyDescent="0.2">
      <c r="A73" s="9">
        <v>32</v>
      </c>
      <c r="B73" s="3"/>
      <c r="C73" s="10" t="s">
        <v>73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-988907</v>
      </c>
      <c r="H74" s="60">
        <f t="shared" ref="H74:I79" si="14">F74-D74</f>
        <v>0</v>
      </c>
      <c r="I74" s="38">
        <f t="shared" si="14"/>
        <v>-988907</v>
      </c>
    </row>
    <row r="75" spans="1:9" x14ac:dyDescent="0.2">
      <c r="A75" s="9">
        <v>34</v>
      </c>
      <c r="B75" s="3"/>
      <c r="C75" s="10" t="s">
        <v>75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-284</v>
      </c>
      <c r="H76" s="60">
        <f t="shared" si="14"/>
        <v>0</v>
      </c>
      <c r="I76" s="38">
        <f t="shared" si="14"/>
        <v>-284</v>
      </c>
    </row>
    <row r="77" spans="1:9" x14ac:dyDescent="0.2">
      <c r="A77" s="9">
        <v>36</v>
      </c>
      <c r="B77" s="3"/>
      <c r="C77" s="10" t="s">
        <v>77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78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-71773.679999999993</v>
      </c>
      <c r="F82" s="111">
        <f>F16+F24+F29+F36+F43+F45+F47+F49</f>
        <v>0</v>
      </c>
      <c r="G82" s="112">
        <f>SUM(G72:G81)+G16+G24+G29+G36+G43+G45+G47+G49+G51+G56+G61+G66</f>
        <v>-3917140.7200000025</v>
      </c>
      <c r="H82" s="111">
        <f>H16+H24+H29+H36+H43+H45+H47+H49</f>
        <v>0</v>
      </c>
      <c r="I82" s="112">
        <f>SUM(I72:I81)+I16+I24+I29+I36+I43+I45+I47+I49+I51+I56+I61+I66</f>
        <v>-3845367.04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173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177</v>
      </c>
      <c r="D86" s="175">
        <f>ONT_FLSH!L86</f>
        <v>0</v>
      </c>
      <c r="E86" s="175">
        <f>ONT_FLSH!M86</f>
        <v>26476</v>
      </c>
      <c r="F86" s="175">
        <f>'ONT_GL '!D86</f>
        <v>0</v>
      </c>
      <c r="G86" s="175">
        <f>'ONT_GL '!E86</f>
        <v>41420.639999999999</v>
      </c>
      <c r="H86" s="175">
        <f t="shared" ref="H86:I88" si="15">F86-D86</f>
        <v>0</v>
      </c>
      <c r="I86" s="175">
        <f t="shared" si="15"/>
        <v>14944.64</v>
      </c>
    </row>
    <row r="87" spans="1:63" x14ac:dyDescent="0.2">
      <c r="A87" s="174"/>
      <c r="B87" s="3"/>
      <c r="C87" s="10" t="s">
        <v>74</v>
      </c>
      <c r="D87" s="176">
        <f>ONT_FLSH!L87</f>
        <v>0</v>
      </c>
      <c r="E87" s="176">
        <f>ONT_FLSH!M87</f>
        <v>0</v>
      </c>
      <c r="F87" s="176">
        <f>'ONT_GL '!D87</f>
        <v>0</v>
      </c>
      <c r="G87" s="176">
        <f>'ONT_GL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75</v>
      </c>
      <c r="D88" s="177">
        <f>ONT_FLSH!L88</f>
        <v>0</v>
      </c>
      <c r="E88" s="177">
        <f>ONT_FLSH!M88</f>
        <v>0</v>
      </c>
      <c r="F88" s="177">
        <f>'ONT_GL '!D88</f>
        <v>0</v>
      </c>
      <c r="G88" s="177">
        <f>'ONT_GL '!E88</f>
        <v>-14945</v>
      </c>
      <c r="H88" s="177">
        <f t="shared" si="15"/>
        <v>0</v>
      </c>
      <c r="I88" s="177">
        <f t="shared" si="15"/>
        <v>-14945</v>
      </c>
    </row>
    <row r="89" spans="1:63" s="145" customFormat="1" x14ac:dyDescent="0.2">
      <c r="A89" s="188"/>
      <c r="B89" s="189"/>
      <c r="C89" s="187" t="s">
        <v>180</v>
      </c>
      <c r="D89" s="190">
        <f t="shared" ref="D89:I89" si="16">SUM(D86:D88)</f>
        <v>0</v>
      </c>
      <c r="E89" s="190">
        <f t="shared" si="16"/>
        <v>26476</v>
      </c>
      <c r="F89" s="190">
        <f t="shared" si="16"/>
        <v>0</v>
      </c>
      <c r="G89" s="190">
        <f t="shared" si="16"/>
        <v>26475.64</v>
      </c>
      <c r="H89" s="190">
        <f t="shared" si="16"/>
        <v>0</v>
      </c>
      <c r="I89" s="190">
        <f t="shared" si="16"/>
        <v>-0.36000000000058208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183</v>
      </c>
      <c r="D91" s="190">
        <f t="shared" ref="D91:I91" si="17">+D82+D89</f>
        <v>0</v>
      </c>
      <c r="E91" s="190">
        <f t="shared" si="17"/>
        <v>-45297.679999999993</v>
      </c>
      <c r="F91" s="190">
        <f t="shared" si="17"/>
        <v>0</v>
      </c>
      <c r="G91" s="190">
        <f t="shared" si="17"/>
        <v>-3890665.0800000024</v>
      </c>
      <c r="H91" s="190">
        <f t="shared" si="17"/>
        <v>0</v>
      </c>
      <c r="I91" s="190">
        <f t="shared" si="17"/>
        <v>-3845367.4</v>
      </c>
    </row>
    <row r="92" spans="1:63" s="145" customFormat="1" x14ac:dyDescent="0.2">
      <c r="A92" s="192"/>
      <c r="B92" s="189"/>
      <c r="D92" s="193"/>
      <c r="E92" s="19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28</v>
      </c>
      <c r="D11" s="65">
        <f>BUG_FLSH!D11</f>
        <v>5743537</v>
      </c>
      <c r="E11" s="66">
        <f>BUG_FLSH!E11</f>
        <v>11860606</v>
      </c>
      <c r="F11" s="60">
        <f>BUG_GL!D11</f>
        <v>5798202</v>
      </c>
      <c r="G11" s="38">
        <f>BUG_GL!E11</f>
        <v>14298634</v>
      </c>
      <c r="H11" s="60">
        <f>F11-D11</f>
        <v>54665</v>
      </c>
      <c r="I11" s="38">
        <f>G11-E11</f>
        <v>2438028</v>
      </c>
    </row>
    <row r="12" spans="1:22" x14ac:dyDescent="0.2">
      <c r="A12" s="9">
        <v>2</v>
      </c>
      <c r="B12" s="7"/>
      <c r="C12" s="18" t="s">
        <v>29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30</v>
      </c>
      <c r="D13" s="65">
        <f>BUG_FLSH!D13</f>
        <v>19872754</v>
      </c>
      <c r="E13" s="66">
        <f>BUG_FLSH!E13</f>
        <v>48750519</v>
      </c>
      <c r="F13" s="60">
        <f>BUG_GL!D13</f>
        <v>19806567</v>
      </c>
      <c r="G13" s="38">
        <f>BUG_GL!E13</f>
        <v>48575377</v>
      </c>
      <c r="H13" s="60">
        <f t="shared" ref="H13:I15" si="0">F13-D13</f>
        <v>-66187</v>
      </c>
      <c r="I13" s="38">
        <f t="shared" si="0"/>
        <v>-175142</v>
      </c>
    </row>
    <row r="14" spans="1:22" x14ac:dyDescent="0.2">
      <c r="A14" s="9">
        <v>4</v>
      </c>
      <c r="B14" s="7"/>
      <c r="C14" s="18" t="s">
        <v>31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32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279317</v>
      </c>
      <c r="H15" s="60">
        <f t="shared" si="0"/>
        <v>0</v>
      </c>
      <c r="I15" s="38">
        <f t="shared" si="0"/>
        <v>279317</v>
      </c>
    </row>
    <row r="16" spans="1:22" x14ac:dyDescent="0.2">
      <c r="A16" s="9"/>
      <c r="B16" s="7" t="s">
        <v>33</v>
      </c>
      <c r="C16" s="6"/>
      <c r="D16" s="61">
        <f t="shared" ref="D16:I16" si="1">SUM(D11:D15)</f>
        <v>25616291</v>
      </c>
      <c r="E16" s="39">
        <f t="shared" si="1"/>
        <v>60611125</v>
      </c>
      <c r="F16" s="61">
        <f t="shared" si="1"/>
        <v>25604769</v>
      </c>
      <c r="G16" s="39">
        <f t="shared" si="1"/>
        <v>63153328</v>
      </c>
      <c r="H16" s="61">
        <f t="shared" si="1"/>
        <v>-11522</v>
      </c>
      <c r="I16" s="39">
        <f t="shared" si="1"/>
        <v>2542203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28</v>
      </c>
      <c r="D19" s="65">
        <f>BUG_FLSH!D19</f>
        <v>-6260114</v>
      </c>
      <c r="E19" s="66">
        <f>BUG_FLSH!E19</f>
        <v>-12400647</v>
      </c>
      <c r="F19" s="60">
        <f>BUG_GL!D19</f>
        <v>-5718634</v>
      </c>
      <c r="G19" s="38">
        <f>BUG_GL!E19</f>
        <v>-11189822</v>
      </c>
      <c r="H19" s="60">
        <f>F19-D19</f>
        <v>541480</v>
      </c>
      <c r="I19" s="38">
        <f>G19-E19</f>
        <v>1210825</v>
      </c>
    </row>
    <row r="20" spans="1:9" x14ac:dyDescent="0.2">
      <c r="A20" s="9">
        <v>7</v>
      </c>
      <c r="B20" s="7"/>
      <c r="C20" s="18" t="s">
        <v>29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30</v>
      </c>
      <c r="D21" s="65">
        <f>BUG_FLSH!D21</f>
        <v>-25524776</v>
      </c>
      <c r="E21" s="66">
        <f>BUG_FLSH!E21</f>
        <v>-60935936</v>
      </c>
      <c r="F21" s="60">
        <f>BUG_GL!D21</f>
        <v>-25428560</v>
      </c>
      <c r="G21" s="38">
        <f>BUG_GL!E21</f>
        <v>-60695726</v>
      </c>
      <c r="H21" s="60">
        <f t="shared" ref="H21:I23" si="2">F21-D21</f>
        <v>96216</v>
      </c>
      <c r="I21" s="38">
        <f t="shared" si="2"/>
        <v>240210</v>
      </c>
    </row>
    <row r="22" spans="1:9" x14ac:dyDescent="0.2">
      <c r="A22" s="9">
        <v>9</v>
      </c>
      <c r="B22" s="7"/>
      <c r="C22" s="18" t="s">
        <v>31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35</v>
      </c>
      <c r="D23" s="65">
        <f>BUG_FLSH!D23</f>
        <v>529347</v>
      </c>
      <c r="E23" s="66">
        <f>BUG_FLSH!E23</f>
        <v>1224927</v>
      </c>
      <c r="F23" s="60">
        <f>BUG_GL!D23</f>
        <v>0</v>
      </c>
      <c r="G23" s="38">
        <f>BUG_GL!E23</f>
        <v>0</v>
      </c>
      <c r="H23" s="60">
        <f t="shared" si="2"/>
        <v>-529347</v>
      </c>
      <c r="I23" s="38">
        <f t="shared" si="2"/>
        <v>-1224927</v>
      </c>
    </row>
    <row r="24" spans="1:9" x14ac:dyDescent="0.2">
      <c r="A24" s="9"/>
      <c r="B24" s="7" t="s">
        <v>36</v>
      </c>
      <c r="C24" s="6"/>
      <c r="D24" s="61">
        <f t="shared" ref="D24:I24" si="3">SUM(D19:D23)</f>
        <v>-31255543</v>
      </c>
      <c r="E24" s="39">
        <f t="shared" si="3"/>
        <v>-72111656</v>
      </c>
      <c r="F24" s="61">
        <f t="shared" si="3"/>
        <v>-31147194</v>
      </c>
      <c r="G24" s="39">
        <f t="shared" si="3"/>
        <v>-71885548</v>
      </c>
      <c r="H24" s="61">
        <f t="shared" si="3"/>
        <v>108349</v>
      </c>
      <c r="I24" s="39">
        <f t="shared" si="3"/>
        <v>226108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38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39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42</v>
      </c>
      <c r="D32" s="65">
        <f>BUG_FLSH!D32</f>
        <v>17100</v>
      </c>
      <c r="E32" s="66">
        <f>BUG_FLSH!E32</f>
        <v>40185</v>
      </c>
      <c r="F32" s="60">
        <f>BUG_GL!D32</f>
        <v>19059</v>
      </c>
      <c r="G32" s="38">
        <f>BUG_GL!E32</f>
        <v>42443</v>
      </c>
      <c r="H32" s="60">
        <f>F32-D32</f>
        <v>1959</v>
      </c>
      <c r="I32" s="38">
        <f>G32-E32</f>
        <v>2258</v>
      </c>
    </row>
    <row r="33" spans="1:9" x14ac:dyDescent="0.2">
      <c r="A33" s="9">
        <v>14</v>
      </c>
      <c r="B33" s="7"/>
      <c r="C33" s="18" t="s">
        <v>43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44</v>
      </c>
      <c r="D34" s="65">
        <f>BUG_FLSH!D34</f>
        <v>0</v>
      </c>
      <c r="E34" s="66">
        <f>BUG_FLSH!E34</f>
        <v>0</v>
      </c>
      <c r="F34" s="60">
        <f>BUG_GL!D34</f>
        <v>3298</v>
      </c>
      <c r="G34" s="38">
        <f>BUG_GL!E34</f>
        <v>7570</v>
      </c>
      <c r="H34" s="60">
        <f t="shared" si="5"/>
        <v>3298</v>
      </c>
      <c r="I34" s="38">
        <f t="shared" si="5"/>
        <v>7570</v>
      </c>
    </row>
    <row r="35" spans="1:9" x14ac:dyDescent="0.2">
      <c r="A35" s="9">
        <v>16</v>
      </c>
      <c r="B35" s="7"/>
      <c r="C35" s="18" t="s">
        <v>45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46</v>
      </c>
      <c r="C36" s="6"/>
      <c r="D36" s="61">
        <f t="shared" ref="D36:I36" si="6">SUM(D32:D35)</f>
        <v>17100</v>
      </c>
      <c r="E36" s="39">
        <f t="shared" si="6"/>
        <v>40185</v>
      </c>
      <c r="F36" s="61">
        <f t="shared" si="6"/>
        <v>22357</v>
      </c>
      <c r="G36" s="39">
        <f t="shared" si="6"/>
        <v>50013</v>
      </c>
      <c r="H36" s="61">
        <f t="shared" si="6"/>
        <v>5257</v>
      </c>
      <c r="I36" s="39">
        <f t="shared" si="6"/>
        <v>9828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48</v>
      </c>
      <c r="D39" s="65">
        <f>BUG_FLSH!D39</f>
        <v>5659897</v>
      </c>
      <c r="E39" s="66">
        <f>BUG_FLSH!E39</f>
        <v>13850098</v>
      </c>
      <c r="F39" s="60">
        <f>BUG_GL!D39</f>
        <v>4426699</v>
      </c>
      <c r="G39" s="38">
        <f>BUG_GL!E39</f>
        <v>10812059</v>
      </c>
      <c r="H39" s="60">
        <f t="shared" ref="H39:I41" si="7">F39-D39</f>
        <v>-1233198</v>
      </c>
      <c r="I39" s="38">
        <f t="shared" si="7"/>
        <v>-3038039</v>
      </c>
    </row>
    <row r="40" spans="1:9" ht="22.5" customHeight="1" x14ac:dyDescent="0.2">
      <c r="A40" s="9">
        <v>18</v>
      </c>
      <c r="B40" s="7"/>
      <c r="C40" s="18" t="s">
        <v>49</v>
      </c>
      <c r="D40" s="65">
        <f>BUG_FLSH!D40</f>
        <v>0</v>
      </c>
      <c r="E40" s="66">
        <f>BUG_FLSH!E40</f>
        <v>0</v>
      </c>
      <c r="F40" s="60">
        <f>BUG_GL!D40</f>
        <v>1106981</v>
      </c>
      <c r="G40" s="38">
        <f>BUG_GL!E40</f>
        <v>2718723</v>
      </c>
      <c r="H40" s="60">
        <f t="shared" si="7"/>
        <v>1106981</v>
      </c>
      <c r="I40" s="38">
        <f t="shared" si="7"/>
        <v>2718723</v>
      </c>
    </row>
    <row r="41" spans="1:9" x14ac:dyDescent="0.2">
      <c r="A41" s="9">
        <v>19</v>
      </c>
      <c r="B41" s="7"/>
      <c r="C41" s="18" t="s">
        <v>50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1106981</v>
      </c>
      <c r="G42" s="70">
        <f t="shared" si="8"/>
        <v>2718723</v>
      </c>
      <c r="H42" s="69">
        <f t="shared" si="8"/>
        <v>1106981</v>
      </c>
      <c r="I42" s="70">
        <f t="shared" si="8"/>
        <v>2718723</v>
      </c>
    </row>
    <row r="43" spans="1:9" ht="21" customHeight="1" x14ac:dyDescent="0.2">
      <c r="A43" s="9"/>
      <c r="B43" s="7" t="s">
        <v>52</v>
      </c>
      <c r="C43" s="6"/>
      <c r="D43" s="61">
        <f t="shared" ref="D43:I43" si="9">D42+D39</f>
        <v>5659897</v>
      </c>
      <c r="E43" s="39">
        <f t="shared" si="9"/>
        <v>13850098</v>
      </c>
      <c r="F43" s="61">
        <f t="shared" si="9"/>
        <v>5533680</v>
      </c>
      <c r="G43" s="39">
        <f t="shared" si="9"/>
        <v>13530782</v>
      </c>
      <c r="H43" s="61">
        <f t="shared" si="9"/>
        <v>-126217</v>
      </c>
      <c r="I43" s="39">
        <f t="shared" si="9"/>
        <v>-319316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53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54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55</v>
      </c>
      <c r="C49" s="6"/>
      <c r="D49" s="65">
        <f>BUG_FLSH!D49</f>
        <v>-37745</v>
      </c>
      <c r="E49" s="66">
        <f>BUG_FLSH!E49</f>
        <v>-84058.114999999991</v>
      </c>
      <c r="F49" s="60">
        <f>BUG_GL!D49</f>
        <v>-13612</v>
      </c>
      <c r="G49" s="38">
        <f>BUG_GL!E49</f>
        <v>-30314</v>
      </c>
      <c r="H49" s="60">
        <f>F49-D49</f>
        <v>24133</v>
      </c>
      <c r="I49" s="38">
        <f>G49-E49</f>
        <v>53744.114999999991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56</v>
      </c>
      <c r="C51" s="6"/>
      <c r="D51" s="65">
        <f>BUG_FLSH!D51</f>
        <v>-529347</v>
      </c>
      <c r="E51" s="66">
        <f>BUG_FLSH!E51</f>
        <v>-1224927</v>
      </c>
      <c r="F51" s="60">
        <f>BUG_GL!D51</f>
        <v>-514013</v>
      </c>
      <c r="G51" s="38">
        <f>BUG_GL!E51</f>
        <v>-1144707</v>
      </c>
      <c r="H51" s="60">
        <f>F51-D51</f>
        <v>15334</v>
      </c>
      <c r="I51" s="38">
        <f>G51-E51</f>
        <v>80220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58</v>
      </c>
      <c r="D54" s="65">
        <f>BUG_FLSH!D54</f>
        <v>0</v>
      </c>
      <c r="E54" s="66">
        <f>BUG_FLSH!E54</f>
        <v>-501940</v>
      </c>
      <c r="F54" s="60">
        <f>BUG_GL!D54</f>
        <v>-16652170</v>
      </c>
      <c r="G54" s="38">
        <f>BUG_GL!E54</f>
        <v>-569364</v>
      </c>
      <c r="H54" s="60">
        <f>F54-D54</f>
        <v>-16652170</v>
      </c>
      <c r="I54" s="38">
        <f>G54-E54</f>
        <v>-67424</v>
      </c>
    </row>
    <row r="55" spans="1:9" x14ac:dyDescent="0.2">
      <c r="A55" s="9">
        <v>25</v>
      </c>
      <c r="B55" s="7"/>
      <c r="C55" s="18" t="s">
        <v>59</v>
      </c>
      <c r="D55" s="65">
        <f>BUG_FLSH!D55</f>
        <v>0</v>
      </c>
      <c r="E55" s="66">
        <f>BUG_FLSH!E55</f>
        <v>0</v>
      </c>
      <c r="F55" s="60">
        <f>BUG_GL!D55</f>
        <v>0</v>
      </c>
      <c r="G55" s="38">
        <f>BUG_GL!E55</f>
        <v>-10080057</v>
      </c>
      <c r="H55" s="60">
        <f>F55-D55</f>
        <v>0</v>
      </c>
      <c r="I55" s="38">
        <f>G55-E55</f>
        <v>-10080057</v>
      </c>
    </row>
    <row r="56" spans="1:9" x14ac:dyDescent="0.2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-501940</v>
      </c>
      <c r="F56" s="61">
        <f t="shared" si="10"/>
        <v>-16652170</v>
      </c>
      <c r="G56" s="39">
        <f t="shared" si="10"/>
        <v>-10649421</v>
      </c>
      <c r="H56" s="61">
        <f t="shared" si="10"/>
        <v>-16652170</v>
      </c>
      <c r="I56" s="39">
        <f t="shared" si="10"/>
        <v>-10147481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62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-46</v>
      </c>
      <c r="H59" s="60">
        <f>F59-D59</f>
        <v>0</v>
      </c>
      <c r="I59" s="38">
        <f>G59-E59</f>
        <v>-46</v>
      </c>
    </row>
    <row r="60" spans="1:9" x14ac:dyDescent="0.2">
      <c r="A60" s="9">
        <v>27</v>
      </c>
      <c r="B60" s="11"/>
      <c r="C60" s="18" t="s">
        <v>63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-46</v>
      </c>
      <c r="H61" s="69">
        <f t="shared" si="11"/>
        <v>0</v>
      </c>
      <c r="I61" s="70">
        <f t="shared" si="11"/>
        <v>-46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65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66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70</v>
      </c>
      <c r="D70" s="65">
        <f>BUG_FLSH!D70</f>
        <v>0</v>
      </c>
      <c r="E70" s="66">
        <f>BUG_FLSH!E70</f>
        <v>6075072.7361008003</v>
      </c>
      <c r="F70" s="60">
        <f>BUG_GL!D70</f>
        <v>0</v>
      </c>
      <c r="G70" s="38">
        <f>BUG_GL!E70</f>
        <v>6075072.7400000002</v>
      </c>
      <c r="H70" s="60">
        <f>F70-D70</f>
        <v>0</v>
      </c>
      <c r="I70" s="38">
        <f>G70-E70</f>
        <v>3.8991998881101608E-3</v>
      </c>
    </row>
    <row r="71" spans="1:9" x14ac:dyDescent="0.2">
      <c r="A71" s="9">
        <v>31</v>
      </c>
      <c r="B71" s="3"/>
      <c r="C71" s="10" t="s">
        <v>71</v>
      </c>
      <c r="D71" s="65">
        <f>BUG_FLSH!D71</f>
        <v>0</v>
      </c>
      <c r="E71" s="66">
        <f>BUG_FLSH!E71</f>
        <v>-5981502</v>
      </c>
      <c r="F71" s="60">
        <f>BUG_GL!D71</f>
        <v>0</v>
      </c>
      <c r="G71" s="38">
        <f>BUG_GL!E71</f>
        <v>-5981501.7300000004</v>
      </c>
      <c r="H71" s="60">
        <f>F71-D71</f>
        <v>0</v>
      </c>
      <c r="I71" s="38">
        <f>G71-E71</f>
        <v>0.26999999955296516</v>
      </c>
    </row>
    <row r="72" spans="1:9" x14ac:dyDescent="0.2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93570.736100800335</v>
      </c>
      <c r="F72" s="69">
        <f t="shared" si="13"/>
        <v>0</v>
      </c>
      <c r="G72" s="70">
        <f t="shared" si="13"/>
        <v>93571.009999999776</v>
      </c>
      <c r="H72" s="69">
        <f t="shared" si="13"/>
        <v>0</v>
      </c>
      <c r="I72" s="70">
        <f t="shared" si="13"/>
        <v>0.27389919944107533</v>
      </c>
    </row>
    <row r="73" spans="1:9" x14ac:dyDescent="0.2">
      <c r="A73" s="9">
        <v>32</v>
      </c>
      <c r="B73" s="3"/>
      <c r="C73" s="10" t="s">
        <v>73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74</v>
      </c>
      <c r="D74" s="65">
        <f>BUG_FLSH!D74</f>
        <v>0</v>
      </c>
      <c r="E74" s="66">
        <f>BUG_FLSH!E74</f>
        <v>758806</v>
      </c>
      <c r="F74" s="60">
        <f>BUG_GL!D74</f>
        <v>0</v>
      </c>
      <c r="G74" s="38">
        <f>BUG_GL!E74</f>
        <v>762348</v>
      </c>
      <c r="H74" s="60">
        <f t="shared" ref="H74:I79" si="14">F74-D74</f>
        <v>0</v>
      </c>
      <c r="I74" s="38">
        <f t="shared" si="14"/>
        <v>3542</v>
      </c>
    </row>
    <row r="75" spans="1:9" x14ac:dyDescent="0.2">
      <c r="A75" s="9">
        <v>34</v>
      </c>
      <c r="B75" s="3"/>
      <c r="C75" s="10" t="s">
        <v>75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76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77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9954543</v>
      </c>
      <c r="H77" s="60">
        <f t="shared" si="14"/>
        <v>0</v>
      </c>
      <c r="I77" s="38">
        <f t="shared" si="14"/>
        <v>9954543</v>
      </c>
    </row>
    <row r="78" spans="1:9" x14ac:dyDescent="0.2">
      <c r="A78" s="9">
        <v>37</v>
      </c>
      <c r="B78" s="3"/>
      <c r="C78" s="10" t="s">
        <v>78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79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80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81</v>
      </c>
      <c r="D81" s="65">
        <f>BUG_FLSH!D81</f>
        <v>0</v>
      </c>
      <c r="E81" s="66">
        <f>BUG_FLSH!E81</f>
        <v>6418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-6418</v>
      </c>
    </row>
    <row r="82" spans="1:63" s="2" customFormat="1" ht="20.25" customHeight="1" thickBot="1" x14ac:dyDescent="0.25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1437621.6211008001</v>
      </c>
      <c r="F82" s="111">
        <f>F16+F24+F29+F36+F43+F45+F47+F49</f>
        <v>0</v>
      </c>
      <c r="G82" s="112">
        <f>SUM(G72:G81)+G16+G24+G29+G36+G43+G45+G47+G49+G51+G56+G61+G66</f>
        <v>3834549.0100000054</v>
      </c>
      <c r="H82" s="111">
        <f>H16+H24+H29+H36+H43+H45+H47+H49</f>
        <v>0</v>
      </c>
      <c r="I82" s="112">
        <f>SUM(I72:I81)+I16+I24+I29+I36+I43+I45+I47+I49+I51+I56+I61+I66</f>
        <v>2396927.3888991997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V623" activePane="bottomRight" state="frozen"/>
      <selection pane="topRight" activeCell="E1" sqref="E1"/>
      <selection pane="bottomLeft" activeCell="A4" sqref="A4"/>
      <selection pane="bottomRight" activeCell="AA641" sqref="AA64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4" customWidth="1"/>
    <col min="12" max="12" width="11.7109375" customWidth="1"/>
    <col min="14" max="14" width="12.42578125" customWidth="1"/>
    <col min="15" max="15" width="11.28515625" customWidth="1"/>
    <col min="16" max="16" width="12.28515625" customWidth="1"/>
    <col min="27" max="27" width="11.28515625" customWidth="1"/>
  </cols>
  <sheetData>
    <row r="1" spans="1:118" ht="28.5" customHeight="1" x14ac:dyDescent="0.2">
      <c r="E1" s="208">
        <v>36312</v>
      </c>
      <c r="F1" s="208"/>
      <c r="G1" s="209">
        <f>+E1+31</f>
        <v>36343</v>
      </c>
      <c r="H1" s="209"/>
      <c r="I1" s="209">
        <f>+G1+30</f>
        <v>36373</v>
      </c>
      <c r="J1" s="209"/>
      <c r="K1" s="210">
        <f>+I1+31</f>
        <v>36404</v>
      </c>
      <c r="L1" s="210"/>
      <c r="M1" s="210">
        <f>+K1+31</f>
        <v>36435</v>
      </c>
      <c r="N1" s="210"/>
      <c r="O1" s="210">
        <f>+M1+30</f>
        <v>36465</v>
      </c>
      <c r="P1" s="210"/>
      <c r="Q1" s="210">
        <f>+O1+31</f>
        <v>36496</v>
      </c>
      <c r="R1" s="210"/>
      <c r="S1" s="210">
        <f>+Q1+31</f>
        <v>36527</v>
      </c>
      <c r="T1" s="210"/>
      <c r="U1" s="210">
        <f>+S1+31</f>
        <v>36558</v>
      </c>
      <c r="V1" s="210"/>
      <c r="W1" s="210">
        <f>+U1+31</f>
        <v>36589</v>
      </c>
      <c r="X1" s="210"/>
      <c r="Y1" s="210">
        <f>+W1+31</f>
        <v>36620</v>
      </c>
      <c r="Z1" s="210"/>
      <c r="AA1" s="210">
        <f>+Y1+31</f>
        <v>36651</v>
      </c>
      <c r="AB1" s="210"/>
      <c r="AC1" s="210">
        <f>+AA1+31</f>
        <v>36682</v>
      </c>
      <c r="AD1" s="210"/>
      <c r="AE1" s="210">
        <f>+AC1+31</f>
        <v>36713</v>
      </c>
      <c r="AF1" s="210"/>
      <c r="AG1" s="210"/>
      <c r="AH1" s="210"/>
    </row>
    <row r="2" spans="1:118" x14ac:dyDescent="0.2">
      <c r="A2" s="113" t="s">
        <v>118</v>
      </c>
      <c r="B2" s="113" t="s">
        <v>119</v>
      </c>
      <c r="C2" s="113" t="s">
        <v>120</v>
      </c>
      <c r="D2" s="113" t="s">
        <v>121</v>
      </c>
      <c r="E2" s="114" t="s">
        <v>122</v>
      </c>
      <c r="F2" s="114" t="s">
        <v>123</v>
      </c>
      <c r="G2" s="123" t="s">
        <v>124</v>
      </c>
    </row>
    <row r="3" spans="1:118" s="117" customFormat="1" x14ac:dyDescent="0.2">
      <c r="A3" s="115" t="s">
        <v>125</v>
      </c>
      <c r="B3" s="115" t="s">
        <v>119</v>
      </c>
      <c r="C3" s="115" t="s">
        <v>120</v>
      </c>
      <c r="D3" s="115" t="s">
        <v>121</v>
      </c>
      <c r="E3" s="116" t="s">
        <v>189</v>
      </c>
      <c r="F3" s="117" t="s">
        <v>190</v>
      </c>
      <c r="G3" s="170" t="s">
        <v>189</v>
      </c>
      <c r="H3" s="117" t="s">
        <v>190</v>
      </c>
      <c r="I3" s="170" t="s">
        <v>189</v>
      </c>
      <c r="J3" s="117" t="s">
        <v>190</v>
      </c>
      <c r="K3" s="116" t="s">
        <v>189</v>
      </c>
      <c r="L3" s="117" t="s">
        <v>190</v>
      </c>
      <c r="M3" s="116" t="s">
        <v>189</v>
      </c>
      <c r="N3" s="117" t="s">
        <v>190</v>
      </c>
      <c r="O3" s="116" t="s">
        <v>189</v>
      </c>
      <c r="P3" s="117" t="s">
        <v>190</v>
      </c>
      <c r="Q3" s="116" t="s">
        <v>189</v>
      </c>
      <c r="R3" s="117" t="s">
        <v>190</v>
      </c>
      <c r="S3" s="116" t="s">
        <v>189</v>
      </c>
      <c r="T3" s="117" t="s">
        <v>190</v>
      </c>
      <c r="U3" s="116" t="s">
        <v>189</v>
      </c>
      <c r="V3" s="117" t="s">
        <v>190</v>
      </c>
      <c r="W3" s="116" t="s">
        <v>189</v>
      </c>
      <c r="X3" s="117" t="s">
        <v>190</v>
      </c>
      <c r="Y3" s="116" t="s">
        <v>189</v>
      </c>
      <c r="Z3" s="117" t="s">
        <v>190</v>
      </c>
      <c r="AA3" s="116" t="s">
        <v>126</v>
      </c>
      <c r="AC3" s="116" t="s">
        <v>126</v>
      </c>
      <c r="AE3" s="116" t="s">
        <v>126</v>
      </c>
    </row>
    <row r="4" spans="1:118" x14ac:dyDescent="0.2">
      <c r="A4" s="118" t="s">
        <v>127</v>
      </c>
      <c r="B4" s="118" t="s">
        <v>128</v>
      </c>
      <c r="C4" s="119">
        <v>1</v>
      </c>
      <c r="D4" s="118" t="s">
        <v>28</v>
      </c>
      <c r="E4" s="120">
        <v>964829</v>
      </c>
      <c r="F4" s="120">
        <v>2116231.87</v>
      </c>
      <c r="G4" s="124">
        <v>58775</v>
      </c>
      <c r="H4" s="121">
        <v>125431.87</v>
      </c>
      <c r="I4" s="124">
        <v>0</v>
      </c>
      <c r="J4" s="121">
        <v>0</v>
      </c>
      <c r="K4" s="121">
        <v>0</v>
      </c>
      <c r="L4" s="121">
        <v>0</v>
      </c>
      <c r="M4" s="121">
        <v>-61478</v>
      </c>
      <c r="N4" s="121">
        <v>-136788.54999999999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127</v>
      </c>
      <c r="B5" s="118" t="s">
        <v>128</v>
      </c>
      <c r="C5" s="119">
        <v>2</v>
      </c>
      <c r="D5" s="118" t="s">
        <v>29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127</v>
      </c>
      <c r="B6" s="118" t="s">
        <v>128</v>
      </c>
      <c r="C6" s="119">
        <v>3</v>
      </c>
      <c r="D6" s="118" t="s">
        <v>30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127</v>
      </c>
      <c r="B7" s="118" t="s">
        <v>128</v>
      </c>
      <c r="C7" s="119">
        <v>4</v>
      </c>
      <c r="D7" s="118" t="s">
        <v>31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127</v>
      </c>
      <c r="B8" s="118" t="s">
        <v>128</v>
      </c>
      <c r="C8" s="119">
        <v>5</v>
      </c>
      <c r="D8" s="118" t="s">
        <v>129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127</v>
      </c>
      <c r="B9" s="118" t="s">
        <v>128</v>
      </c>
      <c r="C9" s="119">
        <v>6</v>
      </c>
      <c r="D9" s="118" t="s">
        <v>28</v>
      </c>
      <c r="E9" s="120">
        <v>-983775</v>
      </c>
      <c r="F9" s="120">
        <v>-2105036.44</v>
      </c>
      <c r="G9" s="124">
        <v>-145836</v>
      </c>
      <c r="H9" s="121">
        <v>-325447.98</v>
      </c>
      <c r="I9" s="124">
        <v>2239</v>
      </c>
      <c r="J9" s="121">
        <v>5470.64</v>
      </c>
      <c r="K9" s="121">
        <v>30</v>
      </c>
      <c r="L9" s="121">
        <v>57.12</v>
      </c>
      <c r="M9" s="121">
        <v>61478</v>
      </c>
      <c r="N9" s="121">
        <v>137290.63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127</v>
      </c>
      <c r="B10" s="118" t="s">
        <v>128</v>
      </c>
      <c r="C10" s="119">
        <v>7</v>
      </c>
      <c r="D10" s="118" t="s">
        <v>29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127</v>
      </c>
      <c r="B11" s="118" t="s">
        <v>128</v>
      </c>
      <c r="C11" s="119">
        <v>8</v>
      </c>
      <c r="D11" s="118" t="s">
        <v>30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127</v>
      </c>
      <c r="B12" s="118" t="s">
        <v>128</v>
      </c>
      <c r="C12" s="119">
        <v>9</v>
      </c>
      <c r="D12" s="118" t="s">
        <v>31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127</v>
      </c>
      <c r="B13" s="118" t="s">
        <v>128</v>
      </c>
      <c r="C13" s="119">
        <v>10</v>
      </c>
      <c r="D13" s="118" t="s">
        <v>35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127</v>
      </c>
      <c r="B14" s="118" t="s">
        <v>128</v>
      </c>
      <c r="C14" s="119">
        <v>11</v>
      </c>
      <c r="D14" s="118" t="s">
        <v>38</v>
      </c>
      <c r="E14" s="120">
        <v>24320</v>
      </c>
      <c r="F14" s="120">
        <v>54476.800000000003</v>
      </c>
      <c r="G14" s="124">
        <v>61975</v>
      </c>
      <c r="H14" s="121">
        <v>132503.4675</v>
      </c>
      <c r="I14" s="124">
        <v>24463</v>
      </c>
      <c r="J14" s="121">
        <v>52649.953800000003</v>
      </c>
      <c r="K14" s="121">
        <v>-50</v>
      </c>
      <c r="L14" s="121">
        <v>-106.0718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127</v>
      </c>
      <c r="B15" s="118" t="s">
        <v>128</v>
      </c>
      <c r="C15" s="119">
        <v>12</v>
      </c>
      <c r="D15" s="118" t="s">
        <v>39</v>
      </c>
      <c r="E15" s="120">
        <v>-5374</v>
      </c>
      <c r="F15" s="120">
        <v>-12177.94</v>
      </c>
      <c r="G15" s="124">
        <v>-1616</v>
      </c>
      <c r="H15" s="121">
        <v>-3684.34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127</v>
      </c>
      <c r="B16" s="118" t="s">
        <v>128</v>
      </c>
      <c r="C16" s="119">
        <v>13</v>
      </c>
      <c r="D16" s="118" t="s">
        <v>42</v>
      </c>
      <c r="E16" s="120">
        <v>0</v>
      </c>
      <c r="F16" s="120">
        <v>0</v>
      </c>
      <c r="G16" s="124">
        <v>26702</v>
      </c>
      <c r="H16" s="121">
        <v>58237.061999999998</v>
      </c>
      <c r="I16" s="124">
        <v>-26702</v>
      </c>
      <c r="J16" s="121">
        <v>-58237.061999999998</v>
      </c>
      <c r="K16" s="121">
        <v>20</v>
      </c>
      <c r="L16" s="121">
        <v>51.74</v>
      </c>
      <c r="M16" s="121">
        <v>0</v>
      </c>
      <c r="N16" s="121">
        <v>5.62</v>
      </c>
      <c r="O16" s="121">
        <v>0</v>
      </c>
      <c r="P16" s="121">
        <v>-14.98</v>
      </c>
      <c r="Q16" s="121">
        <v>0</v>
      </c>
      <c r="R16" s="121">
        <v>1.24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127</v>
      </c>
      <c r="B17" s="118" t="s">
        <v>128</v>
      </c>
      <c r="C17" s="119">
        <v>14</v>
      </c>
      <c r="D17" s="118" t="s">
        <v>43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127</v>
      </c>
      <c r="B18" s="118" t="s">
        <v>128</v>
      </c>
      <c r="C18" s="119">
        <v>15</v>
      </c>
      <c r="D18" s="118" t="s">
        <v>44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127</v>
      </c>
      <c r="B19" s="118" t="s">
        <v>128</v>
      </c>
      <c r="C19" s="119">
        <v>16</v>
      </c>
      <c r="D19" s="118" t="s">
        <v>45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127</v>
      </c>
      <c r="B20" s="118" t="s">
        <v>128</v>
      </c>
      <c r="C20" s="119">
        <v>17</v>
      </c>
      <c r="D20" s="118" t="s">
        <v>130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127</v>
      </c>
      <c r="B21" s="118" t="s">
        <v>128</v>
      </c>
      <c r="C21" s="119">
        <v>18</v>
      </c>
      <c r="D21" s="118" t="s">
        <v>131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127</v>
      </c>
      <c r="B22" s="118" t="s">
        <v>128</v>
      </c>
      <c r="C22" s="119">
        <v>19</v>
      </c>
      <c r="D22" s="118" t="s">
        <v>50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127</v>
      </c>
      <c r="B23" s="118" t="s">
        <v>128</v>
      </c>
      <c r="C23" s="119">
        <v>20</v>
      </c>
      <c r="D23" s="118" t="s">
        <v>132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127</v>
      </c>
      <c r="B24" s="118" t="s">
        <v>128</v>
      </c>
      <c r="C24" s="119">
        <v>21</v>
      </c>
      <c r="D24" s="118" t="s">
        <v>133</v>
      </c>
      <c r="E24" s="120">
        <v>0</v>
      </c>
      <c r="F24" s="120">
        <v>0</v>
      </c>
      <c r="G24" s="124">
        <v>0</v>
      </c>
      <c r="H24" s="121">
        <v>9717.56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127</v>
      </c>
      <c r="B25" s="118" t="s">
        <v>128</v>
      </c>
      <c r="C25" s="119">
        <v>22</v>
      </c>
      <c r="D25" s="118" t="s">
        <v>134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127</v>
      </c>
      <c r="B26" s="118" t="s">
        <v>128</v>
      </c>
      <c r="C26" s="119">
        <v>23</v>
      </c>
      <c r="D26" s="118" t="s">
        <v>135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127</v>
      </c>
      <c r="B27" s="118" t="s">
        <v>128</v>
      </c>
      <c r="C27" s="119">
        <v>24</v>
      </c>
      <c r="D27" s="118" t="s">
        <v>58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127</v>
      </c>
      <c r="B28" s="118" t="s">
        <v>128</v>
      </c>
      <c r="C28" s="119">
        <v>25</v>
      </c>
      <c r="D28" s="118" t="s">
        <v>59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127</v>
      </c>
      <c r="B29" s="118" t="s">
        <v>128</v>
      </c>
      <c r="C29" s="119">
        <v>26</v>
      </c>
      <c r="D29" s="118" t="s">
        <v>136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1949.96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127</v>
      </c>
      <c r="B30" s="118" t="s">
        <v>128</v>
      </c>
      <c r="C30" s="119">
        <v>27</v>
      </c>
      <c r="D30" s="118" t="s">
        <v>137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127</v>
      </c>
      <c r="B31" s="118" t="s">
        <v>128</v>
      </c>
      <c r="C31" s="119">
        <v>28</v>
      </c>
      <c r="D31" s="118" t="s">
        <v>138</v>
      </c>
      <c r="E31" s="120">
        <v>-625579</v>
      </c>
      <c r="F31" s="120">
        <v>-83203.570000000007</v>
      </c>
      <c r="G31" s="124">
        <v>-266970</v>
      </c>
      <c r="H31" s="121">
        <v>-9025.94</v>
      </c>
      <c r="I31" s="124">
        <v>-3751</v>
      </c>
      <c r="J31" s="121">
        <v>-2018.13</v>
      </c>
      <c r="K31" s="121">
        <v>3751</v>
      </c>
      <c r="L31" s="121">
        <v>0.23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127</v>
      </c>
      <c r="B32" s="118" t="s">
        <v>128</v>
      </c>
      <c r="C32" s="119">
        <v>29</v>
      </c>
      <c r="D32" s="118" t="s">
        <v>139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127</v>
      </c>
      <c r="B33" s="118" t="s">
        <v>128</v>
      </c>
      <c r="C33" s="119">
        <v>30</v>
      </c>
      <c r="D33" s="118" t="s">
        <v>140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127</v>
      </c>
      <c r="B34" s="118" t="s">
        <v>128</v>
      </c>
      <c r="C34" s="119">
        <v>31</v>
      </c>
      <c r="D34" s="118" t="s">
        <v>141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127</v>
      </c>
      <c r="B35" s="118" t="s">
        <v>128</v>
      </c>
      <c r="C35" s="119">
        <v>32</v>
      </c>
      <c r="D35" s="118" t="s">
        <v>73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127</v>
      </c>
      <c r="B36" s="118" t="s">
        <v>128</v>
      </c>
      <c r="C36" s="119">
        <v>33</v>
      </c>
      <c r="D36" s="118" t="s">
        <v>74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127</v>
      </c>
      <c r="B37" s="118" t="s">
        <v>128</v>
      </c>
      <c r="C37" s="119">
        <v>34</v>
      </c>
      <c r="D37" s="118" t="s">
        <v>75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127</v>
      </c>
      <c r="B38" s="118" t="s">
        <v>128</v>
      </c>
      <c r="C38" s="119">
        <v>35</v>
      </c>
      <c r="D38" s="118" t="s">
        <v>76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127</v>
      </c>
      <c r="B39" s="118" t="s">
        <v>128</v>
      </c>
      <c r="C39" s="119">
        <v>36</v>
      </c>
      <c r="D39" s="118" t="s">
        <v>77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127</v>
      </c>
      <c r="B40" s="118" t="s">
        <v>128</v>
      </c>
      <c r="C40" s="119">
        <v>37</v>
      </c>
      <c r="D40" s="118" t="s">
        <v>78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127</v>
      </c>
      <c r="B41" s="118" t="s">
        <v>128</v>
      </c>
      <c r="C41" s="119">
        <v>38</v>
      </c>
      <c r="D41" s="118" t="s">
        <v>79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127</v>
      </c>
      <c r="B42" s="118" t="s">
        <v>128</v>
      </c>
      <c r="C42" s="119">
        <v>39</v>
      </c>
      <c r="D42" s="118" t="s">
        <v>80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127</v>
      </c>
      <c r="B43" s="118" t="s">
        <v>128</v>
      </c>
      <c r="C43" s="119">
        <v>40</v>
      </c>
      <c r="D43" s="118" t="s">
        <v>81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142</v>
      </c>
      <c r="B44" t="s">
        <v>143</v>
      </c>
      <c r="C44">
        <v>1</v>
      </c>
      <c r="D44" t="s">
        <v>28</v>
      </c>
      <c r="E44" s="14">
        <v>8391437</v>
      </c>
      <c r="F44" s="14">
        <v>19132325.850000001</v>
      </c>
      <c r="G44" s="124">
        <v>79389</v>
      </c>
      <c r="H44" s="121">
        <v>128950.52</v>
      </c>
      <c r="I44" s="124">
        <v>-450</v>
      </c>
      <c r="J44" s="121">
        <v>-1039.5</v>
      </c>
      <c r="K44" s="121">
        <v>0</v>
      </c>
      <c r="L44" s="121">
        <v>0</v>
      </c>
      <c r="M44" s="121">
        <v>1</v>
      </c>
      <c r="N44" s="121">
        <v>-6481.38</v>
      </c>
      <c r="O44" s="121">
        <v>958</v>
      </c>
      <c r="P44" s="121">
        <v>2212.98</v>
      </c>
      <c r="Q44" s="121">
        <v>-1</v>
      </c>
      <c r="R44" s="121">
        <v>-6708.71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142</v>
      </c>
      <c r="B45" t="s">
        <v>143</v>
      </c>
      <c r="C45">
        <v>2</v>
      </c>
      <c r="D45" t="s">
        <v>29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142</v>
      </c>
      <c r="B46" t="s">
        <v>143</v>
      </c>
      <c r="C46">
        <v>3</v>
      </c>
      <c r="D46" t="s">
        <v>30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142</v>
      </c>
      <c r="B47" t="s">
        <v>143</v>
      </c>
      <c r="C47">
        <v>4</v>
      </c>
      <c r="D47" t="s">
        <v>31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142</v>
      </c>
      <c r="B48" t="s">
        <v>143</v>
      </c>
      <c r="C48">
        <v>5</v>
      </c>
      <c r="D48" t="s">
        <v>129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142</v>
      </c>
      <c r="B49" t="s">
        <v>143</v>
      </c>
      <c r="C49">
        <v>6</v>
      </c>
      <c r="D49" t="s">
        <v>28</v>
      </c>
      <c r="E49" s="14">
        <v>-378086</v>
      </c>
      <c r="F49" s="14">
        <v>-810408.32</v>
      </c>
      <c r="G49" s="124">
        <v>-515342</v>
      </c>
      <c r="H49" s="121">
        <v>-1146705.24</v>
      </c>
      <c r="I49" s="124">
        <v>46427</v>
      </c>
      <c r="J49" s="121">
        <v>101881.32</v>
      </c>
      <c r="K49" s="121">
        <v>0</v>
      </c>
      <c r="L49" s="121">
        <v>0</v>
      </c>
      <c r="M49" s="121">
        <v>0</v>
      </c>
      <c r="N49" s="121">
        <v>0</v>
      </c>
      <c r="O49" s="121">
        <v>0</v>
      </c>
      <c r="P49" s="121">
        <v>69.2</v>
      </c>
      <c r="Q49" s="121">
        <v>0</v>
      </c>
      <c r="R49" s="121">
        <v>0</v>
      </c>
      <c r="S49" s="121">
        <v>0</v>
      </c>
      <c r="T49" s="121">
        <v>59.76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142</v>
      </c>
      <c r="B50" t="s">
        <v>143</v>
      </c>
      <c r="C50">
        <v>7</v>
      </c>
      <c r="D50" t="s">
        <v>29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142</v>
      </c>
      <c r="B51" t="s">
        <v>143</v>
      </c>
      <c r="C51">
        <v>8</v>
      </c>
      <c r="D51" t="s">
        <v>30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142</v>
      </c>
      <c r="B52" t="s">
        <v>143</v>
      </c>
      <c r="C52">
        <v>9</v>
      </c>
      <c r="D52" t="s">
        <v>31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142</v>
      </c>
      <c r="B53" t="s">
        <v>143</v>
      </c>
      <c r="C53">
        <v>10</v>
      </c>
      <c r="D53" t="s">
        <v>35</v>
      </c>
      <c r="E53" s="14">
        <v>0</v>
      </c>
      <c r="F53" s="14">
        <v>0</v>
      </c>
      <c r="G53" s="124">
        <v>50345</v>
      </c>
      <c r="H53" s="121">
        <v>115135.49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454.15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-16182</v>
      </c>
      <c r="X53" s="121">
        <v>-37056.78</v>
      </c>
      <c r="Y53" s="121">
        <v>0</v>
      </c>
      <c r="Z53" s="121">
        <v>0</v>
      </c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142</v>
      </c>
      <c r="B54" t="s">
        <v>143</v>
      </c>
      <c r="C54">
        <v>11</v>
      </c>
      <c r="D54" t="s">
        <v>38</v>
      </c>
      <c r="E54" s="14">
        <v>1958491</v>
      </c>
      <c r="F54" s="14">
        <v>4344319.2699999996</v>
      </c>
      <c r="G54" s="124">
        <v>-85802</v>
      </c>
      <c r="H54" s="121">
        <v>-27391.08</v>
      </c>
      <c r="I54" s="124">
        <v>-37183</v>
      </c>
      <c r="J54" s="121">
        <v>-84537.38</v>
      </c>
      <c r="K54" s="121">
        <v>-397971</v>
      </c>
      <c r="L54" s="121">
        <v>-904940.13</v>
      </c>
      <c r="M54" s="121">
        <v>161497</v>
      </c>
      <c r="N54" s="121">
        <v>354597.16</v>
      </c>
      <c r="O54" s="121">
        <v>24504</v>
      </c>
      <c r="P54" s="121">
        <v>54019.07</v>
      </c>
      <c r="Q54" s="121">
        <v>-307682</v>
      </c>
      <c r="R54" s="121">
        <v>-713124.39</v>
      </c>
      <c r="S54" s="121">
        <v>-24474</v>
      </c>
      <c r="T54" s="121">
        <v>-53952.12</v>
      </c>
      <c r="U54" s="121">
        <v>0</v>
      </c>
      <c r="V54" s="121">
        <v>0</v>
      </c>
      <c r="W54" s="121">
        <v>0</v>
      </c>
      <c r="X54" s="121">
        <v>0</v>
      </c>
      <c r="Y54" s="121">
        <v>0</v>
      </c>
      <c r="Z54" s="121">
        <v>0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142</v>
      </c>
      <c r="B55" t="s">
        <v>143</v>
      </c>
      <c r="C55">
        <v>12</v>
      </c>
      <c r="D55" t="s">
        <v>39</v>
      </c>
      <c r="E55" s="14">
        <v>-10055426</v>
      </c>
      <c r="F55" s="14">
        <v>-22938494.120000001</v>
      </c>
      <c r="G55" s="124">
        <v>44406</v>
      </c>
      <c r="H55" s="121">
        <v>-7315.9200000000419</v>
      </c>
      <c r="I55" s="124">
        <v>43227</v>
      </c>
      <c r="J55" s="121">
        <v>99691.31</v>
      </c>
      <c r="K55" s="121">
        <v>333567</v>
      </c>
      <c r="L55" s="121">
        <v>769193.52</v>
      </c>
      <c r="M55" s="121">
        <v>-113691</v>
      </c>
      <c r="N55" s="121">
        <v>-307253.01</v>
      </c>
      <c r="O55" s="121">
        <v>-24474</v>
      </c>
      <c r="P55" s="121">
        <v>-53952.94</v>
      </c>
      <c r="Q55" s="121">
        <v>307752</v>
      </c>
      <c r="R55" s="121">
        <v>713429.23</v>
      </c>
      <c r="S55" s="121">
        <v>24474</v>
      </c>
      <c r="T55" s="121">
        <v>53813.87</v>
      </c>
      <c r="U55" s="121">
        <v>0</v>
      </c>
      <c r="V55" s="121">
        <v>-0.82</v>
      </c>
      <c r="W55" s="121">
        <v>0</v>
      </c>
      <c r="X55" s="121">
        <v>0</v>
      </c>
      <c r="Y55" s="121">
        <v>0</v>
      </c>
      <c r="Z55" s="121">
        <v>0</v>
      </c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142</v>
      </c>
      <c r="B56" t="s">
        <v>143</v>
      </c>
      <c r="C56">
        <v>13</v>
      </c>
      <c r="D56" t="s">
        <v>42</v>
      </c>
      <c r="E56" s="14">
        <v>0</v>
      </c>
      <c r="F56" s="14">
        <v>0</v>
      </c>
      <c r="G56" s="124">
        <v>49053</v>
      </c>
      <c r="H56" s="121">
        <v>109339.137</v>
      </c>
      <c r="I56" s="124">
        <v>0</v>
      </c>
      <c r="J56" s="121">
        <v>1765.9079999999999</v>
      </c>
      <c r="K56" s="121">
        <v>-25893</v>
      </c>
      <c r="L56" s="121">
        <v>-50564.805</v>
      </c>
      <c r="M56" s="121">
        <v>23464</v>
      </c>
      <c r="N56" s="121">
        <v>74576.111999999994</v>
      </c>
      <c r="O56" s="121">
        <v>208</v>
      </c>
      <c r="P56" s="121">
        <v>-30727.824000000001</v>
      </c>
      <c r="Q56" s="121">
        <v>290</v>
      </c>
      <c r="R56" s="121">
        <v>646.41</v>
      </c>
      <c r="S56" s="121">
        <v>0</v>
      </c>
      <c r="T56" s="121">
        <v>0</v>
      </c>
      <c r="U56" s="121">
        <v>-27496</v>
      </c>
      <c r="V56" s="121">
        <v>-61288.584000000003</v>
      </c>
      <c r="W56" s="121">
        <v>16182</v>
      </c>
      <c r="X56" s="121">
        <v>36069.678</v>
      </c>
      <c r="Y56" s="121">
        <v>0</v>
      </c>
      <c r="Z56" s="121">
        <v>0</v>
      </c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142</v>
      </c>
      <c r="B57" t="s">
        <v>143</v>
      </c>
      <c r="C57">
        <v>14</v>
      </c>
      <c r="D57" t="s">
        <v>43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142</v>
      </c>
      <c r="B58" t="s">
        <v>143</v>
      </c>
      <c r="C58">
        <v>15</v>
      </c>
      <c r="D58" t="s">
        <v>44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142</v>
      </c>
      <c r="B59" t="s">
        <v>143</v>
      </c>
      <c r="C59">
        <v>16</v>
      </c>
      <c r="D59" t="s">
        <v>45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142</v>
      </c>
      <c r="B60" t="s">
        <v>143</v>
      </c>
      <c r="C60">
        <v>17</v>
      </c>
      <c r="D60" t="s">
        <v>130</v>
      </c>
      <c r="E60" s="14">
        <v>0</v>
      </c>
      <c r="F60" s="14">
        <v>0</v>
      </c>
      <c r="G60" s="124">
        <v>1085249</v>
      </c>
      <c r="H60" s="121">
        <v>2474367.7200000002</v>
      </c>
      <c r="I60" s="124">
        <v>-31404</v>
      </c>
      <c r="J60" s="121">
        <v>-71601.119999999995</v>
      </c>
      <c r="K60" s="121">
        <v>-73157</v>
      </c>
      <c r="L60" s="121">
        <v>-166797.96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142</v>
      </c>
      <c r="B61" t="s">
        <v>143</v>
      </c>
      <c r="C61">
        <v>18</v>
      </c>
      <c r="D61" t="s">
        <v>131</v>
      </c>
      <c r="E61" s="14">
        <v>0</v>
      </c>
      <c r="F61" s="14">
        <v>0</v>
      </c>
      <c r="G61" s="124">
        <v>-683126</v>
      </c>
      <c r="H61" s="121">
        <v>-1557527.28</v>
      </c>
      <c r="I61" s="124">
        <v>25360</v>
      </c>
      <c r="J61" s="121">
        <v>57820.800000000003</v>
      </c>
      <c r="K61" s="121">
        <v>73157</v>
      </c>
      <c r="L61" s="121">
        <v>166797.96</v>
      </c>
      <c r="M61" s="121">
        <v>0</v>
      </c>
      <c r="N61" s="121">
        <v>0</v>
      </c>
      <c r="O61" s="121">
        <v>0</v>
      </c>
      <c r="P61" s="121">
        <v>0</v>
      </c>
      <c r="Q61" s="121">
        <v>-100</v>
      </c>
      <c r="R61" s="121">
        <v>-228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142</v>
      </c>
      <c r="B62" t="s">
        <v>143</v>
      </c>
      <c r="C62">
        <v>19</v>
      </c>
      <c r="D62" t="s">
        <v>50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142</v>
      </c>
      <c r="B63" t="s">
        <v>143</v>
      </c>
      <c r="C63">
        <v>20</v>
      </c>
      <c r="D63" t="s">
        <v>132</v>
      </c>
      <c r="E63" s="14">
        <v>0</v>
      </c>
      <c r="F63" s="14">
        <v>0</v>
      </c>
      <c r="G63" s="124">
        <v>-25247</v>
      </c>
      <c r="H63" s="121">
        <v>-48726.71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3182.62</v>
      </c>
      <c r="O63" s="121">
        <v>0</v>
      </c>
      <c r="P63" s="121">
        <v>0</v>
      </c>
      <c r="Q63" s="121">
        <v>0</v>
      </c>
      <c r="R63" s="121">
        <v>0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142</v>
      </c>
      <c r="B64" t="s">
        <v>143</v>
      </c>
      <c r="C64">
        <v>21</v>
      </c>
      <c r="D64" t="s">
        <v>133</v>
      </c>
      <c r="E64" s="14">
        <v>0</v>
      </c>
      <c r="F64" s="14">
        <v>0</v>
      </c>
      <c r="G64" s="124">
        <v>0</v>
      </c>
      <c r="H64" s="121">
        <v>0</v>
      </c>
      <c r="I64" s="124">
        <v>0</v>
      </c>
      <c r="J64" s="121">
        <v>0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142</v>
      </c>
      <c r="B65" t="s">
        <v>143</v>
      </c>
      <c r="C65">
        <v>22</v>
      </c>
      <c r="D65" t="s">
        <v>134</v>
      </c>
      <c r="E65" s="14">
        <v>83584</v>
      </c>
      <c r="F65" s="14">
        <v>186308.736</v>
      </c>
      <c r="G65" s="124">
        <v>1075</v>
      </c>
      <c r="H65" s="121">
        <v>2396.1709999999998</v>
      </c>
      <c r="I65" s="124">
        <v>-45977</v>
      </c>
      <c r="J65" s="121">
        <v>-102482.73299999999</v>
      </c>
      <c r="K65" s="121">
        <v>90297</v>
      </c>
      <c r="L65" s="121">
        <v>201272.01300000001</v>
      </c>
      <c r="M65" s="121">
        <v>-71271</v>
      </c>
      <c r="N65" s="121">
        <v>-158863.05900000001</v>
      </c>
      <c r="O65" s="121">
        <v>-1196</v>
      </c>
      <c r="P65" s="121">
        <v>-2665.884</v>
      </c>
      <c r="Q65" s="121">
        <v>-259</v>
      </c>
      <c r="R65" s="121">
        <v>-577.31100000000004</v>
      </c>
      <c r="S65" s="121">
        <v>0</v>
      </c>
      <c r="T65" s="121">
        <v>0</v>
      </c>
      <c r="U65" s="121">
        <v>27496</v>
      </c>
      <c r="V65" s="121">
        <v>61288.584000000003</v>
      </c>
      <c r="W65" s="121">
        <v>0</v>
      </c>
      <c r="X65" s="121">
        <v>0</v>
      </c>
      <c r="Y65" s="121">
        <v>0</v>
      </c>
      <c r="Z65" s="121">
        <v>0</v>
      </c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142</v>
      </c>
      <c r="B66" t="s">
        <v>143</v>
      </c>
      <c r="C66">
        <v>23</v>
      </c>
      <c r="D66" t="s">
        <v>135</v>
      </c>
      <c r="E66" s="14">
        <v>0</v>
      </c>
      <c r="F66" s="14">
        <v>0</v>
      </c>
      <c r="G66" s="124">
        <v>-50345</v>
      </c>
      <c r="H66" s="121">
        <v>-115135.49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-454.15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142</v>
      </c>
      <c r="B67" t="s">
        <v>143</v>
      </c>
      <c r="C67">
        <v>24</v>
      </c>
      <c r="D67" t="s">
        <v>58</v>
      </c>
      <c r="E67" s="14">
        <v>0</v>
      </c>
      <c r="F67" s="14">
        <v>20105.2</v>
      </c>
      <c r="G67" s="124">
        <v>0</v>
      </c>
      <c r="H67" s="121">
        <v>-3.05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-95813</v>
      </c>
      <c r="Z67" s="121">
        <v>-2874.39</v>
      </c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142</v>
      </c>
      <c r="B68" t="s">
        <v>143</v>
      </c>
      <c r="C68">
        <v>25</v>
      </c>
      <c r="D68" t="s">
        <v>59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142</v>
      </c>
      <c r="B69" t="s">
        <v>143</v>
      </c>
      <c r="C69">
        <v>26</v>
      </c>
      <c r="D69" t="s">
        <v>136</v>
      </c>
      <c r="E69" s="14">
        <v>2992830</v>
      </c>
      <c r="F69" s="14">
        <v>46484.87</v>
      </c>
      <c r="G69" s="124">
        <v>133968</v>
      </c>
      <c r="H69" s="121">
        <v>9520.52</v>
      </c>
      <c r="I69" s="124">
        <v>5932</v>
      </c>
      <c r="J69" s="121">
        <v>0</v>
      </c>
      <c r="K69" s="121">
        <v>0</v>
      </c>
      <c r="L69" s="121">
        <v>0</v>
      </c>
      <c r="M69" s="121">
        <v>0</v>
      </c>
      <c r="N69" s="121">
        <v>-97.16</v>
      </c>
      <c r="O69" s="121">
        <v>0</v>
      </c>
      <c r="P69" s="121">
        <v>77.75</v>
      </c>
      <c r="Q69" s="121">
        <v>115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142</v>
      </c>
      <c r="B70" t="s">
        <v>143</v>
      </c>
      <c r="C70">
        <v>27</v>
      </c>
      <c r="D70" t="s">
        <v>137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142</v>
      </c>
      <c r="B71" t="s">
        <v>143</v>
      </c>
      <c r="C71">
        <v>28</v>
      </c>
      <c r="D71" t="s">
        <v>138</v>
      </c>
      <c r="E71" s="14">
        <v>-12224792</v>
      </c>
      <c r="F71" s="14">
        <v>-1306444.3</v>
      </c>
      <c r="G71" s="124">
        <v>-7967199</v>
      </c>
      <c r="H71" s="121">
        <v>-674887.76</v>
      </c>
      <c r="I71" s="124">
        <v>31404</v>
      </c>
      <c r="J71" s="121">
        <v>0</v>
      </c>
      <c r="K71" s="121">
        <v>146314</v>
      </c>
      <c r="L71" s="121">
        <v>16866.04</v>
      </c>
      <c r="M71" s="121">
        <v>0</v>
      </c>
      <c r="N71" s="121">
        <v>277625.75</v>
      </c>
      <c r="O71" s="121">
        <v>-24474</v>
      </c>
      <c r="P71" s="121">
        <v>-284370.77</v>
      </c>
      <c r="Q71" s="121">
        <v>152365</v>
      </c>
      <c r="R71" s="121">
        <v>15236.5</v>
      </c>
      <c r="S71" s="121">
        <v>0</v>
      </c>
      <c r="T71" s="121">
        <v>-0.01</v>
      </c>
      <c r="U71" s="121">
        <v>0</v>
      </c>
      <c r="V71" s="121">
        <v>0.01</v>
      </c>
      <c r="W71" s="121">
        <v>0</v>
      </c>
      <c r="X71" s="121">
        <v>-0.01</v>
      </c>
      <c r="Y71" s="121">
        <v>0</v>
      </c>
      <c r="Z71" s="121">
        <v>0</v>
      </c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142</v>
      </c>
      <c r="B72" t="s">
        <v>143</v>
      </c>
      <c r="C72">
        <v>29</v>
      </c>
      <c r="D72" t="s">
        <v>139</v>
      </c>
      <c r="E72" s="14">
        <v>11108431</v>
      </c>
      <c r="F72" s="14">
        <v>1306444.29</v>
      </c>
      <c r="G72" s="124">
        <v>7998311</v>
      </c>
      <c r="H72" s="121">
        <v>224887.78</v>
      </c>
      <c r="I72" s="124">
        <v>0</v>
      </c>
      <c r="J72" s="121">
        <v>0</v>
      </c>
      <c r="K72" s="121">
        <v>-73157</v>
      </c>
      <c r="L72" s="121">
        <v>-16866.060000000001</v>
      </c>
      <c r="M72" s="121">
        <v>0</v>
      </c>
      <c r="N72" s="121">
        <v>-277625.74</v>
      </c>
      <c r="O72" s="121">
        <v>24474</v>
      </c>
      <c r="P72" s="121">
        <v>284370.77</v>
      </c>
      <c r="Q72" s="121">
        <v>-152365</v>
      </c>
      <c r="R72" s="121">
        <v>-15236.5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142</v>
      </c>
      <c r="B73" t="s">
        <v>143</v>
      </c>
      <c r="C73">
        <v>30</v>
      </c>
      <c r="D73" t="s">
        <v>140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142</v>
      </c>
      <c r="B74" t="s">
        <v>143</v>
      </c>
      <c r="C74">
        <v>31</v>
      </c>
      <c r="D74" t="s">
        <v>141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142</v>
      </c>
      <c r="B75" t="s">
        <v>143</v>
      </c>
      <c r="C75">
        <v>32</v>
      </c>
      <c r="D75" t="s">
        <v>73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142</v>
      </c>
      <c r="B76" t="s">
        <v>143</v>
      </c>
      <c r="C76">
        <v>33</v>
      </c>
      <c r="D76" t="s">
        <v>74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142</v>
      </c>
      <c r="B77" t="s">
        <v>143</v>
      </c>
      <c r="C77">
        <v>34</v>
      </c>
      <c r="D77" t="s">
        <v>75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142</v>
      </c>
      <c r="B78" t="s">
        <v>143</v>
      </c>
      <c r="C78">
        <v>35</v>
      </c>
      <c r="D78" t="s">
        <v>76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142</v>
      </c>
      <c r="B79" t="s">
        <v>143</v>
      </c>
      <c r="C79">
        <v>36</v>
      </c>
      <c r="D79" t="s">
        <v>77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142</v>
      </c>
      <c r="B80" t="s">
        <v>143</v>
      </c>
      <c r="C80">
        <v>37</v>
      </c>
      <c r="D80" t="s">
        <v>78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142</v>
      </c>
      <c r="B81" t="s">
        <v>143</v>
      </c>
      <c r="C81">
        <v>38</v>
      </c>
      <c r="D81" t="s">
        <v>79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142</v>
      </c>
      <c r="B82" t="s">
        <v>143</v>
      </c>
      <c r="C82">
        <v>39</v>
      </c>
      <c r="D82" t="s">
        <v>80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142</v>
      </c>
      <c r="B83" t="s">
        <v>143</v>
      </c>
      <c r="C83">
        <v>40</v>
      </c>
      <c r="D83" t="s">
        <v>81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144</v>
      </c>
      <c r="B84" t="s">
        <v>117</v>
      </c>
      <c r="C84">
        <v>1</v>
      </c>
      <c r="D84" t="s">
        <v>28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144</v>
      </c>
      <c r="B85" t="s">
        <v>117</v>
      </c>
      <c r="C85">
        <v>2</v>
      </c>
      <c r="D85" t="s">
        <v>29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144</v>
      </c>
      <c r="B86" t="s">
        <v>117</v>
      </c>
      <c r="C86">
        <v>3</v>
      </c>
      <c r="D86" t="s">
        <v>30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144</v>
      </c>
      <c r="B87" t="s">
        <v>117</v>
      </c>
      <c r="C87">
        <v>4</v>
      </c>
      <c r="D87" t="s">
        <v>31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144</v>
      </c>
      <c r="B88" t="s">
        <v>117</v>
      </c>
      <c r="C88">
        <v>5</v>
      </c>
      <c r="D88" t="s">
        <v>129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144</v>
      </c>
      <c r="B89" t="s">
        <v>117</v>
      </c>
      <c r="C89">
        <v>6</v>
      </c>
      <c r="D89" t="s">
        <v>28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144</v>
      </c>
      <c r="B90" t="s">
        <v>117</v>
      </c>
      <c r="C90">
        <v>7</v>
      </c>
      <c r="D90" t="s">
        <v>29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144</v>
      </c>
      <c r="B91" t="s">
        <v>117</v>
      </c>
      <c r="C91">
        <v>8</v>
      </c>
      <c r="D91" t="s">
        <v>30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144</v>
      </c>
      <c r="B92" t="s">
        <v>117</v>
      </c>
      <c r="C92">
        <v>9</v>
      </c>
      <c r="D92" t="s">
        <v>31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144</v>
      </c>
      <c r="B93" t="s">
        <v>117</v>
      </c>
      <c r="C93">
        <v>10</v>
      </c>
      <c r="D93" t="s">
        <v>35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181</v>
      </c>
      <c r="N93" s="121">
        <v>403.44900000000001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144</v>
      </c>
      <c r="B94" t="s">
        <v>117</v>
      </c>
      <c r="C94">
        <v>11</v>
      </c>
      <c r="D94" t="s">
        <v>38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144</v>
      </c>
      <c r="B95" t="s">
        <v>117</v>
      </c>
      <c r="C95">
        <v>12</v>
      </c>
      <c r="D95" t="s">
        <v>39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144</v>
      </c>
      <c r="B96" t="s">
        <v>117</v>
      </c>
      <c r="C96">
        <v>13</v>
      </c>
      <c r="D96" t="s">
        <v>42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144</v>
      </c>
      <c r="B97" t="s">
        <v>117</v>
      </c>
      <c r="C97">
        <v>14</v>
      </c>
      <c r="D97" t="s">
        <v>43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144</v>
      </c>
      <c r="B98" t="s">
        <v>117</v>
      </c>
      <c r="C98">
        <v>15</v>
      </c>
      <c r="D98" t="s">
        <v>44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144</v>
      </c>
      <c r="B99" t="s">
        <v>117</v>
      </c>
      <c r="C99">
        <v>16</v>
      </c>
      <c r="D99" t="s">
        <v>45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144</v>
      </c>
      <c r="B100" t="s">
        <v>117</v>
      </c>
      <c r="C100">
        <v>17</v>
      </c>
      <c r="D100" t="s">
        <v>130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144</v>
      </c>
      <c r="B101" t="s">
        <v>117</v>
      </c>
      <c r="C101">
        <v>18</v>
      </c>
      <c r="D101" t="s">
        <v>131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144</v>
      </c>
      <c r="B102" t="s">
        <v>117</v>
      </c>
      <c r="C102">
        <v>19</v>
      </c>
      <c r="D102" t="s">
        <v>50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144</v>
      </c>
      <c r="B103" t="s">
        <v>117</v>
      </c>
      <c r="C103">
        <v>20</v>
      </c>
      <c r="D103" t="s">
        <v>132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144</v>
      </c>
      <c r="B104" t="s">
        <v>117</v>
      </c>
      <c r="C104">
        <v>21</v>
      </c>
      <c r="D104" t="s">
        <v>133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144</v>
      </c>
      <c r="B105" t="s">
        <v>117</v>
      </c>
      <c r="C105">
        <v>22</v>
      </c>
      <c r="D105" t="s">
        <v>134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-181</v>
      </c>
      <c r="N105" s="121">
        <v>-403.44900000000001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144</v>
      </c>
      <c r="B106" t="s">
        <v>117</v>
      </c>
      <c r="C106">
        <v>23</v>
      </c>
      <c r="D106" t="s">
        <v>135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-181</v>
      </c>
      <c r="N106" s="121">
        <v>-403.44900000000001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144</v>
      </c>
      <c r="B107" t="s">
        <v>117</v>
      </c>
      <c r="C107">
        <v>24</v>
      </c>
      <c r="D107" t="s">
        <v>58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144</v>
      </c>
      <c r="B108" t="s">
        <v>117</v>
      </c>
      <c r="C108">
        <v>25</v>
      </c>
      <c r="D108" t="s">
        <v>59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144</v>
      </c>
      <c r="B109" t="s">
        <v>117</v>
      </c>
      <c r="C109">
        <v>26</v>
      </c>
      <c r="D109" t="s">
        <v>136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144</v>
      </c>
      <c r="B110" t="s">
        <v>117</v>
      </c>
      <c r="C110">
        <v>27</v>
      </c>
      <c r="D110" t="s">
        <v>137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144</v>
      </c>
      <c r="B111" t="s">
        <v>117</v>
      </c>
      <c r="C111">
        <v>28</v>
      </c>
      <c r="D111" t="s">
        <v>138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144</v>
      </c>
      <c r="B112" t="s">
        <v>117</v>
      </c>
      <c r="C112">
        <v>29</v>
      </c>
      <c r="D112" t="s">
        <v>139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144</v>
      </c>
      <c r="B113" t="s">
        <v>117</v>
      </c>
      <c r="C113">
        <v>30</v>
      </c>
      <c r="D113" t="s">
        <v>140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144</v>
      </c>
      <c r="B114" t="s">
        <v>117</v>
      </c>
      <c r="C114">
        <v>31</v>
      </c>
      <c r="D114" t="s">
        <v>141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144</v>
      </c>
      <c r="B115" t="s">
        <v>117</v>
      </c>
      <c r="C115">
        <v>32</v>
      </c>
      <c r="D115" t="s">
        <v>73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144</v>
      </c>
      <c r="B116" t="s">
        <v>117</v>
      </c>
      <c r="C116">
        <v>33</v>
      </c>
      <c r="D116" t="s">
        <v>74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144</v>
      </c>
      <c r="B117" t="s">
        <v>117</v>
      </c>
      <c r="C117">
        <v>34</v>
      </c>
      <c r="D117" t="s">
        <v>75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144</v>
      </c>
      <c r="B118" t="s">
        <v>117</v>
      </c>
      <c r="C118">
        <v>35</v>
      </c>
      <c r="D118" t="s">
        <v>76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144</v>
      </c>
      <c r="B119" t="s">
        <v>117</v>
      </c>
      <c r="C119">
        <v>36</v>
      </c>
      <c r="D119" t="s">
        <v>77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144</v>
      </c>
      <c r="B120" t="s">
        <v>117</v>
      </c>
      <c r="C120">
        <v>37</v>
      </c>
      <c r="D120" t="s">
        <v>78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144</v>
      </c>
      <c r="B121" t="s">
        <v>117</v>
      </c>
      <c r="C121">
        <v>38</v>
      </c>
      <c r="D121" t="s">
        <v>79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144</v>
      </c>
      <c r="B122" t="s">
        <v>117</v>
      </c>
      <c r="C122">
        <v>39</v>
      </c>
      <c r="D122" t="s">
        <v>80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144</v>
      </c>
      <c r="B123" t="s">
        <v>117</v>
      </c>
      <c r="C123">
        <v>40</v>
      </c>
      <c r="D123" t="s">
        <v>81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144</v>
      </c>
      <c r="B124" t="s">
        <v>145</v>
      </c>
      <c r="C124">
        <v>1</v>
      </c>
      <c r="D124" t="s">
        <v>28</v>
      </c>
      <c r="E124" s="14">
        <v>47286363</v>
      </c>
      <c r="F124" s="14">
        <v>112591766.78999999</v>
      </c>
      <c r="G124" s="124">
        <v>113276</v>
      </c>
      <c r="H124" s="121">
        <v>1114369.96</v>
      </c>
      <c r="I124" s="124">
        <v>26882</v>
      </c>
      <c r="J124" s="121">
        <v>14873.01</v>
      </c>
      <c r="K124" s="121">
        <v>-20077</v>
      </c>
      <c r="L124" s="121">
        <v>-43239.74</v>
      </c>
      <c r="M124" s="121">
        <v>3723</v>
      </c>
      <c r="N124" s="121">
        <v>8479.98</v>
      </c>
      <c r="O124" s="121">
        <v>4527</v>
      </c>
      <c r="P124" s="121">
        <v>392106.29</v>
      </c>
      <c r="Q124" s="121">
        <v>0</v>
      </c>
      <c r="R124" s="121">
        <v>-370.41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144</v>
      </c>
      <c r="B125" t="s">
        <v>145</v>
      </c>
      <c r="C125">
        <v>2</v>
      </c>
      <c r="D125" t="s">
        <v>29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144</v>
      </c>
      <c r="B126" t="s">
        <v>145</v>
      </c>
      <c r="C126">
        <v>3</v>
      </c>
      <c r="D126" t="s">
        <v>30</v>
      </c>
      <c r="E126" s="14">
        <v>19316173</v>
      </c>
      <c r="F126" s="14">
        <v>43777409</v>
      </c>
      <c r="G126" s="124">
        <v>0</v>
      </c>
      <c r="H126" s="121">
        <v>0</v>
      </c>
      <c r="I126" s="124">
        <v>-1290653</v>
      </c>
      <c r="J126" s="121">
        <v>-2957288</v>
      </c>
      <c r="K126" s="121">
        <v>0</v>
      </c>
      <c r="L126" s="121">
        <v>0</v>
      </c>
      <c r="M126" s="121">
        <v>2104131</v>
      </c>
      <c r="N126" s="121">
        <v>4777462</v>
      </c>
      <c r="O126" s="121">
        <v>2106965</v>
      </c>
      <c r="P126" s="121">
        <v>4783866</v>
      </c>
      <c r="Q126" s="121">
        <v>-2920443</v>
      </c>
      <c r="R126" s="121">
        <v>-6604040</v>
      </c>
      <c r="S126" s="121">
        <v>0</v>
      </c>
      <c r="T126" s="121">
        <v>0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144</v>
      </c>
      <c r="B127" t="s">
        <v>145</v>
      </c>
      <c r="C127">
        <v>4</v>
      </c>
      <c r="D127" t="s">
        <v>31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144</v>
      </c>
      <c r="B128" t="s">
        <v>145</v>
      </c>
      <c r="C128">
        <v>5</v>
      </c>
      <c r="D128" t="s">
        <v>129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144</v>
      </c>
      <c r="B129" t="s">
        <v>145</v>
      </c>
      <c r="C129">
        <v>6</v>
      </c>
      <c r="D129" t="s">
        <v>28</v>
      </c>
      <c r="E129" s="14">
        <v>-47185521</v>
      </c>
      <c r="F129" s="14">
        <v>-102895536.85000001</v>
      </c>
      <c r="G129" s="124">
        <v>344637</v>
      </c>
      <c r="H129" s="121">
        <v>717128.36</v>
      </c>
      <c r="I129" s="124">
        <v>-12079</v>
      </c>
      <c r="J129" s="121">
        <v>-39179.64</v>
      </c>
      <c r="K129" s="121">
        <v>19452</v>
      </c>
      <c r="L129" s="121">
        <v>189144.93</v>
      </c>
      <c r="M129" s="121">
        <v>-161037</v>
      </c>
      <c r="N129" s="121">
        <v>-354983.46</v>
      </c>
      <c r="O129" s="121">
        <v>-26689</v>
      </c>
      <c r="P129" s="121">
        <v>-57333.04</v>
      </c>
      <c r="Q129" s="121">
        <v>0</v>
      </c>
      <c r="R129" s="121">
        <v>202496.46</v>
      </c>
      <c r="S129" s="121">
        <v>0</v>
      </c>
      <c r="T129" s="121">
        <v>0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144</v>
      </c>
      <c r="B130" t="s">
        <v>145</v>
      </c>
      <c r="C130">
        <v>7</v>
      </c>
      <c r="D130" t="s">
        <v>29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144</v>
      </c>
      <c r="B131" t="s">
        <v>145</v>
      </c>
      <c r="C131">
        <v>8</v>
      </c>
      <c r="D131" t="s">
        <v>30</v>
      </c>
      <c r="E131" s="14">
        <v>-20543940</v>
      </c>
      <c r="F131" s="14">
        <v>-46460998</v>
      </c>
      <c r="G131" s="124">
        <v>0</v>
      </c>
      <c r="H131" s="121">
        <v>0</v>
      </c>
      <c r="I131" s="124">
        <v>3086211</v>
      </c>
      <c r="J131" s="121">
        <v>7038927</v>
      </c>
      <c r="K131" s="121">
        <v>0</v>
      </c>
      <c r="L131" s="121">
        <v>0</v>
      </c>
      <c r="M131" s="121">
        <v>-2104131</v>
      </c>
      <c r="N131" s="121">
        <v>-4777462</v>
      </c>
      <c r="O131" s="121">
        <v>-2106965</v>
      </c>
      <c r="P131" s="121">
        <v>-4783866</v>
      </c>
      <c r="Q131" s="121">
        <v>1124885</v>
      </c>
      <c r="R131" s="121">
        <v>2522401</v>
      </c>
      <c r="S131" s="121">
        <v>0</v>
      </c>
      <c r="T131" s="121">
        <v>0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144</v>
      </c>
      <c r="B132" t="s">
        <v>145</v>
      </c>
      <c r="C132">
        <v>9</v>
      </c>
      <c r="D132" t="s">
        <v>31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144</v>
      </c>
      <c r="B133" t="s">
        <v>145</v>
      </c>
      <c r="C133">
        <v>10</v>
      </c>
      <c r="D133" t="s">
        <v>35</v>
      </c>
      <c r="E133" s="14">
        <v>546190</v>
      </c>
      <c r="F133" s="14">
        <v>1180753.54</v>
      </c>
      <c r="G133" s="124">
        <v>-32255</v>
      </c>
      <c r="H133" s="121">
        <v>-69735.31</v>
      </c>
      <c r="I133" s="124">
        <v>0</v>
      </c>
      <c r="J133" s="121">
        <v>0</v>
      </c>
      <c r="K133" s="121">
        <v>-6</v>
      </c>
      <c r="L133" s="121">
        <v>-12.970800000000001</v>
      </c>
      <c r="M133" s="121">
        <v>0</v>
      </c>
      <c r="N133" s="121">
        <v>0</v>
      </c>
      <c r="O133" s="121">
        <v>84</v>
      </c>
      <c r="P133" s="121">
        <v>181.59119999999999</v>
      </c>
      <c r="Q133" s="121">
        <v>-1</v>
      </c>
      <c r="R133" s="121">
        <v>-2.1617999999999999</v>
      </c>
      <c r="S133" s="121">
        <v>0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144</v>
      </c>
      <c r="B134" t="s">
        <v>145</v>
      </c>
      <c r="C134">
        <v>11</v>
      </c>
      <c r="D134" t="s">
        <v>38</v>
      </c>
      <c r="E134" s="14">
        <v>425962</v>
      </c>
      <c r="F134" s="14">
        <v>982897.53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144</v>
      </c>
      <c r="B135" t="s">
        <v>145</v>
      </c>
      <c r="C135">
        <v>12</v>
      </c>
      <c r="D135" t="s">
        <v>39</v>
      </c>
      <c r="E135" s="14">
        <v>-2380</v>
      </c>
      <c r="F135" s="14">
        <v>-5144.6099999999997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144</v>
      </c>
      <c r="B136" t="s">
        <v>145</v>
      </c>
      <c r="C136">
        <v>13</v>
      </c>
      <c r="D136" t="s">
        <v>42</v>
      </c>
      <c r="E136" s="14">
        <v>31172</v>
      </c>
      <c r="F136" s="14">
        <v>67387.63</v>
      </c>
      <c r="G136" s="124">
        <v>-47906</v>
      </c>
      <c r="H136" s="121">
        <v>-106638.76</v>
      </c>
      <c r="I136" s="124">
        <v>59775</v>
      </c>
      <c r="J136" s="121">
        <v>149413.85</v>
      </c>
      <c r="K136" s="121">
        <v>-11863</v>
      </c>
      <c r="L136" s="121">
        <v>-42759.59</v>
      </c>
      <c r="M136" s="121">
        <v>-11173</v>
      </c>
      <c r="N136" s="121">
        <v>-24158.12</v>
      </c>
      <c r="O136" s="121">
        <v>-232566</v>
      </c>
      <c r="P136" s="121">
        <v>-502807.69400000002</v>
      </c>
      <c r="Q136" s="121">
        <v>-3209</v>
      </c>
      <c r="R136" s="121">
        <v>-6937.2161999999998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144</v>
      </c>
      <c r="B137" t="s">
        <v>145</v>
      </c>
      <c r="C137">
        <v>14</v>
      </c>
      <c r="D137" t="s">
        <v>43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-13885</v>
      </c>
      <c r="N137" s="121">
        <v>-31337.65</v>
      </c>
      <c r="O137" s="121">
        <v>0</v>
      </c>
      <c r="P137" s="121">
        <v>0</v>
      </c>
      <c r="Q137" s="121">
        <v>-2</v>
      </c>
      <c r="R137" s="121">
        <v>-4.43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144</v>
      </c>
      <c r="B138" t="s">
        <v>145</v>
      </c>
      <c r="C138">
        <v>15</v>
      </c>
      <c r="D138" t="s">
        <v>44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3637</v>
      </c>
      <c r="R138" s="121">
        <v>8131.28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144</v>
      </c>
      <c r="B139" t="s">
        <v>145</v>
      </c>
      <c r="C139">
        <v>16</v>
      </c>
      <c r="D139" t="s">
        <v>45</v>
      </c>
      <c r="E139" s="14">
        <v>0</v>
      </c>
      <c r="F139" s="14">
        <v>-0.01</v>
      </c>
      <c r="G139" s="124">
        <v>26915</v>
      </c>
      <c r="H139" s="121">
        <v>0</v>
      </c>
      <c r="I139" s="124">
        <v>-26915</v>
      </c>
      <c r="J139" s="121">
        <v>-0.01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144</v>
      </c>
      <c r="B140" t="s">
        <v>145</v>
      </c>
      <c r="C140">
        <v>17</v>
      </c>
      <c r="D140" t="s">
        <v>130</v>
      </c>
      <c r="E140" s="14">
        <v>418153</v>
      </c>
      <c r="F140" s="14">
        <v>903963.15</v>
      </c>
      <c r="G140" s="124">
        <v>8586</v>
      </c>
      <c r="H140" s="121">
        <v>18561.21</v>
      </c>
      <c r="I140" s="124">
        <v>-1</v>
      </c>
      <c r="J140" s="121">
        <v>-2.16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144</v>
      </c>
      <c r="B141" t="s">
        <v>145</v>
      </c>
      <c r="C141">
        <v>18</v>
      </c>
      <c r="D141" t="s">
        <v>131</v>
      </c>
      <c r="E141" s="14">
        <v>-15283</v>
      </c>
      <c r="F141" s="14">
        <v>-34678.410000000003</v>
      </c>
      <c r="G141" s="124">
        <v>1237</v>
      </c>
      <c r="H141" s="121">
        <v>2850.02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144</v>
      </c>
      <c r="B142" t="s">
        <v>145</v>
      </c>
      <c r="C142">
        <v>19</v>
      </c>
      <c r="D142" t="s">
        <v>50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144</v>
      </c>
      <c r="B143" t="s">
        <v>145</v>
      </c>
      <c r="C143">
        <v>20</v>
      </c>
      <c r="D143" t="s">
        <v>132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144</v>
      </c>
      <c r="B144" t="s">
        <v>145</v>
      </c>
      <c r="C144">
        <v>21</v>
      </c>
      <c r="D144" t="s">
        <v>133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144</v>
      </c>
      <c r="B145" t="s">
        <v>145</v>
      </c>
      <c r="C145">
        <v>22</v>
      </c>
      <c r="D145" t="s">
        <v>134</v>
      </c>
      <c r="E145" s="14">
        <v>-276889</v>
      </c>
      <c r="F145" s="14">
        <v>-598578.64020000002</v>
      </c>
      <c r="G145" s="124">
        <v>-414490</v>
      </c>
      <c r="H145" s="121">
        <v>-896044.48200000008</v>
      </c>
      <c r="I145" s="124">
        <v>-1843220</v>
      </c>
      <c r="J145" s="121">
        <v>-3984672.9959999998</v>
      </c>
      <c r="K145" s="121">
        <v>12494</v>
      </c>
      <c r="L145" s="121">
        <v>27009.529200000001</v>
      </c>
      <c r="M145" s="121">
        <v>182372</v>
      </c>
      <c r="N145" s="121">
        <v>394251.78960000002</v>
      </c>
      <c r="O145" s="121">
        <v>254644</v>
      </c>
      <c r="P145" s="121">
        <v>550489.39919999999</v>
      </c>
      <c r="Q145" s="121">
        <v>1795133</v>
      </c>
      <c r="R145" s="121">
        <v>3880718.5194000001</v>
      </c>
      <c r="S145" s="121">
        <v>0</v>
      </c>
      <c r="T145" s="121">
        <v>0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144</v>
      </c>
      <c r="B146" t="s">
        <v>145</v>
      </c>
      <c r="C146">
        <v>23</v>
      </c>
      <c r="D146" t="s">
        <v>135</v>
      </c>
      <c r="E146" s="14">
        <v>-546190</v>
      </c>
      <c r="F146" s="14">
        <v>-1180753.54</v>
      </c>
      <c r="G146" s="124">
        <v>32255</v>
      </c>
      <c r="H146" s="121">
        <v>69735.31</v>
      </c>
      <c r="I146" s="124">
        <v>0</v>
      </c>
      <c r="J146" s="121">
        <v>0</v>
      </c>
      <c r="K146" s="121">
        <v>6</v>
      </c>
      <c r="L146" s="121">
        <v>12.970800000000001</v>
      </c>
      <c r="M146" s="121">
        <v>0</v>
      </c>
      <c r="N146" s="121">
        <v>0</v>
      </c>
      <c r="O146" s="121">
        <v>-84</v>
      </c>
      <c r="P146" s="121">
        <v>-181.59119999999999</v>
      </c>
      <c r="Q146" s="121">
        <v>1</v>
      </c>
      <c r="R146" s="121">
        <v>2.1617999999999999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144</v>
      </c>
      <c r="B147" t="s">
        <v>145</v>
      </c>
      <c r="C147">
        <v>24</v>
      </c>
      <c r="D147" t="s">
        <v>58</v>
      </c>
      <c r="E147" s="14">
        <v>-24869057</v>
      </c>
      <c r="F147" s="14">
        <v>-3311236.31</v>
      </c>
      <c r="G147" s="124">
        <v>2818026</v>
      </c>
      <c r="H147" s="121">
        <v>435152.35</v>
      </c>
      <c r="I147" s="124">
        <v>-6087407</v>
      </c>
      <c r="J147" s="121">
        <v>511807.35</v>
      </c>
      <c r="K147" s="121">
        <v>2024274</v>
      </c>
      <c r="L147" s="121">
        <v>75385.55</v>
      </c>
      <c r="M147" s="121">
        <v>-53226</v>
      </c>
      <c r="N147" s="121">
        <v>8963.2199999999993</v>
      </c>
      <c r="O147" s="121">
        <v>87928</v>
      </c>
      <c r="P147" s="121">
        <v>21509.94</v>
      </c>
      <c r="Q147" s="121">
        <v>-18058</v>
      </c>
      <c r="R147" s="121">
        <v>33.1</v>
      </c>
      <c r="S147" s="121">
        <v>0</v>
      </c>
      <c r="T147" s="121">
        <v>0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144</v>
      </c>
      <c r="B148" t="s">
        <v>145</v>
      </c>
      <c r="C148">
        <v>25</v>
      </c>
      <c r="D148" t="s">
        <v>59</v>
      </c>
      <c r="E148" s="14">
        <v>0</v>
      </c>
      <c r="F148" s="14">
        <v>0</v>
      </c>
      <c r="G148" s="124">
        <v>0</v>
      </c>
      <c r="H148" s="121">
        <v>0</v>
      </c>
      <c r="I148" s="124">
        <v>0</v>
      </c>
      <c r="J148" s="121">
        <v>0</v>
      </c>
      <c r="K148" s="121">
        <v>0</v>
      </c>
      <c r="L148" s="121">
        <v>17475</v>
      </c>
      <c r="M148" s="121">
        <v>0</v>
      </c>
      <c r="N148" s="121">
        <v>-44250</v>
      </c>
      <c r="O148" s="121">
        <v>0</v>
      </c>
      <c r="P148" s="121">
        <v>30450</v>
      </c>
      <c r="Q148" s="121">
        <v>0</v>
      </c>
      <c r="R148" s="121">
        <v>316.44</v>
      </c>
      <c r="S148" s="121">
        <v>0</v>
      </c>
      <c r="T148" s="121">
        <v>0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144</v>
      </c>
      <c r="B149" t="s">
        <v>145</v>
      </c>
      <c r="C149">
        <v>26</v>
      </c>
      <c r="D149" t="s">
        <v>136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144</v>
      </c>
      <c r="B150" t="s">
        <v>145</v>
      </c>
      <c r="C150">
        <v>27</v>
      </c>
      <c r="D150" t="s">
        <v>137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144</v>
      </c>
      <c r="B151" t="s">
        <v>145</v>
      </c>
      <c r="C151">
        <v>28</v>
      </c>
      <c r="D151" t="s">
        <v>138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144</v>
      </c>
      <c r="B152" t="s">
        <v>145</v>
      </c>
      <c r="C152">
        <v>29</v>
      </c>
      <c r="D152" t="s">
        <v>139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144</v>
      </c>
      <c r="B153" t="s">
        <v>145</v>
      </c>
      <c r="C153">
        <v>30</v>
      </c>
      <c r="D153" t="s">
        <v>140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144</v>
      </c>
      <c r="B154" t="s">
        <v>145</v>
      </c>
      <c r="C154">
        <v>31</v>
      </c>
      <c r="D154" t="s">
        <v>141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144</v>
      </c>
      <c r="B155" t="s">
        <v>145</v>
      </c>
      <c r="C155">
        <v>32</v>
      </c>
      <c r="D155" t="s">
        <v>73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144</v>
      </c>
      <c r="B156" t="s">
        <v>145</v>
      </c>
      <c r="C156">
        <v>33</v>
      </c>
      <c r="D156" t="s">
        <v>74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144</v>
      </c>
      <c r="B157" t="s">
        <v>145</v>
      </c>
      <c r="C157">
        <v>34</v>
      </c>
      <c r="D157" t="s">
        <v>75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144</v>
      </c>
      <c r="B158" t="s">
        <v>145</v>
      </c>
      <c r="C158">
        <v>35</v>
      </c>
      <c r="D158" t="s">
        <v>76</v>
      </c>
      <c r="E158" s="14">
        <v>0</v>
      </c>
      <c r="F158" s="14">
        <v>0</v>
      </c>
      <c r="G158" s="124">
        <v>0</v>
      </c>
      <c r="H158" s="121">
        <v>-31571.33</v>
      </c>
      <c r="I158" s="124">
        <v>0</v>
      </c>
      <c r="J158" s="121">
        <v>0</v>
      </c>
      <c r="K158" s="121">
        <v>0</v>
      </c>
      <c r="L158" s="121">
        <v>12302.2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144</v>
      </c>
      <c r="B159" t="s">
        <v>145</v>
      </c>
      <c r="C159">
        <v>36</v>
      </c>
      <c r="D159" t="s">
        <v>77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144</v>
      </c>
      <c r="B160" t="s">
        <v>145</v>
      </c>
      <c r="C160">
        <v>37</v>
      </c>
      <c r="D160" t="s">
        <v>78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144</v>
      </c>
      <c r="B161" t="s">
        <v>145</v>
      </c>
      <c r="C161">
        <v>38</v>
      </c>
      <c r="D161" t="s">
        <v>79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144</v>
      </c>
      <c r="B162" t="s">
        <v>145</v>
      </c>
      <c r="C162">
        <v>39</v>
      </c>
      <c r="D162" t="s">
        <v>80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144</v>
      </c>
      <c r="B163" t="s">
        <v>145</v>
      </c>
      <c r="C163">
        <v>40</v>
      </c>
      <c r="D163" t="s">
        <v>81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144</v>
      </c>
      <c r="B164" t="s">
        <v>146</v>
      </c>
      <c r="C164">
        <v>1</v>
      </c>
      <c r="D164" t="s">
        <v>28</v>
      </c>
      <c r="E164" s="14">
        <v>78678516</v>
      </c>
      <c r="F164" s="14">
        <v>180535535.84999999</v>
      </c>
      <c r="G164" s="124">
        <v>66948</v>
      </c>
      <c r="H164" s="121">
        <v>20529677.590000004</v>
      </c>
      <c r="I164" s="124">
        <v>-722</v>
      </c>
      <c r="J164" s="121">
        <v>126813.9</v>
      </c>
      <c r="K164" s="121">
        <v>0</v>
      </c>
      <c r="L164" s="121">
        <v>0</v>
      </c>
      <c r="M164" s="121">
        <v>-10675</v>
      </c>
      <c r="N164" s="121">
        <v>-14646532.470000001</v>
      </c>
      <c r="O164" s="121">
        <v>0</v>
      </c>
      <c r="P164" s="121">
        <v>0</v>
      </c>
      <c r="Q164" s="121">
        <v>0</v>
      </c>
      <c r="R164" s="121">
        <v>0</v>
      </c>
      <c r="S164" s="121">
        <v>-2561</v>
      </c>
      <c r="T164" s="121">
        <v>-15111.93</v>
      </c>
      <c r="U164" s="121">
        <v>0</v>
      </c>
      <c r="V164" s="121">
        <v>703.59</v>
      </c>
      <c r="W164" s="121">
        <v>0</v>
      </c>
      <c r="X164" s="121">
        <v>0</v>
      </c>
      <c r="Y164" s="121">
        <v>0</v>
      </c>
      <c r="Z164" s="121">
        <v>0</v>
      </c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144</v>
      </c>
      <c r="B165" t="s">
        <v>146</v>
      </c>
      <c r="C165">
        <v>2</v>
      </c>
      <c r="D165" t="s">
        <v>29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144</v>
      </c>
      <c r="B166" t="s">
        <v>146</v>
      </c>
      <c r="C166">
        <v>3</v>
      </c>
      <c r="D166" t="s">
        <v>30</v>
      </c>
      <c r="E166" s="14">
        <v>37219120</v>
      </c>
      <c r="F166" s="14">
        <v>85375528</v>
      </c>
      <c r="G166" s="124">
        <v>0</v>
      </c>
      <c r="H166" s="121">
        <v>0</v>
      </c>
      <c r="I166" s="124">
        <v>-146210</v>
      </c>
      <c r="J166" s="121">
        <v>-326153</v>
      </c>
      <c r="K166" s="121">
        <v>0</v>
      </c>
      <c r="L166" s="121">
        <v>0</v>
      </c>
      <c r="M166" s="121">
        <v>0</v>
      </c>
      <c r="N166" s="121">
        <v>0</v>
      </c>
      <c r="O166" s="121">
        <v>465278</v>
      </c>
      <c r="P166" s="121">
        <v>1052380</v>
      </c>
      <c r="Q166" s="121">
        <v>-319068</v>
      </c>
      <c r="R166" s="121">
        <v>-726227</v>
      </c>
      <c r="S166" s="121">
        <v>2920443</v>
      </c>
      <c r="T166" s="121">
        <v>6604040</v>
      </c>
      <c r="U166" s="121">
        <v>0</v>
      </c>
      <c r="V166" s="121">
        <v>0</v>
      </c>
      <c r="W166" s="121">
        <v>-2920443</v>
      </c>
      <c r="X166" s="121">
        <v>-6604040</v>
      </c>
      <c r="Y166" s="121">
        <v>0</v>
      </c>
      <c r="Z166" s="121">
        <v>0</v>
      </c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144</v>
      </c>
      <c r="B167" t="s">
        <v>146</v>
      </c>
      <c r="C167">
        <v>4</v>
      </c>
      <c r="D167" t="s">
        <v>31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144</v>
      </c>
      <c r="B168" t="s">
        <v>146</v>
      </c>
      <c r="C168">
        <v>5</v>
      </c>
      <c r="D168" t="s">
        <v>129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-2</v>
      </c>
      <c r="W168" s="121">
        <v>0</v>
      </c>
      <c r="X168" s="121">
        <v>0</v>
      </c>
      <c r="Y168" s="121">
        <v>0</v>
      </c>
      <c r="Z168" s="121">
        <v>0</v>
      </c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144</v>
      </c>
      <c r="B169" t="s">
        <v>146</v>
      </c>
      <c r="C169">
        <v>6</v>
      </c>
      <c r="D169" t="s">
        <v>28</v>
      </c>
      <c r="E169" s="14">
        <v>-90815512</v>
      </c>
      <c r="F169" s="14">
        <v>-201449130.89999998</v>
      </c>
      <c r="G169" s="124">
        <v>162017</v>
      </c>
      <c r="H169" s="121">
        <v>-2413312.63</v>
      </c>
      <c r="I169" s="124">
        <v>1385179</v>
      </c>
      <c r="J169" s="121">
        <v>3050908.38</v>
      </c>
      <c r="K169" s="121">
        <v>-7794</v>
      </c>
      <c r="L169" s="121">
        <v>-150009.76999999999</v>
      </c>
      <c r="M169" s="121">
        <v>6272998</v>
      </c>
      <c r="N169" s="121">
        <v>12212774.470000001</v>
      </c>
      <c r="O169" s="121">
        <v>0</v>
      </c>
      <c r="P169" s="121">
        <v>0</v>
      </c>
      <c r="Q169" s="121">
        <v>0</v>
      </c>
      <c r="R169" s="121">
        <v>0</v>
      </c>
      <c r="S169" s="121">
        <v>13856</v>
      </c>
      <c r="T169" s="121">
        <v>80184.039999999994</v>
      </c>
      <c r="U169" s="121">
        <v>0</v>
      </c>
      <c r="V169" s="121">
        <v>7040.69</v>
      </c>
      <c r="W169" s="121">
        <v>-128</v>
      </c>
      <c r="X169" s="121">
        <v>-3525.73</v>
      </c>
      <c r="Y169" s="121">
        <v>0</v>
      </c>
      <c r="Z169" s="121">
        <v>22484.240000000002</v>
      </c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144</v>
      </c>
      <c r="B170" t="s">
        <v>146</v>
      </c>
      <c r="C170">
        <v>7</v>
      </c>
      <c r="D170" t="s">
        <v>29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144</v>
      </c>
      <c r="B171" t="s">
        <v>146</v>
      </c>
      <c r="C171">
        <v>8</v>
      </c>
      <c r="D171" t="s">
        <v>30</v>
      </c>
      <c r="E171" s="14">
        <v>-32629494</v>
      </c>
      <c r="F171" s="14">
        <v>-75619749</v>
      </c>
      <c r="G171" s="124">
        <v>0</v>
      </c>
      <c r="H171" s="121">
        <v>0</v>
      </c>
      <c r="I171" s="124">
        <v>181781</v>
      </c>
      <c r="J171" s="121">
        <v>402259</v>
      </c>
      <c r="K171" s="121">
        <v>0</v>
      </c>
      <c r="L171" s="121">
        <v>0</v>
      </c>
      <c r="M171" s="121">
        <v>0</v>
      </c>
      <c r="N171" s="121">
        <v>0</v>
      </c>
      <c r="O171" s="121">
        <v>-465278</v>
      </c>
      <c r="P171" s="121">
        <v>-1052380</v>
      </c>
      <c r="Q171" s="121">
        <v>283497</v>
      </c>
      <c r="R171" s="121">
        <v>650121</v>
      </c>
      <c r="S171" s="121">
        <v>-1124885</v>
      </c>
      <c r="T171" s="121">
        <v>-2522401</v>
      </c>
      <c r="U171" s="121">
        <v>0</v>
      </c>
      <c r="V171" s="121">
        <v>0</v>
      </c>
      <c r="W171" s="121">
        <v>1124885</v>
      </c>
      <c r="X171" s="121">
        <v>2522401</v>
      </c>
      <c r="Y171" s="121">
        <v>0</v>
      </c>
      <c r="Z171" s="121">
        <v>0</v>
      </c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144</v>
      </c>
      <c r="B172" t="s">
        <v>146</v>
      </c>
      <c r="C172">
        <v>9</v>
      </c>
      <c r="D172" t="s">
        <v>31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144</v>
      </c>
      <c r="B173" t="s">
        <v>146</v>
      </c>
      <c r="C173">
        <v>10</v>
      </c>
      <c r="D173" t="s">
        <v>35</v>
      </c>
      <c r="E173" s="14">
        <v>136325</v>
      </c>
      <c r="F173" s="14">
        <v>303868.43</v>
      </c>
      <c r="G173" s="124">
        <v>-23362</v>
      </c>
      <c r="H173" s="121">
        <v>-52019.326000000001</v>
      </c>
      <c r="I173" s="124">
        <v>-5455</v>
      </c>
      <c r="J173" s="121">
        <v>-12158.833000000001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-69</v>
      </c>
      <c r="T173" s="121">
        <v>-149.16419999999999</v>
      </c>
      <c r="U173" s="121">
        <v>0</v>
      </c>
      <c r="V173" s="121">
        <v>0</v>
      </c>
      <c r="W173" s="121">
        <v>24</v>
      </c>
      <c r="X173" s="121">
        <v>51.883200000000002</v>
      </c>
      <c r="Y173" s="121">
        <v>0</v>
      </c>
      <c r="Z173" s="121">
        <v>0</v>
      </c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144</v>
      </c>
      <c r="B174" t="s">
        <v>146</v>
      </c>
      <c r="C174">
        <v>11</v>
      </c>
      <c r="D174" t="s">
        <v>38</v>
      </c>
      <c r="E174" s="14">
        <v>0</v>
      </c>
      <c r="F174" s="14">
        <v>0</v>
      </c>
      <c r="G174" s="124">
        <v>67000</v>
      </c>
      <c r="H174" s="121">
        <v>155075.79</v>
      </c>
      <c r="I174" s="124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144</v>
      </c>
      <c r="B175" t="s">
        <v>146</v>
      </c>
      <c r="C175">
        <v>12</v>
      </c>
      <c r="D175" t="s">
        <v>39</v>
      </c>
      <c r="E175" s="14">
        <v>-1181054</v>
      </c>
      <c r="F175" s="14">
        <v>-2726884.02</v>
      </c>
      <c r="G175" s="124">
        <v>0</v>
      </c>
      <c r="H175" s="121">
        <v>0.01</v>
      </c>
      <c r="I175" s="124">
        <v>0</v>
      </c>
      <c r="J175" s="121">
        <v>0</v>
      </c>
      <c r="K175" s="121">
        <v>0</v>
      </c>
      <c r="L175" s="121">
        <v>-124.27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144</v>
      </c>
      <c r="B176" t="s">
        <v>146</v>
      </c>
      <c r="C176">
        <v>13</v>
      </c>
      <c r="D176" t="s">
        <v>42</v>
      </c>
      <c r="E176" s="14">
        <v>237412</v>
      </c>
      <c r="F176" s="14">
        <v>529191.35</v>
      </c>
      <c r="G176" s="124">
        <v>-645371</v>
      </c>
      <c r="H176" s="121">
        <v>-1453218.4850000001</v>
      </c>
      <c r="I176" s="124">
        <v>225182</v>
      </c>
      <c r="J176" s="121">
        <v>375878.91200000001</v>
      </c>
      <c r="K176" s="121">
        <v>1840</v>
      </c>
      <c r="L176" s="121">
        <v>23792.651999999998</v>
      </c>
      <c r="M176" s="121">
        <v>-7848</v>
      </c>
      <c r="N176" s="121">
        <v>-602946.25899999996</v>
      </c>
      <c r="O176" s="121">
        <v>0</v>
      </c>
      <c r="P176" s="121">
        <v>0</v>
      </c>
      <c r="Q176" s="121">
        <v>0</v>
      </c>
      <c r="R176" s="121">
        <v>0</v>
      </c>
      <c r="S176" s="121">
        <v>-6001</v>
      </c>
      <c r="T176" s="121">
        <v>-12972.961799999999</v>
      </c>
      <c r="U176" s="121">
        <v>-31172</v>
      </c>
      <c r="V176" s="121">
        <v>-67387.63</v>
      </c>
      <c r="W176" s="121">
        <v>4614</v>
      </c>
      <c r="X176" s="121">
        <v>9974.5452000000005</v>
      </c>
      <c r="Y176" s="121">
        <v>0</v>
      </c>
      <c r="Z176" s="121">
        <v>0</v>
      </c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144</v>
      </c>
      <c r="B177" t="s">
        <v>146</v>
      </c>
      <c r="C177">
        <v>14</v>
      </c>
      <c r="D177" t="s">
        <v>43</v>
      </c>
      <c r="E177" s="14">
        <v>0</v>
      </c>
      <c r="F177" s="14">
        <v>0</v>
      </c>
      <c r="G177" s="124">
        <v>-29794</v>
      </c>
      <c r="H177" s="121">
        <v>-66068.19</v>
      </c>
      <c r="I177" s="124">
        <v>0</v>
      </c>
      <c r="J177" s="121">
        <v>0</v>
      </c>
      <c r="K177" s="121">
        <v>-301</v>
      </c>
      <c r="L177" s="121">
        <v>-676.2</v>
      </c>
      <c r="M177" s="121">
        <v>0</v>
      </c>
      <c r="N177" s="121">
        <v>0</v>
      </c>
      <c r="O177" s="121">
        <v>0</v>
      </c>
      <c r="P177" s="121">
        <v>0</v>
      </c>
      <c r="Q177" s="121">
        <v>0</v>
      </c>
      <c r="R177" s="121">
        <v>0</v>
      </c>
      <c r="S177" s="121">
        <v>0</v>
      </c>
      <c r="T177" s="121">
        <v>0</v>
      </c>
      <c r="U177" s="121">
        <v>0</v>
      </c>
      <c r="V177" s="121">
        <v>0</v>
      </c>
      <c r="W177" s="121">
        <v>-4749</v>
      </c>
      <c r="X177" s="121">
        <v>-10261.92</v>
      </c>
      <c r="Y177" s="121">
        <v>0</v>
      </c>
      <c r="Z177" s="121">
        <v>0</v>
      </c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144</v>
      </c>
      <c r="B178" t="s">
        <v>146</v>
      </c>
      <c r="C178">
        <v>15</v>
      </c>
      <c r="D178" t="s">
        <v>44</v>
      </c>
      <c r="E178" s="14">
        <v>0</v>
      </c>
      <c r="F178" s="14">
        <v>0</v>
      </c>
      <c r="G178" s="124">
        <v>318136</v>
      </c>
      <c r="H178" s="121">
        <v>710538.57</v>
      </c>
      <c r="I178" s="124">
        <v>5</v>
      </c>
      <c r="J178" s="121">
        <v>10.79</v>
      </c>
      <c r="K178" s="121">
        <v>5954</v>
      </c>
      <c r="L178" s="121">
        <v>13474.99</v>
      </c>
      <c r="M178" s="121">
        <v>4824</v>
      </c>
      <c r="N178" s="121">
        <v>10416.459999999999</v>
      </c>
      <c r="O178" s="121">
        <v>0</v>
      </c>
      <c r="P178" s="121">
        <v>0</v>
      </c>
      <c r="Q178" s="121">
        <v>0</v>
      </c>
      <c r="R178" s="121">
        <v>0</v>
      </c>
      <c r="S178" s="121">
        <v>0</v>
      </c>
      <c r="T178" s="121">
        <v>0</v>
      </c>
      <c r="U178" s="121">
        <v>0</v>
      </c>
      <c r="V178" s="121">
        <v>0</v>
      </c>
      <c r="W178" s="121">
        <v>2488</v>
      </c>
      <c r="X178" s="121">
        <v>5303.57</v>
      </c>
      <c r="Y178" s="121">
        <v>0</v>
      </c>
      <c r="Z178" s="121">
        <v>0</v>
      </c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144</v>
      </c>
      <c r="B179" t="s">
        <v>146</v>
      </c>
      <c r="C179">
        <v>16</v>
      </c>
      <c r="D179" t="s">
        <v>45</v>
      </c>
      <c r="E179" s="14">
        <v>-600000</v>
      </c>
      <c r="F179" s="14">
        <v>-0.01</v>
      </c>
      <c r="G179" s="124">
        <v>1200000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706500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144</v>
      </c>
      <c r="B180" t="s">
        <v>146</v>
      </c>
      <c r="C180">
        <v>17</v>
      </c>
      <c r="D180" t="s">
        <v>130</v>
      </c>
      <c r="E180" s="14">
        <v>0</v>
      </c>
      <c r="F180" s="14">
        <v>0</v>
      </c>
      <c r="G180" s="124">
        <v>0</v>
      </c>
      <c r="H180" s="121">
        <v>0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144</v>
      </c>
      <c r="B181" t="s">
        <v>146</v>
      </c>
      <c r="C181">
        <v>18</v>
      </c>
      <c r="D181" t="s">
        <v>131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-300000</v>
      </c>
      <c r="P181" s="121">
        <v>-784200</v>
      </c>
      <c r="Q181" s="121">
        <v>0</v>
      </c>
      <c r="R181" s="121">
        <v>0</v>
      </c>
      <c r="S181" s="121">
        <v>-958</v>
      </c>
      <c r="T181" s="121">
        <v>-2170.8000000000002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144</v>
      </c>
      <c r="B182" t="s">
        <v>146</v>
      </c>
      <c r="C182">
        <v>19</v>
      </c>
      <c r="D182" t="s">
        <v>50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144</v>
      </c>
      <c r="B183" t="s">
        <v>146</v>
      </c>
      <c r="C183">
        <v>20</v>
      </c>
      <c r="D183" t="s">
        <v>132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144</v>
      </c>
      <c r="B184" t="s">
        <v>146</v>
      </c>
      <c r="C184">
        <v>21</v>
      </c>
      <c r="D184" t="s">
        <v>133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144</v>
      </c>
      <c r="B185" t="s">
        <v>146</v>
      </c>
      <c r="C185">
        <v>22</v>
      </c>
      <c r="D185" t="s">
        <v>134</v>
      </c>
      <c r="E185" s="14">
        <v>8954687</v>
      </c>
      <c r="F185" s="14">
        <v>19959997.322999999</v>
      </c>
      <c r="G185" s="124">
        <v>-1115574</v>
      </c>
      <c r="H185" s="121">
        <v>-2486614.4459999986</v>
      </c>
      <c r="I185" s="124">
        <v>-1639760</v>
      </c>
      <c r="J185" s="121">
        <v>-3655025.04</v>
      </c>
      <c r="K185" s="121">
        <v>301</v>
      </c>
      <c r="L185" s="121">
        <v>670.92899999999997</v>
      </c>
      <c r="M185" s="121">
        <v>-6259299</v>
      </c>
      <c r="N185" s="121">
        <v>-13951977.471000001</v>
      </c>
      <c r="O185" s="121">
        <v>300000</v>
      </c>
      <c r="P185" s="121">
        <v>668700</v>
      </c>
      <c r="Q185" s="121">
        <v>35571</v>
      </c>
      <c r="R185" s="121">
        <v>79287.759000000005</v>
      </c>
      <c r="S185" s="121">
        <v>-1799825</v>
      </c>
      <c r="T185" s="121">
        <v>-3890861.6850000001</v>
      </c>
      <c r="U185" s="121">
        <v>31172</v>
      </c>
      <c r="V185" s="121">
        <v>67387.6296</v>
      </c>
      <c r="W185" s="121">
        <v>1793309</v>
      </c>
      <c r="X185" s="121">
        <v>3876775.3961999998</v>
      </c>
      <c r="Y185" s="121">
        <v>0</v>
      </c>
      <c r="Z185" s="121">
        <v>0</v>
      </c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144</v>
      </c>
      <c r="B186" t="s">
        <v>146</v>
      </c>
      <c r="C186">
        <v>23</v>
      </c>
      <c r="D186" t="s">
        <v>135</v>
      </c>
      <c r="E186" s="14">
        <v>-136325</v>
      </c>
      <c r="F186" s="14">
        <v>-303868.43</v>
      </c>
      <c r="G186" s="124">
        <v>-3924</v>
      </c>
      <c r="H186" s="121">
        <v>-8746.5959999999995</v>
      </c>
      <c r="I186" s="124">
        <v>5274</v>
      </c>
      <c r="J186" s="121">
        <v>11755.745999999999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  <c r="Q186" s="121">
        <v>0</v>
      </c>
      <c r="R186" s="121">
        <v>0</v>
      </c>
      <c r="S186" s="121">
        <v>69</v>
      </c>
      <c r="T186" s="121">
        <v>149.16419999999999</v>
      </c>
      <c r="U186" s="121">
        <v>0</v>
      </c>
      <c r="V186" s="121">
        <v>0</v>
      </c>
      <c r="W186" s="121">
        <v>-24</v>
      </c>
      <c r="X186" s="121">
        <v>-51.883200000000002</v>
      </c>
      <c r="Y186" s="121">
        <v>0</v>
      </c>
      <c r="Z186" s="121">
        <v>0</v>
      </c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144</v>
      </c>
      <c r="B187" t="s">
        <v>146</v>
      </c>
      <c r="C187">
        <v>24</v>
      </c>
      <c r="D187" t="s">
        <v>58</v>
      </c>
      <c r="E187" s="14">
        <v>-16636979</v>
      </c>
      <c r="F187" s="14">
        <v>-329224.86</v>
      </c>
      <c r="G187" s="124">
        <v>-250611</v>
      </c>
      <c r="H187" s="121">
        <v>11659.77</v>
      </c>
      <c r="I187" s="124">
        <v>-137914</v>
      </c>
      <c r="J187" s="121">
        <v>-32927.17</v>
      </c>
      <c r="K187" s="121">
        <v>-42970</v>
      </c>
      <c r="L187" s="121">
        <v>2190.5700000000002</v>
      </c>
      <c r="M187" s="121">
        <v>0</v>
      </c>
      <c r="N187" s="121">
        <v>0</v>
      </c>
      <c r="O187" s="121">
        <v>0</v>
      </c>
      <c r="P187" s="121">
        <v>0</v>
      </c>
      <c r="Q187" s="121">
        <v>0</v>
      </c>
      <c r="R187" s="121">
        <v>-5348.04</v>
      </c>
      <c r="S187" s="121">
        <v>-257103</v>
      </c>
      <c r="T187" s="121">
        <v>-546.78</v>
      </c>
      <c r="U187" s="121">
        <v>0</v>
      </c>
      <c r="V187" s="121">
        <v>-180.69</v>
      </c>
      <c r="W187" s="121">
        <v>-2366</v>
      </c>
      <c r="X187" s="121">
        <v>15.93</v>
      </c>
      <c r="Y187" s="121">
        <v>-304233</v>
      </c>
      <c r="Z187" s="121">
        <v>13425.85</v>
      </c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144</v>
      </c>
      <c r="B188" t="s">
        <v>146</v>
      </c>
      <c r="C188">
        <v>25</v>
      </c>
      <c r="D188" t="s">
        <v>59</v>
      </c>
      <c r="E188" s="14">
        <v>0</v>
      </c>
      <c r="F188" s="14">
        <v>-3035948.99</v>
      </c>
      <c r="G188" s="124">
        <v>0</v>
      </c>
      <c r="H188" s="121">
        <v>132137.89000000001</v>
      </c>
      <c r="I188" s="124">
        <v>0</v>
      </c>
      <c r="J188" s="121">
        <v>921.36</v>
      </c>
      <c r="K188" s="121">
        <v>0</v>
      </c>
      <c r="L188" s="121">
        <v>13607.4</v>
      </c>
      <c r="M188" s="121">
        <v>0</v>
      </c>
      <c r="N188" s="121">
        <v>0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11467.96</v>
      </c>
      <c r="U188" s="121">
        <v>0</v>
      </c>
      <c r="V188" s="121">
        <v>-12708</v>
      </c>
      <c r="W188" s="121">
        <v>0</v>
      </c>
      <c r="X188" s="121">
        <v>0</v>
      </c>
      <c r="Y188" s="121">
        <v>0</v>
      </c>
      <c r="Z188" s="121">
        <v>0</v>
      </c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144</v>
      </c>
      <c r="B189" t="s">
        <v>146</v>
      </c>
      <c r="C189">
        <v>26</v>
      </c>
      <c r="D189" t="s">
        <v>136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144</v>
      </c>
      <c r="B190" t="s">
        <v>146</v>
      </c>
      <c r="C190">
        <v>27</v>
      </c>
      <c r="D190" t="s">
        <v>137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144</v>
      </c>
      <c r="B191" t="s">
        <v>146</v>
      </c>
      <c r="C191">
        <v>28</v>
      </c>
      <c r="D191" t="s">
        <v>138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144</v>
      </c>
      <c r="B192" t="s">
        <v>146</v>
      </c>
      <c r="C192">
        <v>29</v>
      </c>
      <c r="D192" t="s">
        <v>139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144</v>
      </c>
      <c r="B193" t="s">
        <v>146</v>
      </c>
      <c r="C193">
        <v>30</v>
      </c>
      <c r="D193" t="s">
        <v>140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144</v>
      </c>
      <c r="B194" t="s">
        <v>146</v>
      </c>
      <c r="C194">
        <v>31</v>
      </c>
      <c r="D194" t="s">
        <v>141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144</v>
      </c>
      <c r="B195" t="s">
        <v>146</v>
      </c>
      <c r="C195">
        <v>32</v>
      </c>
      <c r="D195" t="s">
        <v>73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144</v>
      </c>
      <c r="B196" t="s">
        <v>146</v>
      </c>
      <c r="C196">
        <v>33</v>
      </c>
      <c r="D196" t="s">
        <v>74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144</v>
      </c>
      <c r="B197" t="s">
        <v>146</v>
      </c>
      <c r="C197">
        <v>34</v>
      </c>
      <c r="D197" t="s">
        <v>75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144</v>
      </c>
      <c r="B198" t="s">
        <v>146</v>
      </c>
      <c r="C198">
        <v>35</v>
      </c>
      <c r="D198" t="s">
        <v>76</v>
      </c>
      <c r="E198" s="14">
        <v>0</v>
      </c>
      <c r="F198" s="14">
        <v>0</v>
      </c>
      <c r="G198" s="124">
        <v>0</v>
      </c>
      <c r="H198" s="121">
        <v>-259215.52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144</v>
      </c>
      <c r="B199" t="s">
        <v>146</v>
      </c>
      <c r="C199">
        <v>36</v>
      </c>
      <c r="D199" t="s">
        <v>77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144</v>
      </c>
      <c r="B200" t="s">
        <v>146</v>
      </c>
      <c r="C200">
        <v>37</v>
      </c>
      <c r="D200" t="s">
        <v>78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144</v>
      </c>
      <c r="B201" t="s">
        <v>146</v>
      </c>
      <c r="C201">
        <v>38</v>
      </c>
      <c r="D201" t="s">
        <v>79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144</v>
      </c>
      <c r="B202" t="s">
        <v>146</v>
      </c>
      <c r="C202">
        <v>39</v>
      </c>
      <c r="D202" t="s">
        <v>80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/>
      <c r="AB202" s="121"/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144</v>
      </c>
      <c r="B203" t="s">
        <v>146</v>
      </c>
      <c r="C203">
        <v>40</v>
      </c>
      <c r="D203" t="s">
        <v>81</v>
      </c>
      <c r="E203" s="14">
        <v>0</v>
      </c>
      <c r="F203" s="14">
        <v>750268.76</v>
      </c>
      <c r="G203" s="124">
        <v>0</v>
      </c>
      <c r="H203" s="121">
        <v>39567.199999999997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/>
      <c r="AB203" s="121"/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144</v>
      </c>
      <c r="B204" t="s">
        <v>143</v>
      </c>
      <c r="C204">
        <v>1</v>
      </c>
      <c r="D204" t="s">
        <v>28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/>
      <c r="AB204" s="121"/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144</v>
      </c>
      <c r="B205" t="s">
        <v>143</v>
      </c>
      <c r="C205">
        <v>2</v>
      </c>
      <c r="D205" t="s">
        <v>29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144</v>
      </c>
      <c r="B206" t="s">
        <v>143</v>
      </c>
      <c r="C206">
        <v>3</v>
      </c>
      <c r="D206" t="s">
        <v>30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/>
      <c r="AB206" s="121"/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144</v>
      </c>
      <c r="B207" t="s">
        <v>143</v>
      </c>
      <c r="C207">
        <v>4</v>
      </c>
      <c r="D207" t="s">
        <v>31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144</v>
      </c>
      <c r="B208" t="s">
        <v>143</v>
      </c>
      <c r="C208">
        <v>5</v>
      </c>
      <c r="D208" t="s">
        <v>129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/>
      <c r="AB208" s="121"/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144</v>
      </c>
      <c r="B209" t="s">
        <v>143</v>
      </c>
      <c r="C209">
        <v>6</v>
      </c>
      <c r="D209" t="s">
        <v>28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144</v>
      </c>
      <c r="B210" t="s">
        <v>143</v>
      </c>
      <c r="C210">
        <v>7</v>
      </c>
      <c r="D210" t="s">
        <v>29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/>
      <c r="AB210" s="121"/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144</v>
      </c>
      <c r="B211" t="s">
        <v>143</v>
      </c>
      <c r="C211">
        <v>8</v>
      </c>
      <c r="D211" t="s">
        <v>30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144</v>
      </c>
      <c r="B212" t="s">
        <v>143</v>
      </c>
      <c r="C212">
        <v>9</v>
      </c>
      <c r="D212" t="s">
        <v>31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144</v>
      </c>
      <c r="B213" t="s">
        <v>143</v>
      </c>
      <c r="C213">
        <v>10</v>
      </c>
      <c r="D213" t="s">
        <v>35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144</v>
      </c>
      <c r="B214" t="s">
        <v>143</v>
      </c>
      <c r="C214">
        <v>11</v>
      </c>
      <c r="D214" t="s">
        <v>38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144</v>
      </c>
      <c r="B215" t="s">
        <v>143</v>
      </c>
      <c r="C215">
        <v>12</v>
      </c>
      <c r="D215" t="s">
        <v>39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144</v>
      </c>
      <c r="B216" t="s">
        <v>143</v>
      </c>
      <c r="C216">
        <v>13</v>
      </c>
      <c r="D216" t="s">
        <v>42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144</v>
      </c>
      <c r="B217" t="s">
        <v>143</v>
      </c>
      <c r="C217">
        <v>14</v>
      </c>
      <c r="D217" t="s">
        <v>43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144</v>
      </c>
      <c r="B218" t="s">
        <v>143</v>
      </c>
      <c r="C218">
        <v>15</v>
      </c>
      <c r="D218" t="s">
        <v>44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144</v>
      </c>
      <c r="B219" t="s">
        <v>143</v>
      </c>
      <c r="C219">
        <v>16</v>
      </c>
      <c r="D219" t="s">
        <v>45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144</v>
      </c>
      <c r="B220" t="s">
        <v>143</v>
      </c>
      <c r="C220">
        <v>17</v>
      </c>
      <c r="D220" t="s">
        <v>130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144</v>
      </c>
      <c r="B221" t="s">
        <v>143</v>
      </c>
      <c r="C221">
        <v>18</v>
      </c>
      <c r="D221" t="s">
        <v>131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144</v>
      </c>
      <c r="B222" t="s">
        <v>143</v>
      </c>
      <c r="C222">
        <v>19</v>
      </c>
      <c r="D222" t="s">
        <v>50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144</v>
      </c>
      <c r="B223" t="s">
        <v>143</v>
      </c>
      <c r="C223">
        <v>20</v>
      </c>
      <c r="D223" t="s">
        <v>132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144</v>
      </c>
      <c r="B224" t="s">
        <v>143</v>
      </c>
      <c r="C224">
        <v>21</v>
      </c>
      <c r="D224" t="s">
        <v>133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144</v>
      </c>
      <c r="B225" t="s">
        <v>143</v>
      </c>
      <c r="C225">
        <v>22</v>
      </c>
      <c r="D225" t="s">
        <v>134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144</v>
      </c>
      <c r="B226" t="s">
        <v>143</v>
      </c>
      <c r="C226">
        <v>23</v>
      </c>
      <c r="D226" t="s">
        <v>135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144</v>
      </c>
      <c r="B227" t="s">
        <v>143</v>
      </c>
      <c r="C227">
        <v>24</v>
      </c>
      <c r="D227" t="s">
        <v>58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144</v>
      </c>
      <c r="B228" t="s">
        <v>143</v>
      </c>
      <c r="C228">
        <v>25</v>
      </c>
      <c r="D228" t="s">
        <v>59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144</v>
      </c>
      <c r="B229" t="s">
        <v>143</v>
      </c>
      <c r="C229">
        <v>26</v>
      </c>
      <c r="D229" t="s">
        <v>136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144</v>
      </c>
      <c r="B230" t="s">
        <v>143</v>
      </c>
      <c r="C230">
        <v>27</v>
      </c>
      <c r="D230" t="s">
        <v>137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144</v>
      </c>
      <c r="B231" t="s">
        <v>143</v>
      </c>
      <c r="C231">
        <v>28</v>
      </c>
      <c r="D231" t="s">
        <v>138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144</v>
      </c>
      <c r="B232" t="s">
        <v>143</v>
      </c>
      <c r="C232">
        <v>29</v>
      </c>
      <c r="D232" t="s">
        <v>139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144</v>
      </c>
      <c r="B233" t="s">
        <v>143</v>
      </c>
      <c r="C233">
        <v>30</v>
      </c>
      <c r="D233" t="s">
        <v>140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144</v>
      </c>
      <c r="B234" t="s">
        <v>143</v>
      </c>
      <c r="C234">
        <v>31</v>
      </c>
      <c r="D234" t="s">
        <v>141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144</v>
      </c>
      <c r="B235" t="s">
        <v>143</v>
      </c>
      <c r="C235">
        <v>32</v>
      </c>
      <c r="D235" t="s">
        <v>73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144</v>
      </c>
      <c r="B236" t="s">
        <v>143</v>
      </c>
      <c r="C236">
        <v>33</v>
      </c>
      <c r="D236" t="s">
        <v>74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144</v>
      </c>
      <c r="B237" t="s">
        <v>143</v>
      </c>
      <c r="C237">
        <v>34</v>
      </c>
      <c r="D237" t="s">
        <v>75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144</v>
      </c>
      <c r="B238" t="s">
        <v>143</v>
      </c>
      <c r="C238">
        <v>35</v>
      </c>
      <c r="D238" t="s">
        <v>76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144</v>
      </c>
      <c r="B239" t="s">
        <v>143</v>
      </c>
      <c r="C239">
        <v>36</v>
      </c>
      <c r="D239" t="s">
        <v>77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144</v>
      </c>
      <c r="B240" t="s">
        <v>143</v>
      </c>
      <c r="C240">
        <v>37</v>
      </c>
      <c r="D240" t="s">
        <v>78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/>
      <c r="AB240" s="121"/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144</v>
      </c>
      <c r="B241" t="s">
        <v>143</v>
      </c>
      <c r="C241">
        <v>38</v>
      </c>
      <c r="D241" t="s">
        <v>79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/>
      <c r="AB241" s="121"/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144</v>
      </c>
      <c r="B242" t="s">
        <v>143</v>
      </c>
      <c r="C242">
        <v>39</v>
      </c>
      <c r="D242" t="s">
        <v>80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/>
      <c r="AB242" s="121"/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144</v>
      </c>
      <c r="B243" t="s">
        <v>143</v>
      </c>
      <c r="C243">
        <v>40</v>
      </c>
      <c r="D243" t="s">
        <v>81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144</v>
      </c>
      <c r="B244" t="s">
        <v>147</v>
      </c>
      <c r="C244">
        <v>1</v>
      </c>
      <c r="D244" t="s">
        <v>28</v>
      </c>
      <c r="E244" s="14">
        <v>48159423</v>
      </c>
      <c r="F244" s="14">
        <v>109500227.32000001</v>
      </c>
      <c r="G244" s="124">
        <v>1633872</v>
      </c>
      <c r="H244" s="121">
        <v>-2224726.25</v>
      </c>
      <c r="I244" s="124">
        <v>-1308754</v>
      </c>
      <c r="J244" s="121">
        <v>-2828581.08</v>
      </c>
      <c r="K244" s="121">
        <v>-22790</v>
      </c>
      <c r="L244" s="121">
        <v>-58647.72</v>
      </c>
      <c r="M244" s="121">
        <v>-522399</v>
      </c>
      <c r="N244" s="121">
        <v>-1200987.27</v>
      </c>
      <c r="O244" s="121">
        <v>-20492</v>
      </c>
      <c r="P244" s="121">
        <v>-55936.83</v>
      </c>
      <c r="Q244" s="121">
        <v>0</v>
      </c>
      <c r="R244" s="121">
        <v>-2131.31</v>
      </c>
      <c r="S244" s="121">
        <v>0</v>
      </c>
      <c r="T244" s="121">
        <v>0</v>
      </c>
      <c r="U244" s="121">
        <v>0</v>
      </c>
      <c r="V244" s="121">
        <v>0</v>
      </c>
      <c r="W244" s="121">
        <v>0</v>
      </c>
      <c r="X244" s="121">
        <v>0</v>
      </c>
      <c r="Y244" s="121">
        <v>0</v>
      </c>
      <c r="Z244" s="121">
        <v>0</v>
      </c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144</v>
      </c>
      <c r="B245" t="s">
        <v>147</v>
      </c>
      <c r="C245">
        <v>2</v>
      </c>
      <c r="D245" t="s">
        <v>29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144</v>
      </c>
      <c r="B246" t="s">
        <v>147</v>
      </c>
      <c r="C246">
        <v>3</v>
      </c>
      <c r="D246" t="s">
        <v>30</v>
      </c>
      <c r="E246" s="14">
        <v>28708483</v>
      </c>
      <c r="F246" s="14">
        <v>65345130</v>
      </c>
      <c r="G246" s="124">
        <v>0</v>
      </c>
      <c r="H246" s="121">
        <v>0</v>
      </c>
      <c r="I246" s="124">
        <v>0</v>
      </c>
      <c r="J246" s="121">
        <v>0</v>
      </c>
      <c r="K246" s="121">
        <v>0</v>
      </c>
      <c r="L246" s="121">
        <v>0</v>
      </c>
      <c r="M246" s="121">
        <v>1457527</v>
      </c>
      <c r="N246" s="121">
        <v>3236246</v>
      </c>
      <c r="O246" s="121">
        <v>1457527</v>
      </c>
      <c r="P246" s="121">
        <v>3236246</v>
      </c>
      <c r="Q246" s="121">
        <v>-2915054</v>
      </c>
      <c r="R246" s="121">
        <v>-6472492</v>
      </c>
      <c r="S246" s="121">
        <v>319068</v>
      </c>
      <c r="T246" s="121">
        <v>726227</v>
      </c>
      <c r="U246" s="121">
        <v>0</v>
      </c>
      <c r="V246" s="121">
        <v>0</v>
      </c>
      <c r="W246" s="121">
        <v>-319068</v>
      </c>
      <c r="X246" s="121">
        <v>-726227</v>
      </c>
      <c r="Y246" s="121">
        <v>0</v>
      </c>
      <c r="Z246" s="121">
        <v>0</v>
      </c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144</v>
      </c>
      <c r="B247" t="s">
        <v>147</v>
      </c>
      <c r="C247">
        <v>4</v>
      </c>
      <c r="D247" t="s">
        <v>31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144</v>
      </c>
      <c r="B248" t="s">
        <v>147</v>
      </c>
      <c r="C248">
        <v>5</v>
      </c>
      <c r="D248" t="s">
        <v>129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144</v>
      </c>
      <c r="B249" t="s">
        <v>147</v>
      </c>
      <c r="C249">
        <v>6</v>
      </c>
      <c r="D249" t="s">
        <v>28</v>
      </c>
      <c r="E249" s="14">
        <v>-33064835</v>
      </c>
      <c r="F249" s="14">
        <v>-71967617.620000005</v>
      </c>
      <c r="G249" s="124">
        <v>-351128</v>
      </c>
      <c r="H249" s="121">
        <v>-786601.65</v>
      </c>
      <c r="I249" s="124">
        <v>158900</v>
      </c>
      <c r="J249" s="121">
        <v>357534.6</v>
      </c>
      <c r="K249" s="121">
        <v>-2649</v>
      </c>
      <c r="L249" s="121">
        <v>-5476.77</v>
      </c>
      <c r="M249" s="121">
        <v>17202</v>
      </c>
      <c r="N249" s="121">
        <v>37236.22</v>
      </c>
      <c r="O249" s="121">
        <v>-8719</v>
      </c>
      <c r="P249" s="121">
        <v>-17400.810000000001</v>
      </c>
      <c r="Q249" s="121">
        <v>0</v>
      </c>
      <c r="R249" s="121">
        <v>828.66</v>
      </c>
      <c r="S249" s="121">
        <v>-1598</v>
      </c>
      <c r="T249" s="121">
        <v>-3607.64</v>
      </c>
      <c r="U249" s="121">
        <v>0</v>
      </c>
      <c r="V249" s="121">
        <v>0</v>
      </c>
      <c r="W249" s="121">
        <v>0</v>
      </c>
      <c r="X249" s="121">
        <v>0</v>
      </c>
      <c r="Y249" s="121">
        <v>0</v>
      </c>
      <c r="Z249" s="121">
        <v>0</v>
      </c>
      <c r="AA249" s="121"/>
      <c r="AB249" s="121"/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144</v>
      </c>
      <c r="B250" t="s">
        <v>147</v>
      </c>
      <c r="C250">
        <v>7</v>
      </c>
      <c r="D250" t="s">
        <v>29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/>
      <c r="AB250" s="121"/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144</v>
      </c>
      <c r="B251" t="s">
        <v>147</v>
      </c>
      <c r="C251">
        <v>8</v>
      </c>
      <c r="D251" t="s">
        <v>30</v>
      </c>
      <c r="E251" s="14">
        <v>-30437214</v>
      </c>
      <c r="F251" s="14">
        <v>-69190550</v>
      </c>
      <c r="G251" s="124">
        <v>0</v>
      </c>
      <c r="H251" s="121">
        <v>0</v>
      </c>
      <c r="I251" s="124">
        <v>271205</v>
      </c>
      <c r="J251" s="121">
        <v>609175</v>
      </c>
      <c r="K251" s="121">
        <v>0</v>
      </c>
      <c r="L251" s="121">
        <v>0</v>
      </c>
      <c r="M251" s="121">
        <v>-1457527</v>
      </c>
      <c r="N251" s="121">
        <v>-3236246</v>
      </c>
      <c r="O251" s="121">
        <v>-1457527</v>
      </c>
      <c r="P251" s="121">
        <v>-3236246</v>
      </c>
      <c r="Q251" s="121">
        <v>2643849</v>
      </c>
      <c r="R251" s="121">
        <v>5863317</v>
      </c>
      <c r="S251" s="121">
        <v>-283497</v>
      </c>
      <c r="T251" s="121">
        <v>-650121</v>
      </c>
      <c r="U251" s="121">
        <v>0</v>
      </c>
      <c r="V251" s="121">
        <v>0</v>
      </c>
      <c r="W251" s="121">
        <v>283497</v>
      </c>
      <c r="X251" s="121">
        <v>650121</v>
      </c>
      <c r="Y251" s="121">
        <v>0</v>
      </c>
      <c r="Z251" s="121">
        <v>0</v>
      </c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144</v>
      </c>
      <c r="B252" t="s">
        <v>147</v>
      </c>
      <c r="C252">
        <v>9</v>
      </c>
      <c r="D252" t="s">
        <v>31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/>
      <c r="AB252" s="121"/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144</v>
      </c>
      <c r="B253" t="s">
        <v>147</v>
      </c>
      <c r="C253">
        <v>10</v>
      </c>
      <c r="D253" t="s">
        <v>35</v>
      </c>
      <c r="E253" s="14">
        <v>60</v>
      </c>
      <c r="F253" s="14">
        <v>130.86000000000001</v>
      </c>
      <c r="G253" s="124">
        <v>2920</v>
      </c>
      <c r="H253" s="121">
        <v>6368.52</v>
      </c>
      <c r="I253" s="124">
        <v>0</v>
      </c>
      <c r="J253" s="121">
        <v>0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/>
      <c r="AB253" s="121"/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144</v>
      </c>
      <c r="B254" t="s">
        <v>147</v>
      </c>
      <c r="C254">
        <v>11</v>
      </c>
      <c r="D254" t="s">
        <v>38</v>
      </c>
      <c r="E254" s="14">
        <v>145650</v>
      </c>
      <c r="F254" s="14">
        <v>326256</v>
      </c>
      <c r="G254" s="124">
        <v>8086</v>
      </c>
      <c r="H254" s="121">
        <v>18112</v>
      </c>
      <c r="I254" s="124">
        <v>0</v>
      </c>
      <c r="J254" s="121">
        <v>0</v>
      </c>
      <c r="K254" s="121">
        <v>0</v>
      </c>
      <c r="L254" s="121">
        <v>0</v>
      </c>
      <c r="M254" s="121">
        <v>0</v>
      </c>
      <c r="N254" s="121">
        <v>0</v>
      </c>
      <c r="O254" s="121">
        <v>-10890</v>
      </c>
      <c r="P254" s="121">
        <v>-24393.599999999999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/>
      <c r="AB254" s="121"/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144</v>
      </c>
      <c r="B255" t="s">
        <v>147</v>
      </c>
      <c r="C255">
        <v>12</v>
      </c>
      <c r="D255" t="s">
        <v>39</v>
      </c>
      <c r="E255" s="14">
        <v>-14769361</v>
      </c>
      <c r="F255" s="14">
        <v>-32954915.649999999</v>
      </c>
      <c r="G255" s="124">
        <v>-1051471</v>
      </c>
      <c r="H255" s="121">
        <v>-748386.51</v>
      </c>
      <c r="I255" s="124">
        <v>1015204</v>
      </c>
      <c r="J255" s="121">
        <v>666719.51</v>
      </c>
      <c r="K255" s="121">
        <v>0</v>
      </c>
      <c r="L255" s="121">
        <v>0</v>
      </c>
      <c r="M255" s="121">
        <v>12899</v>
      </c>
      <c r="N255" s="121">
        <v>28893.759999999998</v>
      </c>
      <c r="O255" s="121">
        <v>15492</v>
      </c>
      <c r="P255" s="121">
        <v>34702.080000000002</v>
      </c>
      <c r="Q255" s="121">
        <v>0</v>
      </c>
      <c r="R255" s="121">
        <v>0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144</v>
      </c>
      <c r="B256" t="s">
        <v>147</v>
      </c>
      <c r="C256">
        <v>13</v>
      </c>
      <c r="D256" t="s">
        <v>42</v>
      </c>
      <c r="E256" s="14">
        <v>783989</v>
      </c>
      <c r="F256" s="14">
        <v>1709880.01</v>
      </c>
      <c r="G256" s="124">
        <v>-1076701</v>
      </c>
      <c r="H256" s="121">
        <v>-2422577.25</v>
      </c>
      <c r="I256" s="124">
        <v>864790</v>
      </c>
      <c r="J256" s="121">
        <v>1788550.524</v>
      </c>
      <c r="K256" s="121">
        <v>240532</v>
      </c>
      <c r="L256" s="121">
        <v>716297.09</v>
      </c>
      <c r="M256" s="121">
        <v>-74490</v>
      </c>
      <c r="N256" s="121">
        <v>-182331.64</v>
      </c>
      <c r="O256" s="121">
        <v>-426283</v>
      </c>
      <c r="P256" s="121">
        <v>-929723.21799999999</v>
      </c>
      <c r="Q256" s="121">
        <v>0</v>
      </c>
      <c r="R256" s="121">
        <v>0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/>
      <c r="AB256" s="121"/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144</v>
      </c>
      <c r="B257" t="s">
        <v>147</v>
      </c>
      <c r="C257">
        <v>14</v>
      </c>
      <c r="D257" t="s">
        <v>43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/>
      <c r="AB257" s="121"/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144</v>
      </c>
      <c r="B258" t="s">
        <v>147</v>
      </c>
      <c r="C258">
        <v>15</v>
      </c>
      <c r="D258" t="s">
        <v>44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/>
      <c r="AB258" s="121"/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144</v>
      </c>
      <c r="B259" t="s">
        <v>147</v>
      </c>
      <c r="C259">
        <v>16</v>
      </c>
      <c r="D259" t="s">
        <v>45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144</v>
      </c>
      <c r="B260" t="s">
        <v>147</v>
      </c>
      <c r="C260">
        <v>17</v>
      </c>
      <c r="D260" t="s">
        <v>130</v>
      </c>
      <c r="E260" s="14">
        <v>0</v>
      </c>
      <c r="F260" s="14">
        <v>0</v>
      </c>
      <c r="G260" s="124">
        <v>2006264</v>
      </c>
      <c r="H260" s="121">
        <v>4473968.72</v>
      </c>
      <c r="I260" s="124">
        <v>-100803</v>
      </c>
      <c r="J260" s="121">
        <v>67448.86</v>
      </c>
      <c r="K260" s="121">
        <v>-28760</v>
      </c>
      <c r="L260" s="121">
        <v>-69409.38</v>
      </c>
      <c r="M260" s="121">
        <v>-10353</v>
      </c>
      <c r="N260" s="121">
        <v>-24985.93</v>
      </c>
      <c r="O260" s="121">
        <v>0</v>
      </c>
      <c r="P260" s="121">
        <v>0</v>
      </c>
      <c r="Q260" s="121">
        <v>0</v>
      </c>
      <c r="R260" s="121">
        <v>-45015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/>
      <c r="AB260" s="121"/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144</v>
      </c>
      <c r="B261" t="s">
        <v>147</v>
      </c>
      <c r="C261">
        <v>18</v>
      </c>
      <c r="D261" t="s">
        <v>131</v>
      </c>
      <c r="E261" s="14">
        <v>-30000</v>
      </c>
      <c r="F261" s="14">
        <v>-60534.6</v>
      </c>
      <c r="G261" s="124">
        <v>-1648</v>
      </c>
      <c r="H261" s="121">
        <v>-3325.37</v>
      </c>
      <c r="I261" s="124">
        <v>0</v>
      </c>
      <c r="J261" s="121">
        <v>-6715.07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/>
      <c r="AB261" s="121"/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144</v>
      </c>
      <c r="B262" t="s">
        <v>147</v>
      </c>
      <c r="C262">
        <v>19</v>
      </c>
      <c r="D262" t="s">
        <v>50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144</v>
      </c>
      <c r="B263" t="s">
        <v>147</v>
      </c>
      <c r="C263">
        <v>20</v>
      </c>
      <c r="D263" t="s">
        <v>132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144</v>
      </c>
      <c r="B264" t="s">
        <v>147</v>
      </c>
      <c r="C264">
        <v>21</v>
      </c>
      <c r="D264" t="s">
        <v>133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144</v>
      </c>
      <c r="B265" t="s">
        <v>147</v>
      </c>
      <c r="C265">
        <v>22</v>
      </c>
      <c r="D265" t="s">
        <v>134</v>
      </c>
      <c r="E265" s="14">
        <v>503805</v>
      </c>
      <c r="F265" s="14">
        <v>1098798.7050000001</v>
      </c>
      <c r="G265" s="124">
        <v>-1170194</v>
      </c>
      <c r="H265" s="121">
        <v>-2552193.1140000001</v>
      </c>
      <c r="I265" s="124">
        <v>-900542</v>
      </c>
      <c r="J265" s="121">
        <v>-1964082.102</v>
      </c>
      <c r="K265" s="121">
        <v>-186333</v>
      </c>
      <c r="L265" s="121">
        <v>-406392.27299999999</v>
      </c>
      <c r="M265" s="121">
        <v>577141</v>
      </c>
      <c r="N265" s="121">
        <v>1258744.5209999999</v>
      </c>
      <c r="O265" s="121">
        <v>450892</v>
      </c>
      <c r="P265" s="121">
        <v>983395.45200000005</v>
      </c>
      <c r="Q265" s="121">
        <v>271205</v>
      </c>
      <c r="R265" s="121">
        <v>591498.10499999998</v>
      </c>
      <c r="S265" s="121">
        <v>-33973</v>
      </c>
      <c r="T265" s="121">
        <v>-75725.816999999995</v>
      </c>
      <c r="U265" s="121">
        <v>0</v>
      </c>
      <c r="V265" s="121">
        <v>0</v>
      </c>
      <c r="W265" s="121">
        <v>35571</v>
      </c>
      <c r="X265" s="121">
        <v>79287.759000000005</v>
      </c>
      <c r="Y265" s="121">
        <v>0</v>
      </c>
      <c r="Z265" s="121">
        <v>0</v>
      </c>
      <c r="AA265" s="121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144</v>
      </c>
      <c r="B266" t="s">
        <v>147</v>
      </c>
      <c r="C266">
        <v>23</v>
      </c>
      <c r="D266" t="s">
        <v>135</v>
      </c>
      <c r="E266" s="14">
        <v>-60</v>
      </c>
      <c r="F266" s="14">
        <v>-130.86000000000001</v>
      </c>
      <c r="G266" s="124">
        <v>-2920</v>
      </c>
      <c r="H266" s="121">
        <v>-6368.52</v>
      </c>
      <c r="I266" s="124">
        <v>0</v>
      </c>
      <c r="J266" s="121">
        <v>0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/>
      <c r="AB266" s="121"/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144</v>
      </c>
      <c r="B267" t="s">
        <v>147</v>
      </c>
      <c r="C267">
        <v>24</v>
      </c>
      <c r="D267" t="s">
        <v>58</v>
      </c>
      <c r="E267" s="14">
        <v>-6560291</v>
      </c>
      <c r="F267" s="14">
        <v>-518841.77</v>
      </c>
      <c r="G267" s="124">
        <v>-516106</v>
      </c>
      <c r="H267" s="121">
        <v>124435</v>
      </c>
      <c r="I267" s="124">
        <v>222564</v>
      </c>
      <c r="J267" s="121">
        <v>7178</v>
      </c>
      <c r="K267" s="121">
        <v>42868</v>
      </c>
      <c r="L267" s="121">
        <v>882.6</v>
      </c>
      <c r="M267" s="121">
        <v>-8457</v>
      </c>
      <c r="N267" s="121">
        <v>26680.5</v>
      </c>
      <c r="O267" s="121">
        <v>-48936</v>
      </c>
      <c r="P267" s="121">
        <v>-29367.75</v>
      </c>
      <c r="Q267" s="121">
        <v>-166459</v>
      </c>
      <c r="R267" s="121">
        <v>-658.85</v>
      </c>
      <c r="S267" s="121">
        <v>0</v>
      </c>
      <c r="T267" s="121">
        <v>0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144</v>
      </c>
      <c r="B268" t="s">
        <v>147</v>
      </c>
      <c r="C268">
        <v>25</v>
      </c>
      <c r="D268" t="s">
        <v>59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-93300</v>
      </c>
      <c r="S268" s="121">
        <v>0</v>
      </c>
      <c r="T268" s="121">
        <v>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144</v>
      </c>
      <c r="B269" t="s">
        <v>147</v>
      </c>
      <c r="C269">
        <v>26</v>
      </c>
      <c r="D269" t="s">
        <v>136</v>
      </c>
      <c r="E269" s="14">
        <v>0</v>
      </c>
      <c r="F269" s="14">
        <v>35662.5</v>
      </c>
      <c r="G269" s="124">
        <v>0</v>
      </c>
      <c r="H269" s="121">
        <v>0</v>
      </c>
      <c r="I269" s="124">
        <v>0</v>
      </c>
      <c r="J269" s="121">
        <v>200</v>
      </c>
      <c r="K269" s="121">
        <v>0</v>
      </c>
      <c r="L269" s="121">
        <v>-200</v>
      </c>
      <c r="M269" s="121">
        <v>0</v>
      </c>
      <c r="N269" s="121">
        <v>0</v>
      </c>
      <c r="O269" s="121">
        <v>0</v>
      </c>
      <c r="P269" s="121">
        <v>5118.12</v>
      </c>
      <c r="Q269" s="121">
        <v>0</v>
      </c>
      <c r="R269" s="121">
        <v>0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144</v>
      </c>
      <c r="B270" t="s">
        <v>147</v>
      </c>
      <c r="C270">
        <v>27</v>
      </c>
      <c r="D270" t="s">
        <v>137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144</v>
      </c>
      <c r="B271" t="s">
        <v>147</v>
      </c>
      <c r="C271">
        <v>28</v>
      </c>
      <c r="D271" t="s">
        <v>138</v>
      </c>
      <c r="E271" s="14">
        <v>-26120781</v>
      </c>
      <c r="F271" s="14">
        <v>-981470.29</v>
      </c>
      <c r="G271" s="124">
        <v>-15911713</v>
      </c>
      <c r="H271" s="121">
        <v>-137390</v>
      </c>
      <c r="I271" s="124">
        <v>-2771326</v>
      </c>
      <c r="J271" s="121">
        <v>128</v>
      </c>
      <c r="K271" s="121">
        <v>34550</v>
      </c>
      <c r="L271" s="121">
        <v>0.27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144</v>
      </c>
      <c r="B272" t="s">
        <v>147</v>
      </c>
      <c r="C272">
        <v>29</v>
      </c>
      <c r="D272" t="s">
        <v>139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144</v>
      </c>
      <c r="B273" t="s">
        <v>147</v>
      </c>
      <c r="C273">
        <v>30</v>
      </c>
      <c r="D273" t="s">
        <v>140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144</v>
      </c>
      <c r="B274" t="s">
        <v>147</v>
      </c>
      <c r="C274">
        <v>31</v>
      </c>
      <c r="D274" t="s">
        <v>141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144</v>
      </c>
      <c r="B275" t="s">
        <v>147</v>
      </c>
      <c r="C275">
        <v>32</v>
      </c>
      <c r="D275" t="s">
        <v>73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144</v>
      </c>
      <c r="B276" t="s">
        <v>147</v>
      </c>
      <c r="C276">
        <v>33</v>
      </c>
      <c r="D276" t="s">
        <v>74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144</v>
      </c>
      <c r="B277" t="s">
        <v>147</v>
      </c>
      <c r="C277">
        <v>34</v>
      </c>
      <c r="D277" t="s">
        <v>75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144</v>
      </c>
      <c r="B278" t="s">
        <v>147</v>
      </c>
      <c r="C278">
        <v>35</v>
      </c>
      <c r="D278" t="s">
        <v>76</v>
      </c>
      <c r="E278" s="14">
        <v>0</v>
      </c>
      <c r="F278" s="14">
        <v>-245622.75</v>
      </c>
      <c r="G278" s="124">
        <v>0</v>
      </c>
      <c r="H278" s="121">
        <v>-1961.25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144</v>
      </c>
      <c r="B279" t="s">
        <v>147</v>
      </c>
      <c r="C279">
        <v>36</v>
      </c>
      <c r="D279" t="s">
        <v>77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144</v>
      </c>
      <c r="B280" t="s">
        <v>147</v>
      </c>
      <c r="C280">
        <v>37</v>
      </c>
      <c r="D280" t="s">
        <v>78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144</v>
      </c>
      <c r="B281" t="s">
        <v>147</v>
      </c>
      <c r="C281">
        <v>38</v>
      </c>
      <c r="D281" t="s">
        <v>79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144</v>
      </c>
      <c r="B282" t="s">
        <v>147</v>
      </c>
      <c r="C282">
        <v>39</v>
      </c>
      <c r="D282" t="s">
        <v>80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144</v>
      </c>
      <c r="B283" t="s">
        <v>147</v>
      </c>
      <c r="C283">
        <v>40</v>
      </c>
      <c r="D283" t="s">
        <v>81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144</v>
      </c>
      <c r="B284" t="s">
        <v>148</v>
      </c>
      <c r="C284">
        <v>1</v>
      </c>
      <c r="D284" t="s">
        <v>28</v>
      </c>
      <c r="E284" s="14">
        <v>25705617</v>
      </c>
      <c r="F284" s="14">
        <v>52794559.859999999</v>
      </c>
      <c r="G284" s="124">
        <v>-145812</v>
      </c>
      <c r="H284" s="121">
        <v>-396140.9</v>
      </c>
      <c r="I284" s="124">
        <v>46693</v>
      </c>
      <c r="J284" s="121">
        <v>109655.92</v>
      </c>
      <c r="K284" s="121">
        <v>-23051</v>
      </c>
      <c r="L284" s="121">
        <v>-68727.95</v>
      </c>
      <c r="M284" s="121">
        <v>903</v>
      </c>
      <c r="N284" s="121">
        <v>1336.4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144</v>
      </c>
      <c r="B285" t="s">
        <v>148</v>
      </c>
      <c r="C285">
        <v>2</v>
      </c>
      <c r="D285" t="s">
        <v>29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144</v>
      </c>
      <c r="B286" t="s">
        <v>148</v>
      </c>
      <c r="C286">
        <v>3</v>
      </c>
      <c r="D286" t="s">
        <v>30</v>
      </c>
      <c r="E286" s="14">
        <v>21435046</v>
      </c>
      <c r="F286" s="14">
        <v>45842195</v>
      </c>
      <c r="G286" s="124">
        <v>0</v>
      </c>
      <c r="H286" s="121">
        <v>0</v>
      </c>
      <c r="I286" s="124">
        <v>-516638</v>
      </c>
      <c r="J286" s="121">
        <v>-1112067</v>
      </c>
      <c r="K286" s="121">
        <v>0</v>
      </c>
      <c r="L286" s="121">
        <v>0</v>
      </c>
      <c r="M286" s="121">
        <v>0</v>
      </c>
      <c r="N286" s="121">
        <v>0</v>
      </c>
      <c r="O286" s="121">
        <v>1667833</v>
      </c>
      <c r="P286" s="121">
        <v>3622693</v>
      </c>
      <c r="Q286" s="121">
        <v>-1151195</v>
      </c>
      <c r="R286" s="121">
        <v>-2510626</v>
      </c>
      <c r="S286" s="121">
        <v>-2232590</v>
      </c>
      <c r="T286" s="121">
        <v>-5136259</v>
      </c>
      <c r="U286" s="121">
        <v>0</v>
      </c>
      <c r="V286" s="121">
        <v>0</v>
      </c>
      <c r="W286" s="121">
        <v>2232590</v>
      </c>
      <c r="X286" s="121">
        <v>5136259</v>
      </c>
      <c r="Y286" s="121">
        <v>0</v>
      </c>
      <c r="Z286" s="121">
        <v>0</v>
      </c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144</v>
      </c>
      <c r="B287" t="s">
        <v>148</v>
      </c>
      <c r="C287">
        <v>4</v>
      </c>
      <c r="D287" t="s">
        <v>31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144</v>
      </c>
      <c r="B288" t="s">
        <v>148</v>
      </c>
      <c r="C288">
        <v>5</v>
      </c>
      <c r="D288" t="s">
        <v>129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144</v>
      </c>
      <c r="B289" t="s">
        <v>148</v>
      </c>
      <c r="C289">
        <v>6</v>
      </c>
      <c r="D289" t="s">
        <v>28</v>
      </c>
      <c r="E289" s="14">
        <v>-28173061</v>
      </c>
      <c r="F289" s="14">
        <v>-56629110.519999996</v>
      </c>
      <c r="G289" s="124">
        <v>229888</v>
      </c>
      <c r="H289" s="121">
        <v>865422.15</v>
      </c>
      <c r="I289" s="124">
        <v>-89018</v>
      </c>
      <c r="J289" s="121">
        <v>-187918.46</v>
      </c>
      <c r="K289" s="121">
        <v>0</v>
      </c>
      <c r="L289" s="121">
        <v>0</v>
      </c>
      <c r="M289" s="121">
        <v>-1000</v>
      </c>
      <c r="N289" s="121">
        <v>-2053.0100000000002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144</v>
      </c>
      <c r="B290" t="s">
        <v>148</v>
      </c>
      <c r="C290">
        <v>7</v>
      </c>
      <c r="D290" t="s">
        <v>29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144</v>
      </c>
      <c r="B291" t="s">
        <v>148</v>
      </c>
      <c r="C291">
        <v>8</v>
      </c>
      <c r="D291" t="s">
        <v>30</v>
      </c>
      <c r="E291" s="14">
        <v>-19226020</v>
      </c>
      <c r="F291" s="14">
        <v>-41053457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-1667833</v>
      </c>
      <c r="P291" s="121">
        <v>-3622693</v>
      </c>
      <c r="Q291" s="121">
        <v>1667833</v>
      </c>
      <c r="R291" s="121">
        <v>3622693</v>
      </c>
      <c r="S291" s="121">
        <v>646894</v>
      </c>
      <c r="T291" s="121">
        <v>1481406</v>
      </c>
      <c r="U291" s="121">
        <v>0</v>
      </c>
      <c r="V291" s="121">
        <v>0</v>
      </c>
      <c r="W291" s="121">
        <v>-646894</v>
      </c>
      <c r="X291" s="121">
        <v>-1481406</v>
      </c>
      <c r="Y291" s="121">
        <v>0</v>
      </c>
      <c r="Z291" s="121">
        <v>0</v>
      </c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144</v>
      </c>
      <c r="B292" t="s">
        <v>148</v>
      </c>
      <c r="C292">
        <v>9</v>
      </c>
      <c r="D292" t="s">
        <v>31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144</v>
      </c>
      <c r="B293" t="s">
        <v>148</v>
      </c>
      <c r="C293">
        <v>10</v>
      </c>
      <c r="D293" t="s">
        <v>35</v>
      </c>
      <c r="E293" s="14">
        <v>279890</v>
      </c>
      <c r="F293" s="14">
        <v>582171.19999999995</v>
      </c>
      <c r="G293" s="124">
        <v>10545</v>
      </c>
      <c r="H293" s="121">
        <v>21933.599999999999</v>
      </c>
      <c r="I293" s="124">
        <v>0</v>
      </c>
      <c r="J293" s="121">
        <v>0</v>
      </c>
      <c r="K293" s="121">
        <v>-13</v>
      </c>
      <c r="L293" s="121">
        <v>-27.04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144</v>
      </c>
      <c r="B294" t="s">
        <v>148</v>
      </c>
      <c r="C294">
        <v>11</v>
      </c>
      <c r="D294" t="s">
        <v>38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144</v>
      </c>
      <c r="B295" t="s">
        <v>148</v>
      </c>
      <c r="C295">
        <v>12</v>
      </c>
      <c r="D295" t="s">
        <v>39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144</v>
      </c>
      <c r="B296" t="s">
        <v>148</v>
      </c>
      <c r="C296">
        <v>13</v>
      </c>
      <c r="D296" t="s">
        <v>42</v>
      </c>
      <c r="E296" s="14">
        <v>27555</v>
      </c>
      <c r="F296" s="14">
        <v>57314.39</v>
      </c>
      <c r="G296" s="124">
        <v>-79572</v>
      </c>
      <c r="H296" s="121">
        <v>-165873.87899999999</v>
      </c>
      <c r="I296" s="124">
        <v>-71682</v>
      </c>
      <c r="J296" s="121">
        <v>-206378.17499999999</v>
      </c>
      <c r="K296" s="121">
        <v>105958</v>
      </c>
      <c r="L296" s="121">
        <v>294524.511</v>
      </c>
      <c r="M296" s="121">
        <v>797</v>
      </c>
      <c r="N296" s="121">
        <v>-14152.884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144</v>
      </c>
      <c r="B297" t="s">
        <v>148</v>
      </c>
      <c r="C297">
        <v>14</v>
      </c>
      <c r="D297" t="s">
        <v>43</v>
      </c>
      <c r="E297" s="14">
        <v>0</v>
      </c>
      <c r="F297" s="14">
        <v>0</v>
      </c>
      <c r="G297" s="124">
        <v>-4011</v>
      </c>
      <c r="H297" s="121">
        <v>-8789.42</v>
      </c>
      <c r="I297" s="124">
        <v>-2</v>
      </c>
      <c r="J297" s="121">
        <v>-3.86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144</v>
      </c>
      <c r="B298" t="s">
        <v>148</v>
      </c>
      <c r="C298">
        <v>15</v>
      </c>
      <c r="D298" t="s">
        <v>44</v>
      </c>
      <c r="E298" s="14">
        <v>0</v>
      </c>
      <c r="F298" s="14">
        <v>0</v>
      </c>
      <c r="G298" s="124">
        <v>86</v>
      </c>
      <c r="H298" s="121">
        <v>191.09</v>
      </c>
      <c r="I298" s="124">
        <v>342</v>
      </c>
      <c r="J298" s="121">
        <v>710.68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144</v>
      </c>
      <c r="B299" t="s">
        <v>148</v>
      </c>
      <c r="C299">
        <v>16</v>
      </c>
      <c r="D299" t="s">
        <v>45</v>
      </c>
      <c r="E299" s="14">
        <v>-16411</v>
      </c>
      <c r="F299" s="14">
        <v>0.01</v>
      </c>
      <c r="G299" s="124">
        <v>29080</v>
      </c>
      <c r="H299" s="121">
        <v>0</v>
      </c>
      <c r="I299" s="124">
        <v>0</v>
      </c>
      <c r="J299" s="121">
        <v>0</v>
      </c>
      <c r="K299" s="121">
        <v>0</v>
      </c>
      <c r="L299" s="121">
        <v>0</v>
      </c>
      <c r="M299" s="121">
        <v>0</v>
      </c>
      <c r="N299" s="121">
        <v>26352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144</v>
      </c>
      <c r="B300" t="s">
        <v>148</v>
      </c>
      <c r="C300">
        <v>17</v>
      </c>
      <c r="D300" t="s">
        <v>130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144</v>
      </c>
      <c r="B301" t="s">
        <v>148</v>
      </c>
      <c r="C301">
        <v>18</v>
      </c>
      <c r="D301" t="s">
        <v>131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144</v>
      </c>
      <c r="B302" t="s">
        <v>148</v>
      </c>
      <c r="C302">
        <v>19</v>
      </c>
      <c r="D302" t="s">
        <v>50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144</v>
      </c>
      <c r="B303" t="s">
        <v>148</v>
      </c>
      <c r="C303">
        <v>20</v>
      </c>
      <c r="D303" t="s">
        <v>132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144</v>
      </c>
      <c r="B304" t="s">
        <v>148</v>
      </c>
      <c r="C304">
        <v>21</v>
      </c>
      <c r="D304" t="s">
        <v>133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144</v>
      </c>
      <c r="B305" t="s">
        <v>148</v>
      </c>
      <c r="C305">
        <v>22</v>
      </c>
      <c r="D305" t="s">
        <v>134</v>
      </c>
      <c r="E305" s="14">
        <v>-32616</v>
      </c>
      <c r="F305" s="14">
        <v>-67841.279999999999</v>
      </c>
      <c r="G305" s="124">
        <v>-40204</v>
      </c>
      <c r="H305" s="121">
        <v>-83624.320000000007</v>
      </c>
      <c r="I305" s="124">
        <v>630305</v>
      </c>
      <c r="J305" s="121">
        <v>1311034.3999999999</v>
      </c>
      <c r="K305" s="121">
        <v>-82894</v>
      </c>
      <c r="L305" s="121">
        <v>-172419.52</v>
      </c>
      <c r="M305" s="121">
        <v>-700</v>
      </c>
      <c r="N305" s="121">
        <v>-1456</v>
      </c>
      <c r="O305" s="121">
        <v>0</v>
      </c>
      <c r="P305" s="121">
        <v>0</v>
      </c>
      <c r="Q305" s="121">
        <v>-516638</v>
      </c>
      <c r="R305" s="121">
        <v>-1074607.04</v>
      </c>
      <c r="S305" s="121">
        <v>1585696</v>
      </c>
      <c r="T305" s="121">
        <v>3615386.88</v>
      </c>
      <c r="U305" s="121">
        <v>0</v>
      </c>
      <c r="V305" s="121">
        <v>0</v>
      </c>
      <c r="W305" s="121">
        <v>-1585696</v>
      </c>
      <c r="X305" s="121">
        <v>-3615386.88</v>
      </c>
      <c r="Y305" s="121">
        <v>0</v>
      </c>
      <c r="Z305" s="121">
        <v>0</v>
      </c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144</v>
      </c>
      <c r="B306" t="s">
        <v>148</v>
      </c>
      <c r="C306">
        <v>23</v>
      </c>
      <c r="D306" t="s">
        <v>135</v>
      </c>
      <c r="E306" s="14">
        <v>-279890</v>
      </c>
      <c r="F306" s="14">
        <v>-582171.19999999995</v>
      </c>
      <c r="G306" s="124">
        <v>-10545</v>
      </c>
      <c r="H306" s="121">
        <v>-21933.599999999999</v>
      </c>
      <c r="I306" s="124">
        <v>0</v>
      </c>
      <c r="J306" s="121">
        <v>0</v>
      </c>
      <c r="K306" s="121">
        <v>13</v>
      </c>
      <c r="L306" s="121">
        <v>27.04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144</v>
      </c>
      <c r="B307" t="s">
        <v>148</v>
      </c>
      <c r="C307">
        <v>24</v>
      </c>
      <c r="D307" t="s">
        <v>58</v>
      </c>
      <c r="E307" s="14">
        <v>-11109229</v>
      </c>
      <c r="F307" s="14">
        <v>-232774.96</v>
      </c>
      <c r="G307" s="124">
        <v>0</v>
      </c>
      <c r="H307" s="121">
        <v>-18014.919999999998</v>
      </c>
      <c r="I307" s="124">
        <v>0</v>
      </c>
      <c r="J307" s="121">
        <v>7201.25</v>
      </c>
      <c r="K307" s="121">
        <v>0</v>
      </c>
      <c r="L307" s="121">
        <v>4.83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144</v>
      </c>
      <c r="B308" t="s">
        <v>148</v>
      </c>
      <c r="C308">
        <v>25</v>
      </c>
      <c r="D308" t="s">
        <v>59</v>
      </c>
      <c r="E308" s="14">
        <v>0</v>
      </c>
      <c r="F308" s="14">
        <v>-2630767.09</v>
      </c>
      <c r="G308" s="124">
        <v>0</v>
      </c>
      <c r="H308" s="121">
        <v>18802.64</v>
      </c>
      <c r="I308" s="124">
        <v>0</v>
      </c>
      <c r="J308" s="121">
        <v>-0.01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144</v>
      </c>
      <c r="B309" t="s">
        <v>148</v>
      </c>
      <c r="C309">
        <v>26</v>
      </c>
      <c r="D309" t="s">
        <v>136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144</v>
      </c>
      <c r="B310" t="s">
        <v>148</v>
      </c>
      <c r="C310">
        <v>27</v>
      </c>
      <c r="D310" t="s">
        <v>137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144</v>
      </c>
      <c r="B311" t="s">
        <v>148</v>
      </c>
      <c r="C311">
        <v>28</v>
      </c>
      <c r="D311" t="s">
        <v>138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144</v>
      </c>
      <c r="B312" t="s">
        <v>148</v>
      </c>
      <c r="C312">
        <v>29</v>
      </c>
      <c r="D312" t="s">
        <v>139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/>
      <c r="AB312" s="121"/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144</v>
      </c>
      <c r="B313" t="s">
        <v>148</v>
      </c>
      <c r="C313">
        <v>30</v>
      </c>
      <c r="D313" t="s">
        <v>140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144</v>
      </c>
      <c r="B314" t="s">
        <v>148</v>
      </c>
      <c r="C314">
        <v>31</v>
      </c>
      <c r="D314" t="s">
        <v>141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144</v>
      </c>
      <c r="B315" t="s">
        <v>148</v>
      </c>
      <c r="C315">
        <v>32</v>
      </c>
      <c r="D315" t="s">
        <v>73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144</v>
      </c>
      <c r="B316" t="s">
        <v>148</v>
      </c>
      <c r="C316">
        <v>33</v>
      </c>
      <c r="D316" t="s">
        <v>74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144</v>
      </c>
      <c r="B317" t="s">
        <v>148</v>
      </c>
      <c r="C317">
        <v>34</v>
      </c>
      <c r="D317" t="s">
        <v>75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144</v>
      </c>
      <c r="B318" t="s">
        <v>148</v>
      </c>
      <c r="C318">
        <v>35</v>
      </c>
      <c r="D318" t="s">
        <v>76</v>
      </c>
      <c r="E318" s="14">
        <v>0</v>
      </c>
      <c r="F318" s="14">
        <v>0</v>
      </c>
      <c r="G318" s="124">
        <v>0</v>
      </c>
      <c r="H318" s="121">
        <v>-23472.43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144</v>
      </c>
      <c r="B319" t="s">
        <v>148</v>
      </c>
      <c r="C319">
        <v>36</v>
      </c>
      <c r="D319" t="s">
        <v>77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144</v>
      </c>
      <c r="B320" t="s">
        <v>148</v>
      </c>
      <c r="C320">
        <v>37</v>
      </c>
      <c r="D320" t="s">
        <v>78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144</v>
      </c>
      <c r="B321" t="s">
        <v>148</v>
      </c>
      <c r="C321">
        <v>38</v>
      </c>
      <c r="D321" t="s">
        <v>79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144</v>
      </c>
      <c r="B322" t="s">
        <v>148</v>
      </c>
      <c r="C322">
        <v>39</v>
      </c>
      <c r="D322" t="s">
        <v>80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144</v>
      </c>
      <c r="B323" t="s">
        <v>148</v>
      </c>
      <c r="C323">
        <v>40</v>
      </c>
      <c r="D323" t="s">
        <v>81</v>
      </c>
      <c r="E323" s="14">
        <v>0</v>
      </c>
      <c r="F323" s="14">
        <v>59668.86</v>
      </c>
      <c r="G323" s="124">
        <v>0</v>
      </c>
      <c r="H323" s="121">
        <v>-4319</v>
      </c>
      <c r="I323" s="124">
        <v>0</v>
      </c>
      <c r="J323" s="121">
        <v>0</v>
      </c>
      <c r="K323" s="121">
        <v>0</v>
      </c>
      <c r="L323" s="121">
        <v>6344.53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149</v>
      </c>
      <c r="B324" t="s">
        <v>150</v>
      </c>
      <c r="C324">
        <v>1</v>
      </c>
      <c r="D324" t="s">
        <v>28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149</v>
      </c>
      <c r="B325" t="s">
        <v>150</v>
      </c>
      <c r="C325">
        <v>2</v>
      </c>
      <c r="D325" t="s">
        <v>29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149</v>
      </c>
      <c r="B326" t="s">
        <v>150</v>
      </c>
      <c r="C326">
        <v>3</v>
      </c>
      <c r="D326" t="s">
        <v>30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149</v>
      </c>
      <c r="B327" t="s">
        <v>150</v>
      </c>
      <c r="C327">
        <v>4</v>
      </c>
      <c r="D327" t="s">
        <v>31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149</v>
      </c>
      <c r="B328" t="s">
        <v>150</v>
      </c>
      <c r="C328">
        <v>5</v>
      </c>
      <c r="D328" t="s">
        <v>129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149</v>
      </c>
      <c r="B329" t="s">
        <v>150</v>
      </c>
      <c r="C329">
        <v>6</v>
      </c>
      <c r="D329" t="s">
        <v>28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149</v>
      </c>
      <c r="B330" t="s">
        <v>150</v>
      </c>
      <c r="C330">
        <v>7</v>
      </c>
      <c r="D330" t="s">
        <v>29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149</v>
      </c>
      <c r="B331" t="s">
        <v>150</v>
      </c>
      <c r="C331">
        <v>8</v>
      </c>
      <c r="D331" t="s">
        <v>30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149</v>
      </c>
      <c r="B332" t="s">
        <v>150</v>
      </c>
      <c r="C332">
        <v>9</v>
      </c>
      <c r="D332" t="s">
        <v>31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149</v>
      </c>
      <c r="B333" t="s">
        <v>150</v>
      </c>
      <c r="C333">
        <v>10</v>
      </c>
      <c r="D333" t="s">
        <v>35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149</v>
      </c>
      <c r="B334" t="s">
        <v>150</v>
      </c>
      <c r="C334">
        <v>11</v>
      </c>
      <c r="D334" t="s">
        <v>38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149</v>
      </c>
      <c r="B335" t="s">
        <v>150</v>
      </c>
      <c r="C335">
        <v>12</v>
      </c>
      <c r="D335" t="s">
        <v>39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149</v>
      </c>
      <c r="B336" t="s">
        <v>150</v>
      </c>
      <c r="C336">
        <v>13</v>
      </c>
      <c r="D336" t="s">
        <v>42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149</v>
      </c>
      <c r="B337" t="s">
        <v>150</v>
      </c>
      <c r="C337">
        <v>14</v>
      </c>
      <c r="D337" t="s">
        <v>43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149</v>
      </c>
      <c r="B338" t="s">
        <v>150</v>
      </c>
      <c r="C338">
        <v>15</v>
      </c>
      <c r="D338" t="s">
        <v>44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149</v>
      </c>
      <c r="B339" t="s">
        <v>150</v>
      </c>
      <c r="C339">
        <v>16</v>
      </c>
      <c r="D339" t="s">
        <v>45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149</v>
      </c>
      <c r="B340" t="s">
        <v>150</v>
      </c>
      <c r="C340">
        <v>17</v>
      </c>
      <c r="D340" t="s">
        <v>130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149</v>
      </c>
      <c r="B341" s="123" t="s">
        <v>150</v>
      </c>
      <c r="C341" s="123">
        <v>18</v>
      </c>
      <c r="D341" s="123" t="s">
        <v>131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149</v>
      </c>
      <c r="B342" t="s">
        <v>150</v>
      </c>
      <c r="C342">
        <v>19</v>
      </c>
      <c r="D342" t="s">
        <v>50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149</v>
      </c>
      <c r="B343" t="s">
        <v>150</v>
      </c>
      <c r="C343">
        <v>20</v>
      </c>
      <c r="D343" t="s">
        <v>132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149</v>
      </c>
      <c r="B344" t="s">
        <v>150</v>
      </c>
      <c r="C344">
        <v>21</v>
      </c>
      <c r="D344" t="s">
        <v>133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149</v>
      </c>
      <c r="B345" t="s">
        <v>150</v>
      </c>
      <c r="C345">
        <v>22</v>
      </c>
      <c r="D345" t="s">
        <v>134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149</v>
      </c>
      <c r="B346" t="s">
        <v>150</v>
      </c>
      <c r="C346">
        <v>23</v>
      </c>
      <c r="D346" t="s">
        <v>135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149</v>
      </c>
      <c r="B347" t="s">
        <v>150</v>
      </c>
      <c r="C347">
        <v>24</v>
      </c>
      <c r="D347" t="s">
        <v>58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149</v>
      </c>
      <c r="B348" t="s">
        <v>150</v>
      </c>
      <c r="C348">
        <v>25</v>
      </c>
      <c r="D348" t="s">
        <v>59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149</v>
      </c>
      <c r="B349" t="s">
        <v>150</v>
      </c>
      <c r="C349">
        <v>26</v>
      </c>
      <c r="D349" t="s">
        <v>136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149</v>
      </c>
      <c r="B350" t="s">
        <v>150</v>
      </c>
      <c r="C350">
        <v>27</v>
      </c>
      <c r="D350" t="s">
        <v>137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149</v>
      </c>
      <c r="B351" t="s">
        <v>150</v>
      </c>
      <c r="C351">
        <v>28</v>
      </c>
      <c r="D351" t="s">
        <v>138</v>
      </c>
      <c r="E351" s="125">
        <v>0</v>
      </c>
      <c r="F351" s="125">
        <v>0</v>
      </c>
      <c r="G351" s="171">
        <v>0</v>
      </c>
      <c r="H351" s="126">
        <v>0</v>
      </c>
      <c r="I351" s="171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149</v>
      </c>
      <c r="B352" t="s">
        <v>150</v>
      </c>
      <c r="C352">
        <v>29</v>
      </c>
      <c r="D352" t="s">
        <v>139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149</v>
      </c>
      <c r="B353" t="s">
        <v>150</v>
      </c>
      <c r="C353">
        <v>30</v>
      </c>
      <c r="D353" t="s">
        <v>140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149</v>
      </c>
      <c r="B354" t="s">
        <v>150</v>
      </c>
      <c r="C354">
        <v>31</v>
      </c>
      <c r="D354" t="s">
        <v>141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149</v>
      </c>
      <c r="B355" t="s">
        <v>150</v>
      </c>
      <c r="C355">
        <v>32</v>
      </c>
      <c r="D355" t="s">
        <v>73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149</v>
      </c>
      <c r="B356" t="s">
        <v>150</v>
      </c>
      <c r="C356">
        <v>33</v>
      </c>
      <c r="D356" t="s">
        <v>74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149</v>
      </c>
      <c r="B357" t="s">
        <v>150</v>
      </c>
      <c r="C357">
        <v>34</v>
      </c>
      <c r="D357" t="s">
        <v>75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149</v>
      </c>
      <c r="B358" t="s">
        <v>150</v>
      </c>
      <c r="C358">
        <v>35</v>
      </c>
      <c r="D358" t="s">
        <v>76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149</v>
      </c>
      <c r="B359" t="s">
        <v>150</v>
      </c>
      <c r="C359">
        <v>36</v>
      </c>
      <c r="D359" t="s">
        <v>77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149</v>
      </c>
      <c r="B360" t="s">
        <v>150</v>
      </c>
      <c r="C360">
        <v>37</v>
      </c>
      <c r="D360" t="s">
        <v>78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149</v>
      </c>
      <c r="B361" t="s">
        <v>150</v>
      </c>
      <c r="C361">
        <v>38</v>
      </c>
      <c r="D361" t="s">
        <v>79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149</v>
      </c>
      <c r="B362" t="s">
        <v>150</v>
      </c>
      <c r="C362">
        <v>39</v>
      </c>
      <c r="D362" t="s">
        <v>80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149</v>
      </c>
      <c r="B363" t="s">
        <v>150</v>
      </c>
      <c r="C363">
        <v>40</v>
      </c>
      <c r="D363" t="s">
        <v>81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151</v>
      </c>
      <c r="B364" t="s">
        <v>152</v>
      </c>
      <c r="C364">
        <v>1</v>
      </c>
      <c r="D364" t="s">
        <v>28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151</v>
      </c>
      <c r="B365" t="s">
        <v>152</v>
      </c>
      <c r="C365">
        <v>2</v>
      </c>
      <c r="D365" t="s">
        <v>29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151</v>
      </c>
      <c r="B366" t="s">
        <v>152</v>
      </c>
      <c r="C366">
        <v>3</v>
      </c>
      <c r="D366" t="s">
        <v>30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151</v>
      </c>
      <c r="B367" t="s">
        <v>152</v>
      </c>
      <c r="C367">
        <v>4</v>
      </c>
      <c r="D367" t="s">
        <v>31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151</v>
      </c>
      <c r="B368" t="s">
        <v>152</v>
      </c>
      <c r="C368">
        <v>5</v>
      </c>
      <c r="D368" t="s">
        <v>129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151</v>
      </c>
      <c r="B369" t="s">
        <v>152</v>
      </c>
      <c r="C369">
        <v>6</v>
      </c>
      <c r="D369" t="s">
        <v>28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151</v>
      </c>
      <c r="B370" t="s">
        <v>152</v>
      </c>
      <c r="C370">
        <v>7</v>
      </c>
      <c r="D370" t="s">
        <v>29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151</v>
      </c>
      <c r="B371" t="s">
        <v>152</v>
      </c>
      <c r="C371">
        <v>8</v>
      </c>
      <c r="D371" t="s">
        <v>30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151</v>
      </c>
      <c r="B372" t="s">
        <v>152</v>
      </c>
      <c r="C372">
        <v>9</v>
      </c>
      <c r="D372" t="s">
        <v>31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151</v>
      </c>
      <c r="B373" t="s">
        <v>152</v>
      </c>
      <c r="C373">
        <v>10</v>
      </c>
      <c r="D373" t="s">
        <v>35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151</v>
      </c>
      <c r="B374" t="s">
        <v>152</v>
      </c>
      <c r="C374">
        <v>11</v>
      </c>
      <c r="D374" t="s">
        <v>38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151</v>
      </c>
      <c r="B375" t="s">
        <v>152</v>
      </c>
      <c r="C375">
        <v>12</v>
      </c>
      <c r="D375" t="s">
        <v>39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151</v>
      </c>
      <c r="B376" t="s">
        <v>152</v>
      </c>
      <c r="C376">
        <v>13</v>
      </c>
      <c r="D376" t="s">
        <v>42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151</v>
      </c>
      <c r="B377" t="s">
        <v>152</v>
      </c>
      <c r="C377">
        <v>14</v>
      </c>
      <c r="D377" t="s">
        <v>43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151</v>
      </c>
      <c r="B378" t="s">
        <v>152</v>
      </c>
      <c r="C378">
        <v>15</v>
      </c>
      <c r="D378" t="s">
        <v>44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151</v>
      </c>
      <c r="B379" t="s">
        <v>152</v>
      </c>
      <c r="C379">
        <v>16</v>
      </c>
      <c r="D379" t="s">
        <v>45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151</v>
      </c>
      <c r="B380" t="s">
        <v>152</v>
      </c>
      <c r="C380">
        <v>17</v>
      </c>
      <c r="D380" t="s">
        <v>130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151</v>
      </c>
      <c r="B381" t="s">
        <v>152</v>
      </c>
      <c r="C381">
        <v>18</v>
      </c>
      <c r="D381" t="s">
        <v>131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151</v>
      </c>
      <c r="B382" t="s">
        <v>152</v>
      </c>
      <c r="C382">
        <v>19</v>
      </c>
      <c r="D382" t="s">
        <v>50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151</v>
      </c>
      <c r="B383" t="s">
        <v>152</v>
      </c>
      <c r="C383">
        <v>20</v>
      </c>
      <c r="D383" t="s">
        <v>132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151</v>
      </c>
      <c r="B384" t="s">
        <v>152</v>
      </c>
      <c r="C384">
        <v>21</v>
      </c>
      <c r="D384" t="s">
        <v>133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151</v>
      </c>
      <c r="B385" t="s">
        <v>152</v>
      </c>
      <c r="C385">
        <v>22</v>
      </c>
      <c r="D385" t="s">
        <v>134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151</v>
      </c>
      <c r="B386" t="s">
        <v>152</v>
      </c>
      <c r="C386">
        <v>23</v>
      </c>
      <c r="D386" t="s">
        <v>135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151</v>
      </c>
      <c r="B387" t="s">
        <v>152</v>
      </c>
      <c r="C387">
        <v>24</v>
      </c>
      <c r="D387" t="s">
        <v>58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151</v>
      </c>
      <c r="B388" t="s">
        <v>152</v>
      </c>
      <c r="C388">
        <v>25</v>
      </c>
      <c r="D388" t="s">
        <v>59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151</v>
      </c>
      <c r="B389" t="s">
        <v>152</v>
      </c>
      <c r="C389">
        <v>26</v>
      </c>
      <c r="D389" t="s">
        <v>136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151</v>
      </c>
      <c r="B390" t="s">
        <v>152</v>
      </c>
      <c r="C390">
        <v>27</v>
      </c>
      <c r="D390" t="s">
        <v>137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151</v>
      </c>
      <c r="B391" t="s">
        <v>152</v>
      </c>
      <c r="C391">
        <v>28</v>
      </c>
      <c r="D391" t="s">
        <v>138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151</v>
      </c>
      <c r="B392" t="s">
        <v>152</v>
      </c>
      <c r="C392">
        <v>29</v>
      </c>
      <c r="D392" t="s">
        <v>139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151</v>
      </c>
      <c r="B393" t="s">
        <v>152</v>
      </c>
      <c r="C393">
        <v>30</v>
      </c>
      <c r="D393" t="s">
        <v>140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151</v>
      </c>
      <c r="B394" t="s">
        <v>152</v>
      </c>
      <c r="C394">
        <v>31</v>
      </c>
      <c r="D394" t="s">
        <v>141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151</v>
      </c>
      <c r="B395" t="s">
        <v>152</v>
      </c>
      <c r="C395">
        <v>32</v>
      </c>
      <c r="D395" t="s">
        <v>73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151</v>
      </c>
      <c r="B396" t="s">
        <v>152</v>
      </c>
      <c r="C396">
        <v>33</v>
      </c>
      <c r="D396" t="s">
        <v>74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151</v>
      </c>
      <c r="B397" t="s">
        <v>152</v>
      </c>
      <c r="C397">
        <v>34</v>
      </c>
      <c r="D397" t="s">
        <v>75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151</v>
      </c>
      <c r="B398" t="s">
        <v>152</v>
      </c>
      <c r="C398">
        <v>35</v>
      </c>
      <c r="D398" t="s">
        <v>76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151</v>
      </c>
      <c r="B399" t="s">
        <v>152</v>
      </c>
      <c r="C399">
        <v>36</v>
      </c>
      <c r="D399" t="s">
        <v>77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151</v>
      </c>
      <c r="B400" t="s">
        <v>152</v>
      </c>
      <c r="C400">
        <v>37</v>
      </c>
      <c r="D400" t="s">
        <v>78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151</v>
      </c>
      <c r="B401" t="s">
        <v>152</v>
      </c>
      <c r="C401">
        <v>38</v>
      </c>
      <c r="D401" t="s">
        <v>79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151</v>
      </c>
      <c r="B402" t="s">
        <v>152</v>
      </c>
      <c r="C402">
        <v>39</v>
      </c>
      <c r="D402" t="s">
        <v>80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151</v>
      </c>
      <c r="B403" t="s">
        <v>152</v>
      </c>
      <c r="C403">
        <v>40</v>
      </c>
      <c r="D403" t="s">
        <v>81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118" x14ac:dyDescent="0.2"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118" x14ac:dyDescent="0.2"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118" x14ac:dyDescent="0.2"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118" x14ac:dyDescent="0.2"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118" x14ac:dyDescent="0.2"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118" x14ac:dyDescent="0.2"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118" x14ac:dyDescent="0.2"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118" x14ac:dyDescent="0.2"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118" x14ac:dyDescent="0.2"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118" x14ac:dyDescent="0.2"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118" x14ac:dyDescent="0.2">
      <c r="I415" s="172"/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118" x14ac:dyDescent="0.2"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9:26" x14ac:dyDescent="0.2"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9:26" x14ac:dyDescent="0.2"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9:26" x14ac:dyDescent="0.2"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9:26" x14ac:dyDescent="0.2"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9:26" x14ac:dyDescent="0.2"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9:26" x14ac:dyDescent="0.2"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9:26" x14ac:dyDescent="0.2"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9:26" x14ac:dyDescent="0.2"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9:26" x14ac:dyDescent="0.2"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9:26" x14ac:dyDescent="0.2"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9:26" x14ac:dyDescent="0.2"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9:26" x14ac:dyDescent="0.2"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9:26" x14ac:dyDescent="0.2"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9:26" x14ac:dyDescent="0.2"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9:26" x14ac:dyDescent="0.2"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9:26" x14ac:dyDescent="0.2"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9:26" x14ac:dyDescent="0.2"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9:26" x14ac:dyDescent="0.2"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9:26" x14ac:dyDescent="0.2"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9:26" x14ac:dyDescent="0.2"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9:26" x14ac:dyDescent="0.2"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9:26" x14ac:dyDescent="0.2"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9:26" x14ac:dyDescent="0.2"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9:26" x14ac:dyDescent="0.2"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9:26" x14ac:dyDescent="0.2"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9:26" x14ac:dyDescent="0.2"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9:26" x14ac:dyDescent="0.2"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9:26" x14ac:dyDescent="0.2">
      <c r="S444">
        <v>0</v>
      </c>
      <c r="T444">
        <v>-2827.78</v>
      </c>
      <c r="U444">
        <v>-2500</v>
      </c>
      <c r="V444">
        <v>-5530.95</v>
      </c>
      <c r="W444">
        <v>-1261</v>
      </c>
      <c r="X444">
        <v>-2867.75</v>
      </c>
      <c r="Y444">
        <v>27810</v>
      </c>
      <c r="Z444">
        <v>60237.3</v>
      </c>
    </row>
    <row r="445" spans="19:26" x14ac:dyDescent="0.2"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9:26" x14ac:dyDescent="0.2">
      <c r="S446">
        <v>2915054</v>
      </c>
      <c r="T446">
        <v>6472492</v>
      </c>
      <c r="U446">
        <v>0</v>
      </c>
      <c r="V446">
        <v>0</v>
      </c>
      <c r="W446">
        <v>-2915054</v>
      </c>
      <c r="X446">
        <v>-6472492</v>
      </c>
      <c r="Y446">
        <v>0</v>
      </c>
      <c r="Z446">
        <v>0</v>
      </c>
    </row>
    <row r="447" spans="19:26" x14ac:dyDescent="0.2"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9:26" x14ac:dyDescent="0.2"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9:26" x14ac:dyDescent="0.2">
      <c r="S449">
        <v>0</v>
      </c>
      <c r="T449">
        <v>581.16999999999996</v>
      </c>
      <c r="U449">
        <v>8346</v>
      </c>
      <c r="V449">
        <v>17860.439999999999</v>
      </c>
      <c r="W449">
        <v>1261</v>
      </c>
      <c r="X449">
        <v>1590.19</v>
      </c>
      <c r="Y449">
        <v>-39663</v>
      </c>
      <c r="Z449">
        <v>-85846.92</v>
      </c>
    </row>
    <row r="450" spans="19:26" x14ac:dyDescent="0.2"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9:26" x14ac:dyDescent="0.2">
      <c r="S451">
        <v>-2643849</v>
      </c>
      <c r="T451">
        <v>-5863317</v>
      </c>
      <c r="U451">
        <v>0</v>
      </c>
      <c r="V451">
        <v>0</v>
      </c>
      <c r="W451">
        <v>2643849</v>
      </c>
      <c r="X451">
        <v>5863317</v>
      </c>
      <c r="Y451">
        <v>0</v>
      </c>
      <c r="Z451">
        <v>0</v>
      </c>
    </row>
    <row r="452" spans="19:26" x14ac:dyDescent="0.2"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9:26" x14ac:dyDescent="0.2"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9:26" x14ac:dyDescent="0.2"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9:26" x14ac:dyDescent="0.2"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9:26" x14ac:dyDescent="0.2">
      <c r="S456">
        <v>0</v>
      </c>
      <c r="T456">
        <v>0</v>
      </c>
      <c r="U456">
        <v>-791964</v>
      </c>
      <c r="V456">
        <v>-1727252.7849999999</v>
      </c>
      <c r="W456">
        <v>0</v>
      </c>
      <c r="X456">
        <v>0</v>
      </c>
      <c r="Y456">
        <v>-18485</v>
      </c>
      <c r="Z456">
        <v>-40315.785000000003</v>
      </c>
    </row>
    <row r="457" spans="19:26" x14ac:dyDescent="0.2"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9:26" x14ac:dyDescent="0.2"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9:26" x14ac:dyDescent="0.2"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9:26" x14ac:dyDescent="0.2"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1500</v>
      </c>
      <c r="Z460">
        <v>51129.15</v>
      </c>
    </row>
    <row r="461" spans="19:26" x14ac:dyDescent="0.2"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9:26" x14ac:dyDescent="0.2"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9:26" x14ac:dyDescent="0.2"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9:26" x14ac:dyDescent="0.2"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9:26" x14ac:dyDescent="0.2">
      <c r="S465">
        <v>-271205</v>
      </c>
      <c r="T465">
        <v>-591498.10499999998</v>
      </c>
      <c r="U465">
        <v>786118</v>
      </c>
      <c r="V465">
        <v>1714523.358</v>
      </c>
      <c r="W465">
        <v>271205</v>
      </c>
      <c r="X465">
        <v>591498.10499999998</v>
      </c>
      <c r="Y465">
        <v>28838</v>
      </c>
      <c r="Z465">
        <v>62895.678</v>
      </c>
    </row>
    <row r="466" spans="19:26" x14ac:dyDescent="0.2"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9:26" x14ac:dyDescent="0.2">
      <c r="S467">
        <v>-5143</v>
      </c>
      <c r="T467">
        <v>-1027.9100000000001</v>
      </c>
      <c r="U467">
        <v>0</v>
      </c>
      <c r="V467">
        <v>-0.01</v>
      </c>
      <c r="W467">
        <v>-18893</v>
      </c>
      <c r="X467">
        <v>638.95000000000005</v>
      </c>
      <c r="Y467">
        <v>-7353</v>
      </c>
      <c r="Z467">
        <v>211.47</v>
      </c>
    </row>
    <row r="468" spans="19:26" x14ac:dyDescent="0.2">
      <c r="S468">
        <v>0</v>
      </c>
      <c r="T468">
        <v>93300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9:26" x14ac:dyDescent="0.2"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9:26" x14ac:dyDescent="0.2"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9:26" x14ac:dyDescent="0.2"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1.06</v>
      </c>
    </row>
    <row r="472" spans="19:26" x14ac:dyDescent="0.2"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9:26" x14ac:dyDescent="0.2"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9:26" x14ac:dyDescent="0.2"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9:26" x14ac:dyDescent="0.2"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9:26" x14ac:dyDescent="0.2"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9:26" x14ac:dyDescent="0.2"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9:26" x14ac:dyDescent="0.2"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9:26" x14ac:dyDescent="0.2"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9:26" x14ac:dyDescent="0.2"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9:26" x14ac:dyDescent="0.2"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9:26" x14ac:dyDescent="0.2"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9:26" x14ac:dyDescent="0.2"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9:26" x14ac:dyDescent="0.2"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9:26" x14ac:dyDescent="0.2"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9:26" x14ac:dyDescent="0.2">
      <c r="S486">
        <v>1151195</v>
      </c>
      <c r="T486">
        <v>2510626</v>
      </c>
      <c r="U486">
        <v>0</v>
      </c>
      <c r="V486">
        <v>0</v>
      </c>
      <c r="W486">
        <v>-1151195</v>
      </c>
      <c r="X486">
        <v>-2510626</v>
      </c>
      <c r="Y486">
        <v>0</v>
      </c>
      <c r="Z486">
        <v>0</v>
      </c>
    </row>
    <row r="487" spans="19:26" x14ac:dyDescent="0.2"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9:26" x14ac:dyDescent="0.2"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9:26" x14ac:dyDescent="0.2">
      <c r="S489">
        <v>-3064</v>
      </c>
      <c r="T489">
        <v>-6219.92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9:26" x14ac:dyDescent="0.2"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9:26" x14ac:dyDescent="0.2">
      <c r="S491">
        <v>-1667833</v>
      </c>
      <c r="T491">
        <v>-3622693</v>
      </c>
      <c r="U491">
        <v>0</v>
      </c>
      <c r="V491">
        <v>0</v>
      </c>
      <c r="W491">
        <v>1667833</v>
      </c>
      <c r="X491">
        <v>3622693</v>
      </c>
      <c r="Y491">
        <v>0</v>
      </c>
      <c r="Z491">
        <v>0</v>
      </c>
    </row>
    <row r="492" spans="19:26" x14ac:dyDescent="0.2"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9:26" x14ac:dyDescent="0.2"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9:26" x14ac:dyDescent="0.2"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9:26" x14ac:dyDescent="0.2"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9:26" x14ac:dyDescent="0.2"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9:26" x14ac:dyDescent="0.2"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9:26" x14ac:dyDescent="0.2"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9:26" x14ac:dyDescent="0.2"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9:26" x14ac:dyDescent="0.2"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9:26" x14ac:dyDescent="0.2"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9:26" x14ac:dyDescent="0.2"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9:26" x14ac:dyDescent="0.2"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9:26" x14ac:dyDescent="0.2"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9:26" x14ac:dyDescent="0.2">
      <c r="S505">
        <v>519702</v>
      </c>
      <c r="T505">
        <v>1080980.1599999999</v>
      </c>
      <c r="U505">
        <v>0</v>
      </c>
      <c r="V505">
        <v>0</v>
      </c>
      <c r="W505">
        <v>-516638</v>
      </c>
      <c r="X505">
        <v>-1074607.04</v>
      </c>
      <c r="Y505">
        <v>0</v>
      </c>
      <c r="Z505">
        <v>0</v>
      </c>
    </row>
    <row r="506" spans="19:26" x14ac:dyDescent="0.2"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9:26" x14ac:dyDescent="0.2">
      <c r="S507">
        <v>0</v>
      </c>
      <c r="T507">
        <v>0</v>
      </c>
      <c r="U507">
        <v>0</v>
      </c>
      <c r="V507">
        <v>2006.17</v>
      </c>
      <c r="W507">
        <v>0</v>
      </c>
      <c r="X507">
        <v>0</v>
      </c>
      <c r="Y507">
        <v>0</v>
      </c>
      <c r="Z507">
        <v>0</v>
      </c>
    </row>
    <row r="508" spans="19:26" x14ac:dyDescent="0.2">
      <c r="S508">
        <v>0</v>
      </c>
      <c r="T508">
        <v>0</v>
      </c>
      <c r="U508">
        <v>0</v>
      </c>
      <c r="V508">
        <v>-9719.1</v>
      </c>
      <c r="W508">
        <v>0</v>
      </c>
      <c r="X508">
        <v>0</v>
      </c>
      <c r="Y508">
        <v>0</v>
      </c>
      <c r="Z508">
        <v>0</v>
      </c>
    </row>
    <row r="509" spans="19:26" x14ac:dyDescent="0.2"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9:26" x14ac:dyDescent="0.2"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9:26" x14ac:dyDescent="0.2"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9:26" x14ac:dyDescent="0.2"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9:26" x14ac:dyDescent="0.2"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9:26" x14ac:dyDescent="0.2"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9:26" x14ac:dyDescent="0.2"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9:26" x14ac:dyDescent="0.2"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9:26" x14ac:dyDescent="0.2"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9:26" x14ac:dyDescent="0.2"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9:26" x14ac:dyDescent="0.2"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9:26" x14ac:dyDescent="0.2"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9:26" x14ac:dyDescent="0.2"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9:26" x14ac:dyDescent="0.2"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9:26" x14ac:dyDescent="0.2"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9:26" x14ac:dyDescent="0.2"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9:26" x14ac:dyDescent="0.2"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9:26" x14ac:dyDescent="0.2"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9:26" x14ac:dyDescent="0.2"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9:26" x14ac:dyDescent="0.2"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9:26" x14ac:dyDescent="0.2"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9:26" x14ac:dyDescent="0.2"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9:26" x14ac:dyDescent="0.2"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9:26" x14ac:dyDescent="0.2"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9:26" x14ac:dyDescent="0.2"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9:26" x14ac:dyDescent="0.2"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9:26" x14ac:dyDescent="0.2"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9:26" x14ac:dyDescent="0.2"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9:26" x14ac:dyDescent="0.2"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9:26" x14ac:dyDescent="0.2"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9:26" x14ac:dyDescent="0.2"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9:26" x14ac:dyDescent="0.2"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9:26" x14ac:dyDescent="0.2"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9:26" x14ac:dyDescent="0.2"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9:26" x14ac:dyDescent="0.2"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9:26" x14ac:dyDescent="0.2"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9:26" x14ac:dyDescent="0.2"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9:26" x14ac:dyDescent="0.2"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9:26" x14ac:dyDescent="0.2"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9:26" x14ac:dyDescent="0.2"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9:26" x14ac:dyDescent="0.2"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9:26" x14ac:dyDescent="0.2"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9:26" x14ac:dyDescent="0.2"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9:26" x14ac:dyDescent="0.2"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9:26" x14ac:dyDescent="0.2"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9:26" x14ac:dyDescent="0.2"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9:26" x14ac:dyDescent="0.2"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9:26" x14ac:dyDescent="0.2"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9:26" x14ac:dyDescent="0.2"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9:26" x14ac:dyDescent="0.2"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9:26" x14ac:dyDescent="0.2"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9:26" x14ac:dyDescent="0.2"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9:26" x14ac:dyDescent="0.2"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9:26" x14ac:dyDescent="0.2"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9:26" x14ac:dyDescent="0.2"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9:26" x14ac:dyDescent="0.2"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9:26" x14ac:dyDescent="0.2"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9:26" x14ac:dyDescent="0.2"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9:26" x14ac:dyDescent="0.2"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9:26" x14ac:dyDescent="0.2"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9:26" x14ac:dyDescent="0.2"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9:26" x14ac:dyDescent="0.2"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9:26" x14ac:dyDescent="0.2"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9:26" x14ac:dyDescent="0.2"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9:26" x14ac:dyDescent="0.2"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9:26" x14ac:dyDescent="0.2"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9:26" x14ac:dyDescent="0.2"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9:26" x14ac:dyDescent="0.2"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9:26" x14ac:dyDescent="0.2"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9:26" x14ac:dyDescent="0.2"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9:26" x14ac:dyDescent="0.2"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9:26" x14ac:dyDescent="0.2"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9:26" x14ac:dyDescent="0.2"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9:26" x14ac:dyDescent="0.2"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9:26" x14ac:dyDescent="0.2"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9:26" x14ac:dyDescent="0.2"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9:26" x14ac:dyDescent="0.2"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9:26" x14ac:dyDescent="0.2"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9:26" x14ac:dyDescent="0.2"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9:26" x14ac:dyDescent="0.2"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9:26" x14ac:dyDescent="0.2"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9:26" x14ac:dyDescent="0.2"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9:26" x14ac:dyDescent="0.2"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9:26" x14ac:dyDescent="0.2"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9:26" x14ac:dyDescent="0.2"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9:26" x14ac:dyDescent="0.2"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9:26" x14ac:dyDescent="0.2"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9:26" x14ac:dyDescent="0.2"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9:26" x14ac:dyDescent="0.2"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9:26" x14ac:dyDescent="0.2"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9:26" x14ac:dyDescent="0.2"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9:26" x14ac:dyDescent="0.2"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9:26" x14ac:dyDescent="0.2"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9:26" x14ac:dyDescent="0.2"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9:26" x14ac:dyDescent="0.2"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38" spans="4:31" x14ac:dyDescent="0.2">
      <c r="F638" s="211">
        <v>36312</v>
      </c>
      <c r="G638" s="212"/>
      <c r="H638" s="213">
        <f>+F638+31</f>
        <v>36343</v>
      </c>
      <c r="I638" s="214"/>
      <c r="J638" s="215">
        <f>+H638+31</f>
        <v>36374</v>
      </c>
      <c r="K638" s="216"/>
      <c r="L638" s="215">
        <f>+J638+31</f>
        <v>36405</v>
      </c>
      <c r="M638" s="216"/>
      <c r="N638" s="215">
        <f>+L638+31</f>
        <v>36436</v>
      </c>
      <c r="O638" s="216"/>
      <c r="P638" s="215">
        <f>+N638+31</f>
        <v>36467</v>
      </c>
      <c r="Q638" s="216"/>
      <c r="R638" s="215">
        <f>+P638+31</f>
        <v>36498</v>
      </c>
      <c r="S638" s="216"/>
      <c r="T638" s="215">
        <f>+R638+31</f>
        <v>36529</v>
      </c>
      <c r="U638" s="216"/>
      <c r="V638" s="215">
        <f>+T638+31</f>
        <v>36560</v>
      </c>
      <c r="W638" s="216"/>
      <c r="X638" s="215">
        <f>+V638+31</f>
        <v>36591</v>
      </c>
      <c r="Y638" s="216"/>
      <c r="Z638" s="215">
        <f>+X638+31</f>
        <v>36622</v>
      </c>
      <c r="AA638" s="216"/>
      <c r="AB638" s="215">
        <f>+Z638+31</f>
        <v>36653</v>
      </c>
      <c r="AC638" s="216"/>
      <c r="AD638" s="217"/>
      <c r="AE638" s="217"/>
    </row>
    <row r="639" spans="4:31" x14ac:dyDescent="0.2">
      <c r="F639" s="134" t="s">
        <v>25</v>
      </c>
      <c r="G639" s="173" t="s">
        <v>153</v>
      </c>
      <c r="H639" s="134" t="s">
        <v>25</v>
      </c>
      <c r="I639" s="173" t="s">
        <v>153</v>
      </c>
      <c r="J639" s="134" t="s">
        <v>25</v>
      </c>
      <c r="K639" s="134" t="s">
        <v>153</v>
      </c>
      <c r="L639" s="134" t="s">
        <v>25</v>
      </c>
      <c r="M639" s="134" t="s">
        <v>153</v>
      </c>
      <c r="N639" s="134" t="s">
        <v>25</v>
      </c>
      <c r="O639" s="134" t="s">
        <v>153</v>
      </c>
      <c r="P639" s="134" t="s">
        <v>25</v>
      </c>
      <c r="Q639" s="134" t="s">
        <v>153</v>
      </c>
      <c r="R639" s="134" t="s">
        <v>25</v>
      </c>
      <c r="S639" s="134" t="s">
        <v>153</v>
      </c>
      <c r="T639" s="134" t="s">
        <v>25</v>
      </c>
      <c r="U639" s="134" t="s">
        <v>153</v>
      </c>
      <c r="V639" s="134" t="s">
        <v>25</v>
      </c>
      <c r="W639" s="134" t="s">
        <v>153</v>
      </c>
      <c r="X639" s="134" t="s">
        <v>25</v>
      </c>
      <c r="Y639" s="134" t="s">
        <v>153</v>
      </c>
      <c r="Z639" s="134" t="s">
        <v>25</v>
      </c>
      <c r="AA639" s="134" t="s">
        <v>153</v>
      </c>
      <c r="AB639" s="134" t="s">
        <v>25</v>
      </c>
      <c r="AC639" s="134" t="s">
        <v>153</v>
      </c>
      <c r="AD639" s="127"/>
      <c r="AE639" s="127"/>
    </row>
    <row r="640" spans="4:31" x14ac:dyDescent="0.2">
      <c r="D640" s="135" t="s">
        <v>117</v>
      </c>
      <c r="E640" s="136"/>
      <c r="F640" s="137">
        <f>BUG_GL!H82</f>
        <v>0</v>
      </c>
      <c r="G640" s="138">
        <f>BUG_GL!I82</f>
        <v>-5684622</v>
      </c>
      <c r="H640" s="137">
        <f>BUG_GL!J82</f>
        <v>0</v>
      </c>
      <c r="I640" s="164">
        <f>BUG_GL!K82</f>
        <v>-10316409</v>
      </c>
      <c r="J640" s="137">
        <f>BUG_GL!L82</f>
        <v>0</v>
      </c>
      <c r="K640" s="137">
        <f>BUG_GL!M82</f>
        <v>256909</v>
      </c>
      <c r="L640" s="137">
        <f>BUG_GL!N82</f>
        <v>0</v>
      </c>
      <c r="M640" s="137">
        <f>BUG_GL!O82</f>
        <v>26191</v>
      </c>
      <c r="N640" s="137">
        <f>BUG_GL!P82</f>
        <v>0</v>
      </c>
      <c r="O640" s="138">
        <f>BUG_GL!Q82</f>
        <v>16408268</v>
      </c>
      <c r="P640" s="137">
        <f>BUG_GL!R82</f>
        <v>0</v>
      </c>
      <c r="Q640" s="137">
        <f>BUG_GL!S82</f>
        <v>0</v>
      </c>
      <c r="R640" s="137">
        <f>BUG_GL!T82</f>
        <v>0</v>
      </c>
      <c r="S640" s="137">
        <f>BUG_GL!U82</f>
        <v>0</v>
      </c>
      <c r="T640" s="137">
        <f>BUG_GL!V82</f>
        <v>0</v>
      </c>
      <c r="U640" s="138">
        <f>BUG_GL!W82</f>
        <v>0</v>
      </c>
      <c r="V640" s="137">
        <f>BUG_GL!X82</f>
        <v>0</v>
      </c>
      <c r="W640" s="137">
        <f>BUG_GL!Y82</f>
        <v>0</v>
      </c>
      <c r="X640" s="137">
        <f>BUG_GL!Z82</f>
        <v>0</v>
      </c>
      <c r="Y640" s="137">
        <f>BUG_GL!AA82</f>
        <v>0</v>
      </c>
      <c r="Z640" s="137">
        <f>BUG_GL!AB82</f>
        <v>0</v>
      </c>
      <c r="AA640" s="137">
        <f>BUG_GL!AC82</f>
        <v>0</v>
      </c>
      <c r="AB640" s="137">
        <f>BUG_GL!AD82</f>
        <v>0</v>
      </c>
      <c r="AC640" s="139">
        <f>BUG_GL!AE82</f>
        <v>0</v>
      </c>
      <c r="AD640" s="128"/>
      <c r="AE640" s="128"/>
    </row>
    <row r="641" spans="4:31" x14ac:dyDescent="0.2">
      <c r="D641" s="135" t="s">
        <v>145</v>
      </c>
      <c r="E641" s="136"/>
      <c r="F641" s="137">
        <f>CE_GL!H82</f>
        <v>0</v>
      </c>
      <c r="G641" s="204">
        <f>CE_GL!I82</f>
        <v>5017251.2697999589</v>
      </c>
      <c r="H641" s="137">
        <f>CE_GL!J82</f>
        <v>0</v>
      </c>
      <c r="I641" s="138">
        <f>CE_GL!K82</f>
        <v>1262057.3279999997</v>
      </c>
      <c r="J641" s="137">
        <f>CE_GL!L82</f>
        <v>0</v>
      </c>
      <c r="K641" s="138">
        <f>CE_GL!M82</f>
        <v>733878.40399999998</v>
      </c>
      <c r="L641" s="137">
        <f>CE_GL!N82</f>
        <v>0</v>
      </c>
      <c r="M641" s="138">
        <f>CE_GL!O82</f>
        <v>235317.87919999997</v>
      </c>
      <c r="N641" s="137">
        <f>CE_GL!P82</f>
        <v>0</v>
      </c>
      <c r="O641" s="138">
        <f>CE_GL!Q82</f>
        <v>-43034.240399999515</v>
      </c>
      <c r="P641" s="137">
        <f>CE_GL!R82</f>
        <v>0</v>
      </c>
      <c r="Q641" s="137">
        <f>CE_GL!S82</f>
        <v>434414.89519999962</v>
      </c>
      <c r="R641" s="137">
        <f>CE_GL!T82</f>
        <v>0</v>
      </c>
      <c r="S641" s="137">
        <f>CE_GL!U82</f>
        <v>2744.7431999999872</v>
      </c>
      <c r="T641" s="137">
        <f>CE_GL!V82</f>
        <v>0</v>
      </c>
      <c r="U641" s="138">
        <f>CE_GL!W82</f>
        <v>251626.84320000029</v>
      </c>
      <c r="V641" s="137">
        <f>CE_GL!X82</f>
        <v>0</v>
      </c>
      <c r="W641" s="138">
        <f>CE_GL!Y82</f>
        <v>-5146.4104000000061</v>
      </c>
      <c r="X641" s="137">
        <f>CE_GL!Z82</f>
        <v>0</v>
      </c>
      <c r="Y641" s="138">
        <f>CE_GL!AA82</f>
        <v>-203357.20860000016</v>
      </c>
      <c r="Z641" s="137">
        <f>CE_GL!AB82</f>
        <v>0</v>
      </c>
      <c r="AA641" s="137">
        <f>CE_GL!AC82</f>
        <v>35910.090000000004</v>
      </c>
      <c r="AB641" s="137">
        <f>CE_GL!AD82</f>
        <v>0</v>
      </c>
      <c r="AC641" s="139">
        <f>CE_GL!AE82</f>
        <v>0</v>
      </c>
    </row>
    <row r="642" spans="4:31" x14ac:dyDescent="0.2">
      <c r="D642" s="135" t="s">
        <v>146</v>
      </c>
      <c r="E642" s="136"/>
      <c r="F642" s="137">
        <f>+'EAST-EGM-GL'!H82</f>
        <v>0</v>
      </c>
      <c r="G642" s="138">
        <f>+'EAST-EGM-GL'!I82</f>
        <v>3989583.5030000149</v>
      </c>
      <c r="H642" s="137">
        <f>+'EAST-EGM-GL'!J82</f>
        <v>0</v>
      </c>
      <c r="I642" s="138">
        <f>+'EAST-EGM-GL'!K82</f>
        <v>14822451.627000004</v>
      </c>
      <c r="J642" s="137">
        <f>+'EAST-EGM-GL'!L82</f>
        <v>0</v>
      </c>
      <c r="K642" s="138">
        <f>+'EAST-EGM-GL'!M82</f>
        <v>-57715.955000000293</v>
      </c>
      <c r="L642" s="137">
        <f>+'EAST-EGM-GL'!N82</f>
        <v>0</v>
      </c>
      <c r="M642" s="138">
        <f>+'EAST-EGM-GL'!O82</f>
        <v>-97073.698999999979</v>
      </c>
      <c r="N642" s="137">
        <f>+'EAST-EGM-GL'!P82</f>
        <v>0</v>
      </c>
      <c r="O642" s="138">
        <f>+'EAST-EGM-GL'!Q82</f>
        <v>-16271765.270000001</v>
      </c>
      <c r="P642" s="137">
        <f>+'EAST-EGM-GL'!R82</f>
        <v>0</v>
      </c>
      <c r="Q642" s="137">
        <f>+'EAST-EGM-GL'!S82</f>
        <v>-115500</v>
      </c>
      <c r="R642" s="137">
        <f>+'EAST-EGM-GL'!T82</f>
        <v>0</v>
      </c>
      <c r="S642" s="137">
        <f>+'EAST-EGM-GL'!U82</f>
        <v>-2166.2809999999945</v>
      </c>
      <c r="T642" s="137">
        <f>+'EAST-EGM-GL'!V82</f>
        <v>0</v>
      </c>
      <c r="U642" s="137">
        <f>+'EAST-EGM-GL'!W82</f>
        <v>-103182.45700000001</v>
      </c>
      <c r="V642" s="137">
        <f>+'EAST-EGM-GL'!X82</f>
        <v>0</v>
      </c>
      <c r="W642" s="137">
        <f>+'EAST-EGM-GL'!Y82</f>
        <v>-99955</v>
      </c>
      <c r="X642" s="137">
        <f>+'EAST-EGM-GL'!Z82</f>
        <v>0</v>
      </c>
      <c r="Y642" s="138">
        <f>+'EAST-EGM-GL'!AA82</f>
        <v>3181.7590000000055</v>
      </c>
      <c r="Z642" s="137">
        <f>+'EAST-EGM-GL'!AB82</f>
        <v>0</v>
      </c>
      <c r="AA642" s="137">
        <f>+'EAST-EGM-GL'!AC82</f>
        <v>0</v>
      </c>
      <c r="AB642" s="137">
        <f>+'EAST-EGM-GL'!AD82</f>
        <v>0</v>
      </c>
      <c r="AC642" s="139">
        <f>+'EAST-EGM-GL'!AE82</f>
        <v>0</v>
      </c>
      <c r="AD642" s="14"/>
      <c r="AE642" s="14"/>
    </row>
    <row r="643" spans="4:31" x14ac:dyDescent="0.2">
      <c r="D643" s="135" t="s">
        <v>154</v>
      </c>
      <c r="E643" s="136"/>
      <c r="F643" s="137">
        <f>+'EAST-LRC-GL'!H82</f>
        <v>2250</v>
      </c>
      <c r="G643" s="164">
        <f>+'EAST-LRC-GL'!I82</f>
        <v>-13970.524000000303</v>
      </c>
      <c r="H643" s="137">
        <f>+'EAST-LRC-GL'!J82</f>
        <v>0</v>
      </c>
      <c r="I643" s="164">
        <f>+'EAST-LRC-GL'!K82</f>
        <v>-83851.191999999777</v>
      </c>
      <c r="J643" s="137">
        <f>+'EAST-LRC-GL'!L82</f>
        <v>0</v>
      </c>
      <c r="K643" s="138">
        <f>+'EAST-LRC-GL'!M82</f>
        <v>1498.6050000000105</v>
      </c>
      <c r="L643" s="137">
        <f>+'EAST-LRC-GL'!N82</f>
        <v>0</v>
      </c>
      <c r="M643" s="138">
        <f>+'EAST-LRC-GL'!O82</f>
        <v>14960.578000000027</v>
      </c>
      <c r="N643" s="137">
        <f>+'EAST-LRC-GL'!P82</f>
        <v>0</v>
      </c>
      <c r="O643" s="138">
        <f>+'EAST-LRC-GL'!Q82</f>
        <v>-40687.70700000006</v>
      </c>
      <c r="P643" s="137">
        <f>+'EAST-LRC-GL'!R82</f>
        <v>0</v>
      </c>
      <c r="Q643" s="137">
        <f>+'EAST-LRC-GL'!S82</f>
        <v>-30967.648000000001</v>
      </c>
      <c r="R643" s="137">
        <f>+'EAST-LRC-GL'!T82</f>
        <v>0</v>
      </c>
      <c r="S643" s="137">
        <f>+'EAST-LRC-GL'!U82</f>
        <v>-6794.7710000000325</v>
      </c>
      <c r="T643" s="137">
        <f>+'EAST-LRC-GL'!V82</f>
        <v>0</v>
      </c>
      <c r="U643" s="137">
        <f>+'EAST-LRC-GL'!W82</f>
        <v>-78.500000000000014</v>
      </c>
      <c r="V643" s="137">
        <f>+'EAST-LRC-GL'!X82</f>
        <v>0</v>
      </c>
      <c r="W643" s="138">
        <f>+'EAST-LRC-GL'!Y82</f>
        <v>-0.80999999999970895</v>
      </c>
      <c r="X643" s="137">
        <f>+'EAST-LRC-GL'!Z82</f>
        <v>0</v>
      </c>
      <c r="Y643" s="138">
        <f>+'EAST-LRC-GL'!AA82</f>
        <v>-987.11199999999894</v>
      </c>
      <c r="Z643" s="137">
        <f>+'EAST-LRC-GL'!AB82</f>
        <v>0</v>
      </c>
      <c r="AA643" s="137">
        <f>+'EAST-LRC-GL'!AC82</f>
        <v>-2874.39</v>
      </c>
      <c r="AB643" s="137">
        <f>+'EAST-LRC-GL'!AD82</f>
        <v>0</v>
      </c>
      <c r="AC643" s="139">
        <f>+'EAST-LRC-GL'!AE82</f>
        <v>0</v>
      </c>
      <c r="AD643" s="14"/>
      <c r="AE643" s="14"/>
    </row>
    <row r="644" spans="4:31" x14ac:dyDescent="0.2">
      <c r="D644" s="135" t="s">
        <v>155</v>
      </c>
      <c r="E644" s="136"/>
      <c r="F644" s="137">
        <f>+'BGC-EGM-GL'!H82</f>
        <v>0</v>
      </c>
      <c r="G644" s="164">
        <f>+'BGC-EGM-GL'!I82</f>
        <v>0</v>
      </c>
      <c r="H644" s="137">
        <f>+'BGC-EGM-GL'!J82</f>
        <v>0</v>
      </c>
      <c r="I644" s="164">
        <f>+'BGC-EGM-GL'!K82</f>
        <v>0</v>
      </c>
      <c r="J644" s="137">
        <f>+'BGC-EGM-GL'!L82</f>
        <v>0</v>
      </c>
      <c r="K644" s="138">
        <f>+'BGC-EGM-GL'!M82</f>
        <v>0</v>
      </c>
      <c r="L644" s="137">
        <f>+'BGC-EGM-GL'!N82</f>
        <v>0</v>
      </c>
      <c r="M644" s="138">
        <f>+'BGC-EGM-GL'!O82</f>
        <v>0</v>
      </c>
      <c r="N644" s="137">
        <f>+'BGC-EGM-GL'!P82</f>
        <v>0</v>
      </c>
      <c r="O644" s="137">
        <f>+'BGC-EGM-GL'!Q82</f>
        <v>0</v>
      </c>
      <c r="P644" s="137">
        <f>+'BGC-EGM-GL'!R82</f>
        <v>0</v>
      </c>
      <c r="Q644" s="137">
        <f>+'BGC-EGM-GL'!S82</f>
        <v>0</v>
      </c>
      <c r="R644" s="137">
        <f>+'BGC-EGM-GL'!T82</f>
        <v>0</v>
      </c>
      <c r="S644" s="137">
        <f>+'BGC-EGM-GL'!U82</f>
        <v>0</v>
      </c>
      <c r="T644" s="137">
        <f>+'BGC-EGM-GL'!V82</f>
        <v>0</v>
      </c>
      <c r="U644" s="137">
        <f>+'BGC-EGM-GL'!W82</f>
        <v>0</v>
      </c>
      <c r="V644" s="137">
        <f>+'BGC-EGM-GL'!X82</f>
        <v>0</v>
      </c>
      <c r="W644" s="137">
        <f>+'BGC-EGM-GL'!Y82</f>
        <v>0</v>
      </c>
      <c r="X644" s="137">
        <f>+'BGC-EGM-GL'!Z82</f>
        <v>0</v>
      </c>
      <c r="Y644" s="137">
        <f>+'BGC-EGM-GL'!AA82</f>
        <v>0</v>
      </c>
      <c r="Z644" s="137">
        <f>+'BGC-EGM-GL'!AB82</f>
        <v>0</v>
      </c>
      <c r="AA644" s="137">
        <f>+'BGC-EGM-GL'!AC82</f>
        <v>0</v>
      </c>
      <c r="AB644" s="137">
        <f>+'BGC-EGM-GL'!AD82</f>
        <v>0</v>
      </c>
      <c r="AC644" s="139">
        <f>+'BGC-EGM-GL'!AE82</f>
        <v>0</v>
      </c>
      <c r="AD644" s="14"/>
      <c r="AE644" s="14"/>
    </row>
    <row r="645" spans="4:31" x14ac:dyDescent="0.2">
      <c r="D645" s="135" t="s">
        <v>156</v>
      </c>
      <c r="E645" s="136"/>
      <c r="F645" s="137">
        <f>+'EAST-CON-GL '!H82</f>
        <v>2250</v>
      </c>
      <c r="G645" s="164">
        <f>+'EAST-CON-GL '!I82</f>
        <v>3975612.9790000161</v>
      </c>
      <c r="H645" s="137">
        <f>+'EAST-CON-GL '!J82</f>
        <v>0</v>
      </c>
      <c r="I645" s="164">
        <f>+'EAST-CON-GL '!K82</f>
        <v>14738600.435000002</v>
      </c>
      <c r="J645" s="137">
        <f>+'EAST-CON-GL '!L82</f>
        <v>0</v>
      </c>
      <c r="K645" s="138">
        <f>+'EAST-CON-GL '!M82</f>
        <v>-56217.350000000311</v>
      </c>
      <c r="L645" s="137">
        <f>+'EAST-CON-GL '!N82</f>
        <v>0</v>
      </c>
      <c r="M645" s="138">
        <f>+'EAST-CON-GL '!O82</f>
        <v>-82113.101000000024</v>
      </c>
      <c r="N645" s="137">
        <f>+'EAST-CON-GL '!P82</f>
        <v>0</v>
      </c>
      <c r="O645" s="138">
        <f>+'EAST-CON-GL '!Q82</f>
        <v>-16312452.987000002</v>
      </c>
      <c r="P645" s="137">
        <f>+'EAST-CON-GL '!R82</f>
        <v>0</v>
      </c>
      <c r="Q645" s="137">
        <f>+'EAST-CON-GL '!S82</f>
        <v>-146467.64800000004</v>
      </c>
      <c r="R645" s="137">
        <f>+'EAST-CON-GL '!T82</f>
        <v>0</v>
      </c>
      <c r="S645" s="137">
        <f>+'EAST-CON-GL '!U82</f>
        <v>-8961.0519999999888</v>
      </c>
      <c r="T645" s="137">
        <f>+'EAST-CON-GL '!V82</f>
        <v>0</v>
      </c>
      <c r="U645" s="137">
        <f>+'EAST-CON-GL '!W82</f>
        <v>-103260.947</v>
      </c>
      <c r="V645" s="137">
        <f>+'EAST-CON-GL '!X82</f>
        <v>0</v>
      </c>
      <c r="W645" s="137">
        <f>+'EAST-CON-GL '!Y82</f>
        <v>-99955.82</v>
      </c>
      <c r="X645" s="137">
        <f>+'EAST-CON-GL '!Z82</f>
        <v>0</v>
      </c>
      <c r="Y645" s="138">
        <f>+'EAST-CON-GL '!AA82</f>
        <v>2194.6569999999774</v>
      </c>
      <c r="Z645" s="137">
        <f>+'EAST-CON-GL '!AB82</f>
        <v>0</v>
      </c>
      <c r="AA645" s="137">
        <f>+'EAST-CON-GL '!AC82</f>
        <v>-2874.39</v>
      </c>
      <c r="AB645" s="137">
        <f>+'EAST-CON-GL '!AD82</f>
        <v>0</v>
      </c>
      <c r="AC645" s="139">
        <f>+'EAST-CON-GL '!AE82</f>
        <v>0</v>
      </c>
      <c r="AD645" s="14"/>
      <c r="AE645" s="14"/>
    </row>
    <row r="646" spans="4:31" x14ac:dyDescent="0.2">
      <c r="D646" s="135" t="s">
        <v>157</v>
      </c>
      <c r="E646" s="136"/>
      <c r="F646" s="137">
        <f>+'TX-EGM-GL'!H82</f>
        <v>0</v>
      </c>
      <c r="G646" s="138">
        <f>+'TX-EGM-GL'!I82</f>
        <v>-3612502.1349999961</v>
      </c>
      <c r="H646" s="137">
        <f>+'TX-EGM-GL'!J82</f>
        <v>0</v>
      </c>
      <c r="I646" s="138">
        <f>+'TX-EGM-GL'!K91</f>
        <v>1488938.3259999999</v>
      </c>
      <c r="J646" s="137">
        <f>+'TX-EGM-GL'!L82</f>
        <v>0</v>
      </c>
      <c r="K646" s="138">
        <f>+'TX-EGM-GL'!M82</f>
        <v>-1332824.7579999999</v>
      </c>
      <c r="L646" s="137">
        <f>+'TX-EGM-GL'!N82</f>
        <v>0</v>
      </c>
      <c r="M646" s="138">
        <f>+'TX-EGM-GL'!O82</f>
        <v>178607.81699999998</v>
      </c>
      <c r="N646" s="137">
        <f>+'TX-EGM-GL'!P82</f>
        <v>0</v>
      </c>
      <c r="O646" s="138">
        <f>+'TX-EGM-GL'!Q82</f>
        <v>-56749.838999999687</v>
      </c>
      <c r="P646" s="137">
        <f>+'TX-EGM-GL'!R82</f>
        <v>0</v>
      </c>
      <c r="Q646" s="137">
        <f>+'TX-EGM-GL'!S82</f>
        <v>-33606.556000000091</v>
      </c>
      <c r="R646" s="137">
        <f>+'TX-EGM-GL'!T82</f>
        <v>0</v>
      </c>
      <c r="S646" s="137">
        <f>+'TX-EGM-GL'!U82</f>
        <v>-157953.39499999947</v>
      </c>
      <c r="T646" s="137">
        <f>+'TX-EGM-GL'!V82</f>
        <v>0</v>
      </c>
      <c r="U646" s="137">
        <f>+'TX-EGM-GL'!W82</f>
        <v>107702.37499999968</v>
      </c>
      <c r="V646" s="137">
        <f>+'TX-EGM-GL'!X82</f>
        <v>0</v>
      </c>
      <c r="W646" s="137">
        <f>+'TX-EGM-GL'!Y82</f>
        <v>-399.94699999991803</v>
      </c>
      <c r="X646" s="137">
        <f>+'TX-EGM-GL'!Z82</f>
        <v>0</v>
      </c>
      <c r="Y646" s="138">
        <f>+'TX-EGM-GL'!AA82</f>
        <v>66699.495000000388</v>
      </c>
      <c r="Z646" s="137">
        <f>+'TX-EGM-GL'!AB82</f>
        <v>0</v>
      </c>
      <c r="AA646" s="137">
        <f>+'TX-EGM-GL'!AC82</f>
        <v>48311.953000000001</v>
      </c>
      <c r="AB646" s="137">
        <f>+'TX-EGM-GL'!AD82</f>
        <v>0</v>
      </c>
      <c r="AC646" s="139">
        <f>+'TX-EGM-GL'!AE82</f>
        <v>0</v>
      </c>
      <c r="AD646" s="14"/>
      <c r="AE646" s="14"/>
    </row>
    <row r="647" spans="4:31" x14ac:dyDescent="0.2">
      <c r="D647" s="135" t="s">
        <v>158</v>
      </c>
      <c r="E647" s="136"/>
      <c r="F647" s="137">
        <f>+'TX-HPL-GL '!H82</f>
        <v>0</v>
      </c>
      <c r="G647" s="138">
        <f>+'TX-HPL-GL '!I82</f>
        <v>-29709.279999999839</v>
      </c>
      <c r="H647" s="137">
        <f>+'TX-HPL-GL '!J82</f>
        <v>0</v>
      </c>
      <c r="I647" s="138">
        <f>+'TX-HPL-GL '!K82</f>
        <v>323086.69949999999</v>
      </c>
      <c r="J647" s="137">
        <f>+'TX-HPL-GL '!L82</f>
        <v>0</v>
      </c>
      <c r="K647" s="138">
        <f>+'TX-HPL-GL '!M82</f>
        <v>5870.4018000000042</v>
      </c>
      <c r="L647" s="137">
        <f>+'TX-HPL-GL '!N82</f>
        <v>0</v>
      </c>
      <c r="M647" s="138">
        <f>+'TX-HPL-GL '!O82</f>
        <v>-11657.9818</v>
      </c>
      <c r="N647" s="137">
        <f>+'TX-HPL-GL '!P82</f>
        <v>0</v>
      </c>
      <c r="O647" s="138">
        <f>+'TX-HPL-GL '!Q82</f>
        <v>2457.6600000000162</v>
      </c>
      <c r="P647" s="137">
        <f>+'TX-HPL-GL '!R82</f>
        <v>0</v>
      </c>
      <c r="Q647" s="137">
        <f>+'TX-HPL-GL '!S82</f>
        <v>-118.98</v>
      </c>
      <c r="R647" s="137">
        <f>+'TX-HPL-GL '!T82</f>
        <v>0</v>
      </c>
      <c r="S647" s="137">
        <f>+'TX-HPL-GL '!U82</f>
        <v>1.24</v>
      </c>
      <c r="T647" s="137">
        <f>+'TX-HPL-GL '!V82</f>
        <v>0</v>
      </c>
      <c r="U647" s="137">
        <f>+'TX-HPL-GL '!W82</f>
        <v>0</v>
      </c>
      <c r="V647" s="137">
        <f>+'TX-HPL-GL '!X82</f>
        <v>0</v>
      </c>
      <c r="W647" s="137">
        <f>+'TX-HPL-GL '!Y82</f>
        <v>0</v>
      </c>
      <c r="X647" s="137">
        <f>+'TX-HPL-GL '!Z82</f>
        <v>0</v>
      </c>
      <c r="Y647" s="137">
        <f>+'TX-HPL-GL '!AA82</f>
        <v>0</v>
      </c>
      <c r="Z647" s="137">
        <f>+'TX-HPL-GL '!AB82</f>
        <v>0</v>
      </c>
      <c r="AA647" s="137">
        <f>+'TX-HPL-GL '!AC82</f>
        <v>0</v>
      </c>
      <c r="AB647" s="137">
        <f>+'TX-HPL-GL '!AD82</f>
        <v>0</v>
      </c>
      <c r="AC647" s="139">
        <f>+'TX-HPL-GL '!AE82</f>
        <v>0</v>
      </c>
      <c r="AD647" s="14"/>
      <c r="AE647" s="14"/>
    </row>
    <row r="648" spans="4:31" x14ac:dyDescent="0.2">
      <c r="D648" s="135" t="s">
        <v>159</v>
      </c>
      <c r="E648" s="136"/>
      <c r="F648" s="137">
        <f>+'TX-CON-GL '!H82</f>
        <v>0</v>
      </c>
      <c r="G648" s="164">
        <f>+'TX-CON-GL '!I82</f>
        <v>-3642211.4149999898</v>
      </c>
      <c r="H648" s="137">
        <f>+'TX-CON-GL '!J82</f>
        <v>0</v>
      </c>
      <c r="I648" s="138">
        <f>+'TX-CON-GL '!K82</f>
        <v>1812025.0255</v>
      </c>
      <c r="J648" s="137">
        <f>+'TX-CON-GL '!L82</f>
        <v>0</v>
      </c>
      <c r="K648" s="138">
        <f>+'TX-CON-GL '!M82</f>
        <v>-1326954.3561999998</v>
      </c>
      <c r="L648" s="137">
        <f>+'TX-CON-GL '!N82</f>
        <v>0</v>
      </c>
      <c r="M648" s="138">
        <f>+'TX-CON-GL '!O82</f>
        <v>166949.83519999994</v>
      </c>
      <c r="N648" s="137">
        <f>+'TX-CON-GL '!P82</f>
        <v>0</v>
      </c>
      <c r="O648" s="138">
        <f>+'TX-CON-GL '!Q82</f>
        <v>-54292.178999999967</v>
      </c>
      <c r="P648" s="137">
        <f>+'TX-CON-GL '!R82</f>
        <v>0</v>
      </c>
      <c r="Q648" s="137">
        <f>+'TX-CON-GL '!S82</f>
        <v>-33725.536000000073</v>
      </c>
      <c r="R648" s="137">
        <f>+'TX-CON-GL '!T82</f>
        <v>0</v>
      </c>
      <c r="S648" s="137">
        <f>+'TX-CON-GL '!U82</f>
        <v>-157952.15499999947</v>
      </c>
      <c r="T648" s="137">
        <f>+'TX-CON-GL '!V82</f>
        <v>0</v>
      </c>
      <c r="U648" s="137">
        <f>+'TX-CON-GL '!W82</f>
        <v>107702.37499999968</v>
      </c>
      <c r="V648" s="137">
        <f>+'TX-CON-GL '!X82</f>
        <v>0</v>
      </c>
      <c r="W648" s="137">
        <f>+'TX-CON-GL '!Y82</f>
        <v>-399.94699999991803</v>
      </c>
      <c r="X648" s="137">
        <f>+'TX-CON-GL '!Z82</f>
        <v>0</v>
      </c>
      <c r="Y648" s="138">
        <f>+'TX-CON-GL '!AA82</f>
        <v>66699.495000000388</v>
      </c>
      <c r="Z648" s="137">
        <f>+'TX-CON-GL '!AB82</f>
        <v>0</v>
      </c>
      <c r="AA648" s="137">
        <f>+'TX-CON-GL '!AC82</f>
        <v>48311.953000000001</v>
      </c>
      <c r="AB648" s="137">
        <f>+'TX-CON-GL '!AD82</f>
        <v>0</v>
      </c>
      <c r="AC648" s="139">
        <f>+'TX-CON-GL '!AE82</f>
        <v>0</v>
      </c>
      <c r="AD648" s="14"/>
      <c r="AE648" s="14"/>
    </row>
    <row r="649" spans="4:31" x14ac:dyDescent="0.2">
      <c r="D649" s="135" t="s">
        <v>148</v>
      </c>
      <c r="E649" s="136"/>
      <c r="F649" s="137">
        <f>+'WE-GL '!H82</f>
        <v>0</v>
      </c>
      <c r="G649" s="138">
        <f>+'WE-GL '!I82</f>
        <v>-1727701.7299999939</v>
      </c>
      <c r="H649" s="137">
        <f>+'WE-GL '!J82</f>
        <v>0</v>
      </c>
      <c r="I649" s="138">
        <f>+'WE-GL '!K82</f>
        <v>-89789.039000000019</v>
      </c>
      <c r="J649" s="137">
        <f>+'WE-GL '!L82</f>
        <v>0</v>
      </c>
      <c r="K649" s="137">
        <f>+'WE-GL '!M82</f>
        <v>-77765.255000000107</v>
      </c>
      <c r="L649" s="137">
        <f>+'WE-GL '!N82</f>
        <v>0</v>
      </c>
      <c r="M649" s="138">
        <f>+'WE-GL '!O82</f>
        <v>59726.40100000002</v>
      </c>
      <c r="N649" s="137">
        <f>+'WE-GL '!P82</f>
        <v>0</v>
      </c>
      <c r="O649" s="138">
        <f>+'WE-GL '!Q82</f>
        <v>10026.505999999999</v>
      </c>
      <c r="P649" s="137">
        <f>+'WE-GL '!R82</f>
        <v>0</v>
      </c>
      <c r="Q649" s="137">
        <f>+'WE-GL '!S82</f>
        <v>0</v>
      </c>
      <c r="R649" s="137">
        <f>+'WE-GL '!T82</f>
        <v>0</v>
      </c>
      <c r="S649" s="137">
        <f>+'WE-GL '!U82</f>
        <v>37459.959999999963</v>
      </c>
      <c r="T649" s="137">
        <f>+'WE-GL '!V82</f>
        <v>0</v>
      </c>
      <c r="U649" s="137">
        <f>+'WE-GL '!W82</f>
        <v>-37306.760000000009</v>
      </c>
      <c r="V649" s="137">
        <f>+'WE-GL '!X82</f>
        <v>0</v>
      </c>
      <c r="W649" s="137">
        <f>+'WE-GL '!Y82</f>
        <v>-7712.93</v>
      </c>
      <c r="X649" s="137">
        <f>+'WE-GL '!Z82</f>
        <v>0</v>
      </c>
      <c r="Y649" s="138">
        <f>+'WE-GL '!AA82</f>
        <v>37459.959999999963</v>
      </c>
      <c r="Z649" s="137">
        <f>+'WE-GL '!AB82</f>
        <v>0</v>
      </c>
      <c r="AA649" s="137">
        <f>+'WE-GL '!AC82</f>
        <v>0</v>
      </c>
      <c r="AB649" s="137">
        <f>+'WE-GL '!AD82</f>
        <v>0</v>
      </c>
      <c r="AC649" s="139">
        <f>+'WE-GL '!AE82</f>
        <v>0</v>
      </c>
      <c r="AD649" s="14"/>
      <c r="AE649" s="14"/>
    </row>
    <row r="650" spans="4:31" x14ac:dyDescent="0.2">
      <c r="D650" t="s">
        <v>150</v>
      </c>
      <c r="F650" s="140">
        <f>+STG_GL!H82</f>
        <v>0</v>
      </c>
      <c r="G650" s="165">
        <f>+STG_GL!I82</f>
        <v>-151</v>
      </c>
      <c r="H650" s="140">
        <f>+STG_GL!J82</f>
        <v>0</v>
      </c>
      <c r="I650" s="165">
        <f>+STG_GL!K82</f>
        <v>-659849</v>
      </c>
      <c r="J650" s="140">
        <f>+STG_GL!L82</f>
        <v>0</v>
      </c>
      <c r="K650" s="140">
        <f>+STG_GL!M82</f>
        <v>783262</v>
      </c>
      <c r="L650" s="140">
        <f>+STG_GL!N82</f>
        <v>0</v>
      </c>
      <c r="M650" s="140">
        <f>+STG_GL!O82</f>
        <v>0</v>
      </c>
      <c r="N650" s="140">
        <f>+STG_GL!P82</f>
        <v>0</v>
      </c>
      <c r="O650" s="140">
        <f>+STG_GL!Q82</f>
        <v>51186</v>
      </c>
      <c r="P650" s="140">
        <f>+STG_GL!R82</f>
        <v>0</v>
      </c>
      <c r="Q650" s="140">
        <f>+STG_GL!S82</f>
        <v>278760</v>
      </c>
      <c r="R650" s="140">
        <f>+STG_GL!T82</f>
        <v>0</v>
      </c>
      <c r="S650" s="140">
        <f>+STG_GL!U82</f>
        <v>0</v>
      </c>
      <c r="T650" s="140">
        <f>+STG_GL!V82</f>
        <v>0</v>
      </c>
      <c r="U650" s="140">
        <f>+STG_GL!W82</f>
        <v>189066</v>
      </c>
      <c r="V650" s="140">
        <f>+STG_GL!X82</f>
        <v>0</v>
      </c>
      <c r="W650" s="140">
        <f>+STG_GL!Y82</f>
        <v>0</v>
      </c>
      <c r="X650" s="140">
        <f>+STG_GL!Z82</f>
        <v>0</v>
      </c>
      <c r="Y650" s="140">
        <f>+STG_GL!AA82</f>
        <v>-1689156</v>
      </c>
      <c r="Z650" s="140">
        <f>+STG_GL!AB82</f>
        <v>0</v>
      </c>
      <c r="AA650" s="140">
        <f>+STG_GL!AC82</f>
        <v>335390</v>
      </c>
      <c r="AB650" s="140">
        <f>+STG_GL!AD82</f>
        <v>0</v>
      </c>
      <c r="AC650" s="140">
        <f>+STG_GL!AE82</f>
        <v>0</v>
      </c>
      <c r="AD650" s="14"/>
      <c r="AE650" s="14"/>
    </row>
    <row r="651" spans="4:31" x14ac:dyDescent="0.2">
      <c r="D651" t="s">
        <v>170</v>
      </c>
      <c r="F651" s="140">
        <f>+'ONT_GL '!H82</f>
        <v>0</v>
      </c>
      <c r="G651" s="169">
        <f>+'ONT_GL '!I82</f>
        <v>-1854472</v>
      </c>
      <c r="H651" s="140">
        <f>+'ONT_GL '!J82</f>
        <v>0</v>
      </c>
      <c r="I651" s="165">
        <f>+'ONT_GL '!K82</f>
        <v>-31876</v>
      </c>
      <c r="J651" s="140">
        <f>+'ONT_GL '!L82</f>
        <v>0</v>
      </c>
      <c r="K651" s="140">
        <f>+'ONT_GL '!M82</f>
        <v>-1022061</v>
      </c>
      <c r="L651" s="140">
        <f>+'ONT_GL '!N82</f>
        <v>0</v>
      </c>
      <c r="M651" s="140">
        <f>+'ONT_GL '!O82</f>
        <v>-284</v>
      </c>
      <c r="N651" s="140">
        <f>+'ONT_GL '!P82</f>
        <v>0</v>
      </c>
      <c r="O651" s="169">
        <f>+'ONT_GL '!Q82</f>
        <v>-21300</v>
      </c>
      <c r="P651" s="140">
        <f>+'ONT_GL '!R82</f>
        <v>0</v>
      </c>
      <c r="Q651" s="140">
        <f>+'ONT_GL '!S82</f>
        <v>0</v>
      </c>
      <c r="R651" s="140">
        <f>+'ONT_GL '!T82</f>
        <v>0</v>
      </c>
      <c r="S651" s="169">
        <f>+'ONT_GL '!U82</f>
        <v>39466</v>
      </c>
      <c r="T651" s="140">
        <f>+'ONT_GL '!V82</f>
        <v>0</v>
      </c>
      <c r="U651" s="169">
        <f>+'ONT_GL '!W82</f>
        <v>-39466.120000000112</v>
      </c>
      <c r="V651" s="140">
        <f>+'ONT_GL '!X82</f>
        <v>0</v>
      </c>
      <c r="W651" s="140">
        <f>+'ONT_GL '!Y82</f>
        <v>0</v>
      </c>
      <c r="X651" s="140">
        <f>+'ONT_GL '!Z82</f>
        <v>0</v>
      </c>
      <c r="Y651" s="169">
        <f>+'ONT_GL '!AA82</f>
        <v>-1260533.8799999999</v>
      </c>
      <c r="Z651" s="140">
        <f>+'ONT_GL '!AB82</f>
        <v>0</v>
      </c>
      <c r="AA651" s="140">
        <f>+'ONT_GL '!AC82</f>
        <v>0</v>
      </c>
      <c r="AB651" s="140">
        <f>+'ONT_GL '!AD82</f>
        <v>0</v>
      </c>
      <c r="AC651" s="140">
        <f>+'ONT_GL '!AE82</f>
        <v>0</v>
      </c>
      <c r="AD651" s="14"/>
      <c r="AE651" s="14"/>
    </row>
    <row r="652" spans="4:31" x14ac:dyDescent="0.2">
      <c r="G652" s="172"/>
    </row>
    <row r="653" spans="4:31" x14ac:dyDescent="0.2">
      <c r="D653" t="s">
        <v>2</v>
      </c>
    </row>
  </sheetData>
  <mergeCells count="28">
    <mergeCell ref="AB638:AC638"/>
    <mergeCell ref="AD638:AE638"/>
    <mergeCell ref="T638:U638"/>
    <mergeCell ref="V638:W638"/>
    <mergeCell ref="X638:Y638"/>
    <mergeCell ref="Z638:AA638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32" activePane="bottomRight" state="frozen"/>
      <selection activeCell="A5" sqref="A5"/>
      <selection pane="topRight" activeCell="A5" sqref="A5"/>
      <selection pane="bottomLeft" activeCell="A5" sqref="A5"/>
      <selection pane="bottomRight" activeCell="A32" sqref="A3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3" customWidth="1"/>
    <col min="6" max="25" width="15" customWidth="1"/>
  </cols>
  <sheetData>
    <row r="1" spans="1:25" x14ac:dyDescent="0.2">
      <c r="A1" s="46" t="s">
        <v>83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87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9906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85</v>
      </c>
      <c r="E8" s="197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86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168</v>
      </c>
      <c r="W8" s="27"/>
      <c r="X8" s="26" t="s">
        <v>117</v>
      </c>
      <c r="Y8" s="27"/>
    </row>
    <row r="9" spans="1:25" s="80" customFormat="1" x14ac:dyDescent="0.2">
      <c r="A9" s="52"/>
      <c r="B9" s="78"/>
      <c r="C9" s="79"/>
      <c r="D9" s="75" t="s">
        <v>25</v>
      </c>
      <c r="E9" s="198" t="s">
        <v>26</v>
      </c>
      <c r="F9" s="77" t="s">
        <v>25</v>
      </c>
      <c r="G9" s="76" t="s">
        <v>26</v>
      </c>
      <c r="H9" s="77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  <c r="N9" s="77" t="s">
        <v>25</v>
      </c>
      <c r="O9" s="76" t="s">
        <v>26</v>
      </c>
      <c r="P9" s="77" t="s">
        <v>25</v>
      </c>
      <c r="Q9" s="76" t="s">
        <v>26</v>
      </c>
      <c r="R9" s="77" t="s">
        <v>25</v>
      </c>
      <c r="S9" s="76" t="s">
        <v>26</v>
      </c>
      <c r="T9" s="77" t="s">
        <v>25</v>
      </c>
      <c r="U9" s="76" t="s">
        <v>26</v>
      </c>
      <c r="V9" s="77" t="s">
        <v>25</v>
      </c>
      <c r="W9" s="76" t="s">
        <v>26</v>
      </c>
      <c r="X9" s="77" t="s">
        <v>25</v>
      </c>
      <c r="Y9" s="76" t="s">
        <v>26</v>
      </c>
    </row>
    <row r="10" spans="1:25" x14ac:dyDescent="0.2">
      <c r="A10" s="9"/>
      <c r="B10" s="11" t="s">
        <v>27</v>
      </c>
      <c r="C10" s="6"/>
      <c r="D10" s="64"/>
      <c r="E10" s="19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28</v>
      </c>
      <c r="D11" s="60">
        <f t="shared" ref="D11:E15" si="0">F11+H11+J11+L11+N11+P11+R11+T11+V11+X11</f>
        <v>0</v>
      </c>
      <c r="E11" s="20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29</v>
      </c>
      <c r="D12" s="60">
        <f t="shared" si="0"/>
        <v>0</v>
      </c>
      <c r="E12" s="200">
        <f t="shared" si="0"/>
        <v>-6931151.4499999983</v>
      </c>
      <c r="F12" s="65"/>
      <c r="G12" s="38">
        <f>-3891680.32-182645.36</f>
        <v>-4074325.6799999997</v>
      </c>
      <c r="H12" s="65">
        <v>0</v>
      </c>
      <c r="I12" s="38">
        <f>-1468228.14-37158.88</f>
        <v>-1505387.0199999998</v>
      </c>
      <c r="J12" s="65"/>
      <c r="K12" s="38">
        <v>-44383.68</v>
      </c>
      <c r="L12" s="65"/>
      <c r="M12" s="38">
        <v>0</v>
      </c>
      <c r="N12" s="65"/>
      <c r="O12" s="38">
        <f>601006.41-3014.01</f>
        <v>597992.4</v>
      </c>
      <c r="P12" s="65"/>
      <c r="Q12" s="38">
        <v>-8636.77</v>
      </c>
      <c r="R12" s="65"/>
      <c r="S12" s="38">
        <f>-1633489.6-243545.64</f>
        <v>-1877035.2400000002</v>
      </c>
      <c r="T12" s="65"/>
      <c r="U12" s="38">
        <v>0</v>
      </c>
      <c r="V12" s="65"/>
      <c r="W12" s="38">
        <v>-19375.46</v>
      </c>
      <c r="X12" s="65"/>
      <c r="Y12" s="38">
        <v>0</v>
      </c>
    </row>
    <row r="13" spans="1:25" x14ac:dyDescent="0.2">
      <c r="A13" s="9">
        <v>3</v>
      </c>
      <c r="B13" s="7"/>
      <c r="C13" s="18" t="s">
        <v>30</v>
      </c>
      <c r="D13" s="60">
        <f t="shared" si="0"/>
        <v>0</v>
      </c>
      <c r="E13" s="20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31</v>
      </c>
      <c r="D14" s="60">
        <f t="shared" si="0"/>
        <v>0</v>
      </c>
      <c r="E14" s="20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32</v>
      </c>
      <c r="D15" s="60">
        <f t="shared" si="0"/>
        <v>0</v>
      </c>
      <c r="E15" s="20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33</v>
      </c>
      <c r="C16" s="6"/>
      <c r="D16" s="61">
        <f t="shared" ref="D16:Y16" si="1">SUM(D11:D15)</f>
        <v>0</v>
      </c>
      <c r="E16" s="150">
        <f t="shared" si="1"/>
        <v>-6931151.4499999983</v>
      </c>
      <c r="F16" s="61">
        <f t="shared" si="1"/>
        <v>0</v>
      </c>
      <c r="G16" s="39">
        <f t="shared" si="1"/>
        <v>-4074325.6799999997</v>
      </c>
      <c r="H16" s="61">
        <f t="shared" si="1"/>
        <v>0</v>
      </c>
      <c r="I16" s="39">
        <f t="shared" si="1"/>
        <v>-1505387.0199999998</v>
      </c>
      <c r="J16" s="61">
        <f t="shared" si="1"/>
        <v>0</v>
      </c>
      <c r="K16" s="39">
        <f t="shared" si="1"/>
        <v>-44383.68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597992.4</v>
      </c>
      <c r="P16" s="61">
        <f t="shared" si="1"/>
        <v>0</v>
      </c>
      <c r="Q16" s="39">
        <f t="shared" si="1"/>
        <v>-8636.77</v>
      </c>
      <c r="R16" s="61">
        <f t="shared" si="1"/>
        <v>0</v>
      </c>
      <c r="S16" s="39">
        <f t="shared" si="1"/>
        <v>-1877035.2400000002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-19375.46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49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34</v>
      </c>
      <c r="C18" s="6"/>
      <c r="D18" s="60"/>
      <c r="E18" s="149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28</v>
      </c>
      <c r="D19" s="60">
        <f t="shared" ref="D19:E23" si="2">F19+H19+J19+L19+N19+P19+R19+T19+V19+X19</f>
        <v>0</v>
      </c>
      <c r="E19" s="20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29</v>
      </c>
      <c r="D20" s="60">
        <f t="shared" si="2"/>
        <v>0</v>
      </c>
      <c r="E20" s="200">
        <f t="shared" si="2"/>
        <v>4387999.1099999994</v>
      </c>
      <c r="F20" s="65"/>
      <c r="G20" s="38">
        <f>124640.36-558491.78</f>
        <v>-433851.42000000004</v>
      </c>
      <c r="H20" s="65"/>
      <c r="I20" s="38">
        <f>-476740.32+91715</f>
        <v>-385025.32</v>
      </c>
      <c r="J20" s="65"/>
      <c r="K20" s="38"/>
      <c r="L20" s="65"/>
      <c r="M20" s="38">
        <v>0</v>
      </c>
      <c r="N20" s="65"/>
      <c r="O20" s="38">
        <v>-259121.8</v>
      </c>
      <c r="P20" s="65"/>
      <c r="Q20" s="38">
        <v>-10002.44</v>
      </c>
      <c r="R20" s="65"/>
      <c r="S20" s="38">
        <f>5342891.96+112131.39</f>
        <v>5455023.3499999996</v>
      </c>
      <c r="T20" s="65"/>
      <c r="U20" s="38">
        <v>0</v>
      </c>
      <c r="V20" s="65"/>
      <c r="W20" s="38">
        <v>20976.74</v>
      </c>
      <c r="X20" s="65"/>
      <c r="Y20" s="38">
        <v>0</v>
      </c>
    </row>
    <row r="21" spans="1:25" x14ac:dyDescent="0.2">
      <c r="A21" s="9">
        <v>8</v>
      </c>
      <c r="B21" s="7"/>
      <c r="C21" s="18" t="s">
        <v>30</v>
      </c>
      <c r="D21" s="60">
        <f t="shared" si="2"/>
        <v>0</v>
      </c>
      <c r="E21" s="20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31</v>
      </c>
      <c r="D22" s="60">
        <f t="shared" si="2"/>
        <v>0</v>
      </c>
      <c r="E22" s="20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35</v>
      </c>
      <c r="D23" s="60">
        <f t="shared" si="2"/>
        <v>0</v>
      </c>
      <c r="E23" s="20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36</v>
      </c>
      <c r="C24" s="6"/>
      <c r="D24" s="61">
        <f t="shared" ref="D24:Y24" si="3">SUM(D19:D23)</f>
        <v>0</v>
      </c>
      <c r="E24" s="150">
        <f t="shared" si="3"/>
        <v>4387999.1099999994</v>
      </c>
      <c r="F24" s="61">
        <f t="shared" si="3"/>
        <v>0</v>
      </c>
      <c r="G24" s="39">
        <f t="shared" si="3"/>
        <v>-433851.42000000004</v>
      </c>
      <c r="H24" s="61">
        <f t="shared" si="3"/>
        <v>0</v>
      </c>
      <c r="I24" s="39">
        <f t="shared" si="3"/>
        <v>-385025.32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-259121.8</v>
      </c>
      <c r="P24" s="61">
        <f t="shared" si="3"/>
        <v>0</v>
      </c>
      <c r="Q24" s="39">
        <f t="shared" si="3"/>
        <v>-10002.44</v>
      </c>
      <c r="R24" s="61">
        <f t="shared" si="3"/>
        <v>0</v>
      </c>
      <c r="S24" s="39">
        <f t="shared" si="3"/>
        <v>5455023.3499999996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20976.74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49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37</v>
      </c>
      <c r="C26" s="6"/>
      <c r="D26" s="60"/>
      <c r="E26" s="149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38</v>
      </c>
      <c r="D27" s="60">
        <f>F27+H27+J27+L27+N27+P27+R27+T27+V27+X27</f>
        <v>0</v>
      </c>
      <c r="E27" s="200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39</v>
      </c>
      <c r="D28" s="60">
        <f>F28+H28+J28+L28+N28+P28+R28+T28+V28+X28</f>
        <v>0</v>
      </c>
      <c r="E28" s="200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40</v>
      </c>
      <c r="C29" s="6"/>
      <c r="D29" s="61">
        <f t="shared" ref="D29:Y29" si="4">SUM(D27:D28)</f>
        <v>0</v>
      </c>
      <c r="E29" s="15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49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41</v>
      </c>
      <c r="C31" s="6"/>
      <c r="D31" s="60"/>
      <c r="E31" s="149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42</v>
      </c>
      <c r="D32" s="60">
        <f t="shared" ref="D32:E35" si="5">F32+H32+J32+L32+N32+P32+R32+T32+V32+X32</f>
        <v>0</v>
      </c>
      <c r="E32" s="20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43</v>
      </c>
      <c r="D33" s="60">
        <f t="shared" si="5"/>
        <v>0</v>
      </c>
      <c r="E33" s="20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44</v>
      </c>
      <c r="D34" s="60">
        <f t="shared" si="5"/>
        <v>0</v>
      </c>
      <c r="E34" s="20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45</v>
      </c>
      <c r="D35" s="60">
        <f t="shared" si="5"/>
        <v>0</v>
      </c>
      <c r="E35" s="20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46</v>
      </c>
      <c r="C36" s="6"/>
      <c r="D36" s="61">
        <f>SUM(D32:D35)</f>
        <v>0</v>
      </c>
      <c r="E36" s="15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49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47</v>
      </c>
      <c r="C38" s="6"/>
      <c r="D38" s="60"/>
      <c r="E38" s="149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48</v>
      </c>
      <c r="D39" s="60">
        <f t="shared" ref="D39:E41" si="7">F39+H39+J39+L39+N39+P39+R39+T39+V39+X39</f>
        <v>0</v>
      </c>
      <c r="E39" s="20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49</v>
      </c>
      <c r="D40" s="60">
        <f t="shared" si="7"/>
        <v>0</v>
      </c>
      <c r="E40" s="20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50</v>
      </c>
      <c r="D41" s="60">
        <f t="shared" si="7"/>
        <v>0</v>
      </c>
      <c r="E41" s="20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51</v>
      </c>
      <c r="D42" s="61">
        <f t="shared" ref="D42:Y42" si="8">SUM(D40:D41)</f>
        <v>0</v>
      </c>
      <c r="E42" s="15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52</v>
      </c>
      <c r="C43" s="6"/>
      <c r="D43" s="61">
        <f t="shared" ref="D43:Y43" si="9">D42+D39</f>
        <v>0</v>
      </c>
      <c r="E43" s="15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49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53</v>
      </c>
      <c r="C45" s="6"/>
      <c r="D45" s="60">
        <f>F45+H45+J45+L45+N45+P45+R45+T45+V45+X45</f>
        <v>0</v>
      </c>
      <c r="E45" s="200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49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54</v>
      </c>
      <c r="C47" s="6"/>
      <c r="D47" s="60">
        <f>F47+H47+J47+L47+N47+P47+R47+T47+V47+X47</f>
        <v>0</v>
      </c>
      <c r="E47" s="200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49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55</v>
      </c>
      <c r="C49" s="6"/>
      <c r="D49" s="60">
        <f>F49+H49+J49+L49+N49+P49+R49+T49+V49+X49</f>
        <v>0</v>
      </c>
      <c r="E49" s="200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49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56</v>
      </c>
      <c r="C51" s="6"/>
      <c r="D51" s="60">
        <f>F51+H51+J51+L51+N51+P51+R51+T51+V51+X51</f>
        <v>0</v>
      </c>
      <c r="E51" s="200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49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57</v>
      </c>
      <c r="C53" s="6"/>
      <c r="D53" s="60"/>
      <c r="E53" s="149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58</v>
      </c>
      <c r="D54" s="60">
        <f>F54+H54+J54+L54+N54+P54+R54+T54+V54+X54</f>
        <v>0</v>
      </c>
      <c r="E54" s="200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59</v>
      </c>
      <c r="D55" s="60">
        <f>F55+H55+J55+L55+N55+P55+R55+T55+V55+X55</f>
        <v>0</v>
      </c>
      <c r="E55" s="200">
        <f>G55+I55+K55+M55+O55+Q55+S55+U55+W55+Y55</f>
        <v>-977753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-977753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60</v>
      </c>
      <c r="C56" s="6"/>
      <c r="D56" s="61">
        <f t="shared" ref="D56:Y56" si="10">SUM(D54:D55)</f>
        <v>0</v>
      </c>
      <c r="E56" s="150">
        <f t="shared" si="10"/>
        <v>-977753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-977753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49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61</v>
      </c>
      <c r="C58" s="6"/>
      <c r="D58" s="60"/>
      <c r="E58" s="149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62</v>
      </c>
      <c r="D59" s="60">
        <f>F59+H59+J59+L59+N59+P59+R59+T59+V59+X59</f>
        <v>0</v>
      </c>
      <c r="E59" s="200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63</v>
      </c>
      <c r="D60" s="60">
        <f>F60+H60+J60+L60+N60+P60+R60+T60+V60+X60</f>
        <v>0</v>
      </c>
      <c r="E60" s="200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64</v>
      </c>
      <c r="C61" s="6"/>
      <c r="D61" s="61">
        <f t="shared" ref="D61:Y61" si="11">SUM(D59:D60)</f>
        <v>0</v>
      </c>
      <c r="E61" s="15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49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37</v>
      </c>
      <c r="C63" s="6"/>
      <c r="D63" s="60"/>
      <c r="E63" s="149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65</v>
      </c>
      <c r="D64" s="60">
        <f>F64+H64+J64+L64+N64+P64+R64+T64+V64+X64</f>
        <v>0</v>
      </c>
      <c r="E64" s="200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66</v>
      </c>
      <c r="D65" s="60">
        <f>F65+H65+J65+L65+N65+P65+R65+T65+V65+X65</f>
        <v>0</v>
      </c>
      <c r="E65" s="200">
        <f>G65+I65+K65+M65+O65+Q65+S65+U65+W65+Y65</f>
        <v>1076449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86243</v>
      </c>
      <c r="R65" s="60"/>
      <c r="S65" s="38">
        <f>930206+60000</f>
        <v>990206</v>
      </c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67</v>
      </c>
      <c r="C66" s="6"/>
      <c r="D66" s="61">
        <f t="shared" ref="D66:Y66" si="12">SUM(D64:D65)</f>
        <v>0</v>
      </c>
      <c r="E66" s="150">
        <f t="shared" si="12"/>
        <v>1076449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86243</v>
      </c>
      <c r="R66" s="61">
        <f t="shared" si="12"/>
        <v>0</v>
      </c>
      <c r="S66" s="39">
        <f t="shared" si="12"/>
        <v>990206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49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68</v>
      </c>
      <c r="C68" s="6"/>
      <c r="D68" s="60"/>
      <c r="E68" s="149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69</v>
      </c>
      <c r="D69" s="60"/>
      <c r="E69" s="149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70</v>
      </c>
      <c r="D70" s="60">
        <f>F70+H70+J70+L70+N70+P70+R70+T70+V70+X70</f>
        <v>0</v>
      </c>
      <c r="E70" s="200">
        <f>G70+I70+K70+M70+O70+Q70+S70+U70+W70+Y70</f>
        <v>18630825.719999999</v>
      </c>
      <c r="F70" s="60"/>
      <c r="G70" s="38">
        <v>1955927.12</v>
      </c>
      <c r="H70" s="60"/>
      <c r="I70" s="38">
        <v>5679557.9500000002</v>
      </c>
      <c r="J70" s="60"/>
      <c r="K70" s="38">
        <v>0</v>
      </c>
      <c r="L70" s="60"/>
      <c r="M70" s="38">
        <v>0</v>
      </c>
      <c r="N70" s="60"/>
      <c r="O70" s="38">
        <v>2029682</v>
      </c>
      <c r="P70" s="60"/>
      <c r="Q70" s="38">
        <v>0</v>
      </c>
      <c r="R70" s="60"/>
      <c r="S70" s="38">
        <v>722248.91</v>
      </c>
      <c r="T70" s="60"/>
      <c r="U70" s="38">
        <f>-20535703+23536950</f>
        <v>3001247</v>
      </c>
      <c r="V70" s="60"/>
      <c r="W70" s="38">
        <v>-832910</v>
      </c>
      <c r="X70" s="60"/>
      <c r="Y70" s="38">
        <v>6075072.7400000002</v>
      </c>
    </row>
    <row r="71" spans="1:25" x14ac:dyDescent="0.2">
      <c r="A71" s="9">
        <v>31</v>
      </c>
      <c r="B71" s="3"/>
      <c r="C71" s="10" t="s">
        <v>71</v>
      </c>
      <c r="D71" s="60">
        <f>F71+H71+J71+L71+N71+P71+R71+T71+V71+X71</f>
        <v>0</v>
      </c>
      <c r="E71" s="200">
        <f>G71+I71+K71+M71+O71+Q71+S71+U71+W71+Y71</f>
        <v>-10853676.73</v>
      </c>
      <c r="F71" s="60"/>
      <c r="G71" s="38">
        <v>-1086087</v>
      </c>
      <c r="H71" s="60"/>
      <c r="I71" s="38">
        <v>-2849706</v>
      </c>
      <c r="J71" s="60"/>
      <c r="K71" s="38">
        <v>0</v>
      </c>
      <c r="L71" s="60"/>
      <c r="M71" s="38">
        <v>0</v>
      </c>
      <c r="N71" s="60"/>
      <c r="O71" s="38">
        <v>-1493640</v>
      </c>
      <c r="P71" s="60"/>
      <c r="Q71" s="38">
        <v>0</v>
      </c>
      <c r="R71" s="60"/>
      <c r="S71" s="38">
        <v>-250999</v>
      </c>
      <c r="T71" s="60"/>
      <c r="U71" s="38">
        <v>0</v>
      </c>
      <c r="V71" s="60"/>
      <c r="W71" s="38">
        <v>808257</v>
      </c>
      <c r="X71" s="60"/>
      <c r="Y71" s="38">
        <v>-5981501.7300000004</v>
      </c>
    </row>
    <row r="72" spans="1:25" x14ac:dyDescent="0.2">
      <c r="A72" s="9"/>
      <c r="B72" s="3"/>
      <c r="C72" s="55" t="s">
        <v>72</v>
      </c>
      <c r="D72" s="61">
        <f t="shared" ref="D72:Y72" si="13">SUM(D70:D71)</f>
        <v>0</v>
      </c>
      <c r="E72" s="150">
        <f t="shared" si="13"/>
        <v>7777148.9899999984</v>
      </c>
      <c r="F72" s="61">
        <f t="shared" si="13"/>
        <v>0</v>
      </c>
      <c r="G72" s="39">
        <f t="shared" si="13"/>
        <v>869840.12000000011</v>
      </c>
      <c r="H72" s="61">
        <f t="shared" si="13"/>
        <v>0</v>
      </c>
      <c r="I72" s="39">
        <f t="shared" si="13"/>
        <v>2829851.95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536042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471249.91000000003</v>
      </c>
      <c r="T72" s="61">
        <f t="shared" si="13"/>
        <v>0</v>
      </c>
      <c r="U72" s="39">
        <f t="shared" si="13"/>
        <v>3001247</v>
      </c>
      <c r="V72" s="61">
        <f t="shared" si="13"/>
        <v>0</v>
      </c>
      <c r="W72" s="39">
        <f t="shared" si="13"/>
        <v>-24653</v>
      </c>
      <c r="X72" s="61">
        <f t="shared" si="13"/>
        <v>0</v>
      </c>
      <c r="Y72" s="39">
        <f t="shared" si="13"/>
        <v>93571.009999999776</v>
      </c>
    </row>
    <row r="73" spans="1:25" x14ac:dyDescent="0.2">
      <c r="A73" s="9">
        <v>32</v>
      </c>
      <c r="B73" s="3"/>
      <c r="C73" s="10" t="s">
        <v>73</v>
      </c>
      <c r="D73" s="60">
        <f t="shared" ref="D73:D81" si="14">F73+H73+J73+L73+N73+P73+R73+T73+V73+X73</f>
        <v>0</v>
      </c>
      <c r="E73" s="200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74</v>
      </c>
      <c r="D74" s="60">
        <f t="shared" si="14"/>
        <v>0</v>
      </c>
      <c r="E74" s="200">
        <f t="shared" si="15"/>
        <v>-3501883</v>
      </c>
      <c r="F74" s="65"/>
      <c r="G74" s="66">
        <v>681960</v>
      </c>
      <c r="H74" s="65"/>
      <c r="I74" s="66">
        <f>-1814708-16058</f>
        <v>-1830766</v>
      </c>
      <c r="J74" s="65"/>
      <c r="K74" s="66">
        <v>0</v>
      </c>
      <c r="L74" s="65"/>
      <c r="M74" s="66">
        <v>0</v>
      </c>
      <c r="N74" s="65"/>
      <c r="O74" s="66">
        <v>67828</v>
      </c>
      <c r="P74" s="65"/>
      <c r="Q74" s="66">
        <v>0</v>
      </c>
      <c r="R74" s="65"/>
      <c r="S74" s="66">
        <v>-280599</v>
      </c>
      <c r="T74" s="65"/>
      <c r="U74" s="66">
        <v>-3213747</v>
      </c>
      <c r="V74" s="65"/>
      <c r="W74" s="66">
        <v>311093</v>
      </c>
      <c r="X74" s="65"/>
      <c r="Y74" s="66">
        <v>762348</v>
      </c>
    </row>
    <row r="75" spans="1:25" x14ac:dyDescent="0.2">
      <c r="A75" s="9">
        <v>34</v>
      </c>
      <c r="B75" s="3"/>
      <c r="C75" s="10" t="s">
        <v>75</v>
      </c>
      <c r="D75" s="60">
        <f t="shared" si="14"/>
        <v>0</v>
      </c>
      <c r="E75" s="163">
        <f t="shared" si="15"/>
        <v>1865400</v>
      </c>
      <c r="F75" s="65"/>
      <c r="G75" s="38">
        <v>46100</v>
      </c>
      <c r="H75" s="65"/>
      <c r="I75" s="38">
        <v>59000</v>
      </c>
      <c r="J75" s="65"/>
      <c r="K75" s="38">
        <v>0</v>
      </c>
      <c r="L75" s="65"/>
      <c r="M75" s="38">
        <v>0</v>
      </c>
      <c r="N75" s="65"/>
      <c r="O75" s="38">
        <v>0</v>
      </c>
      <c r="P75" s="65"/>
      <c r="Q75" s="38"/>
      <c r="R75" s="65"/>
      <c r="S75" s="38">
        <v>126900</v>
      </c>
      <c r="T75" s="65"/>
      <c r="U75" s="38">
        <v>1633400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76</v>
      </c>
      <c r="D76" s="60">
        <f t="shared" si="14"/>
        <v>0</v>
      </c>
      <c r="E76" s="163">
        <f t="shared" si="15"/>
        <v>-1075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-1075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77</v>
      </c>
      <c r="D77" s="60">
        <f t="shared" si="14"/>
        <v>0</v>
      </c>
      <c r="E77" s="163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78</v>
      </c>
      <c r="D78" s="60">
        <f t="shared" si="14"/>
        <v>0</v>
      </c>
      <c r="E78" s="20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79</v>
      </c>
      <c r="D79" s="60">
        <f t="shared" si="14"/>
        <v>0</v>
      </c>
      <c r="E79" s="20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80</v>
      </c>
      <c r="D80" s="60">
        <f t="shared" si="14"/>
        <v>0</v>
      </c>
      <c r="E80" s="20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81</v>
      </c>
      <c r="D81" s="60">
        <f t="shared" si="14"/>
        <v>0</v>
      </c>
      <c r="E81" s="200">
        <f t="shared" si="15"/>
        <v>-829139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f>-839139+10000</f>
        <v>-829139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179</v>
      </c>
      <c r="D82" s="92">
        <f>D16+D24+D29+D36+D43+D45+D47+D49</f>
        <v>0</v>
      </c>
      <c r="E82" s="112">
        <f>SUM(E72:E81)+E16+E24+E29+E36+E43+E45+E47+E49+E51+E56+E61+E66</f>
        <v>-1067813.3500000006</v>
      </c>
      <c r="F82" s="92">
        <f>F16+F24+F29+F36+F43+F45+F47+F49</f>
        <v>0</v>
      </c>
      <c r="G82" s="93">
        <f>SUM(G72:G81)+G16+G24+G29+G36+G43+G45+G47+G49+G51+G56+G61+G66</f>
        <v>-2910276.9799999995</v>
      </c>
      <c r="H82" s="92">
        <f>H16+H24+H29+H36+H43+H45+H47+H49</f>
        <v>0</v>
      </c>
      <c r="I82" s="93">
        <f>SUM(I72:I81)+I16+I24+I29+I36+I43+I45+I47+I49+I51+I56+I61+I66</f>
        <v>-4766135.3899999997</v>
      </c>
      <c r="J82" s="92">
        <f>J16+J24+J29+J36+J43+J45+J47+J49</f>
        <v>0</v>
      </c>
      <c r="K82" s="93">
        <f>SUM(K72:K81)+K16+K24+K29+K36+K43+K45+K47+K49+K51+K56+K61+K66</f>
        <v>-44383.68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942740.59999999986</v>
      </c>
      <c r="P82" s="92">
        <f>P16+P24+P29+P36+P43+P45+P47+P49</f>
        <v>0</v>
      </c>
      <c r="Q82" s="93">
        <f>SUM(Q72:Q81)+Q16+Q24+Q29+Q36+Q43+Q45+Q47+Q49+Q51+Q56+Q61+Q66</f>
        <v>-910149.21</v>
      </c>
      <c r="R82" s="92">
        <f>R16+R24+R29+R36+R43+R45+R47+R49</f>
        <v>0</v>
      </c>
      <c r="S82" s="93">
        <f>SUM(S72:S81)+S16+S24+S29+S36+S43+S45+S47+S49+S51+S56+S61+S66</f>
        <v>4885745.0199999996</v>
      </c>
      <c r="T82" s="92">
        <f>T16+T24+T29+T36+T43+T45+T47+T49</f>
        <v>0</v>
      </c>
      <c r="U82" s="93">
        <f>SUM(U72:U81)+U16+U24+U29+U36+U43+U45+U47+U49+U51+U56+U61+U66</f>
        <v>590686</v>
      </c>
      <c r="V82" s="92">
        <f>V16+V24+V29+V36+V43+V45+V47+V49</f>
        <v>0</v>
      </c>
      <c r="W82" s="93">
        <f>SUM(W72:W81)+W16+W24+W29+W36+W43+W45+W47+W49+W51+W56+W61+W66</f>
        <v>288041.27999999997</v>
      </c>
      <c r="X82" s="92">
        <f>X16+X24+X29+X36+X43+X45+X47+X49</f>
        <v>0</v>
      </c>
      <c r="Y82" s="93">
        <f>SUM(Y72:Y81)+Y16+Y24+Y29+Y36+Y43+Y45+Y47+Y49+Y51+Y56+Y61+Y66</f>
        <v>855919.00999999978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176</v>
      </c>
      <c r="B85" s="3"/>
      <c r="F85" s="31"/>
      <c r="G85" s="31"/>
      <c r="H85" s="31"/>
      <c r="I85" s="31"/>
      <c r="L85" s="45"/>
    </row>
    <row r="86" spans="1:26" s="3" customFormat="1" x14ac:dyDescent="0.2">
      <c r="A86" s="174"/>
      <c r="C86" s="10" t="s">
        <v>177</v>
      </c>
      <c r="D86" s="175">
        <f>F86+H86+J86+L86+N86+P86+R86+T86+V86+X86</f>
        <v>0</v>
      </c>
      <c r="E86" s="203">
        <f>G86+I86+K86+M86+O86+Q86+S86+U86+W86+Y86</f>
        <v>5986682.6399999997</v>
      </c>
      <c r="F86" s="175"/>
      <c r="G86" s="175"/>
      <c r="H86" s="175"/>
      <c r="I86" s="175">
        <v>229124</v>
      </c>
      <c r="J86" s="175"/>
      <c r="K86" s="175"/>
      <c r="L86" s="175"/>
      <c r="M86" s="175"/>
      <c r="N86" s="175"/>
      <c r="O86" s="175"/>
      <c r="P86" s="175"/>
      <c r="Q86" s="175"/>
      <c r="R86" s="175"/>
      <c r="S86" s="175">
        <v>5825473</v>
      </c>
      <c r="T86" s="175"/>
      <c r="U86" s="175"/>
      <c r="V86" s="175"/>
      <c r="W86" s="175">
        <f>-92567.36+24653</f>
        <v>-67914.36</v>
      </c>
      <c r="X86" s="175"/>
      <c r="Y86" s="175"/>
    </row>
    <row r="87" spans="1:26" s="3" customFormat="1" x14ac:dyDescent="0.2">
      <c r="A87" s="174"/>
      <c r="C87" s="10" t="s">
        <v>74</v>
      </c>
      <c r="D87" s="176">
        <v>0</v>
      </c>
      <c r="E87" s="201">
        <f>G87+I87+K87+M87+O87+Q87+S87+U87+W87+Y87</f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f>U87+W87+Y87+AA87+AC87+AE87+AG87+AI87+AK87+AM87</f>
        <v>0</v>
      </c>
      <c r="T87" s="176">
        <f>V87+X87+Z87+AB87+AD87+AF87+AH87+AJ87+AL87+AN87</f>
        <v>0</v>
      </c>
      <c r="U87" s="176"/>
      <c r="V87" s="176"/>
      <c r="W87" s="176"/>
      <c r="X87" s="176"/>
      <c r="Y87" s="176"/>
    </row>
    <row r="88" spans="1:26" s="3" customFormat="1" x14ac:dyDescent="0.2">
      <c r="A88" s="174"/>
      <c r="C88" s="10" t="s">
        <v>75</v>
      </c>
      <c r="D88" s="177">
        <v>0</v>
      </c>
      <c r="E88" s="202">
        <f>G88+I88+K88+M88+O88+Q88+S88+U88+W88+Y88</f>
        <v>-5840200</v>
      </c>
      <c r="F88" s="177">
        <v>0</v>
      </c>
      <c r="G88" s="177">
        <v>0</v>
      </c>
      <c r="H88" s="177">
        <v>0</v>
      </c>
      <c r="I88" s="177">
        <v>-9800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-5830400</v>
      </c>
      <c r="T88" s="177">
        <f>V88+X88+Z88+AB88+AD88+AF88+AH88+AJ88+AL88+AN88</f>
        <v>0</v>
      </c>
      <c r="U88" s="177"/>
      <c r="V88" s="177"/>
      <c r="W88" s="177"/>
      <c r="X88" s="177"/>
      <c r="Y88" s="177"/>
    </row>
    <row r="89" spans="1:26" s="145" customFormat="1" ht="20.25" customHeight="1" x14ac:dyDescent="0.2">
      <c r="A89" s="188"/>
      <c r="B89" s="189"/>
      <c r="C89" s="191" t="s">
        <v>185</v>
      </c>
      <c r="D89" s="190">
        <f>SUM(D86:D88)</f>
        <v>0</v>
      </c>
      <c r="E89" s="190">
        <f t="shared" ref="E89:M89" si="16">SUM(E86:E88)</f>
        <v>146482.63999999966</v>
      </c>
      <c r="F89" s="190">
        <f t="shared" si="16"/>
        <v>0</v>
      </c>
      <c r="G89" s="190">
        <f t="shared" si="16"/>
        <v>0</v>
      </c>
      <c r="H89" s="190">
        <f t="shared" si="16"/>
        <v>0</v>
      </c>
      <c r="I89" s="190">
        <f t="shared" si="16"/>
        <v>219324</v>
      </c>
      <c r="J89" s="190">
        <f t="shared" si="16"/>
        <v>0</v>
      </c>
      <c r="K89" s="190">
        <f t="shared" si="16"/>
        <v>0</v>
      </c>
      <c r="L89" s="190">
        <f t="shared" si="16"/>
        <v>0</v>
      </c>
      <c r="M89" s="190">
        <f t="shared" si="16"/>
        <v>0</v>
      </c>
      <c r="N89" s="190">
        <f t="shared" ref="N89:Y89" si="17">SUM(N86:N88)</f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-4927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-67914.36</v>
      </c>
      <c r="X89" s="190">
        <f t="shared" si="17"/>
        <v>0</v>
      </c>
      <c r="Y89" s="190">
        <f t="shared" si="17"/>
        <v>0</v>
      </c>
    </row>
    <row r="90" spans="1:26" x14ac:dyDescent="0.2">
      <c r="A90" s="4"/>
      <c r="B90" s="3"/>
      <c r="F90" s="31"/>
      <c r="G90" s="31"/>
      <c r="H90" s="31"/>
      <c r="I90" s="31"/>
    </row>
    <row r="91" spans="1:26" s="145" customFormat="1" ht="20.25" customHeight="1" x14ac:dyDescent="0.2">
      <c r="A91" s="188"/>
      <c r="B91" s="189"/>
      <c r="C91" s="187" t="s">
        <v>186</v>
      </c>
      <c r="D91" s="190">
        <f>+D82+D89</f>
        <v>0</v>
      </c>
      <c r="E91" s="190">
        <f t="shared" ref="E91:M91" si="18">+E82+E89</f>
        <v>-921330.71000000089</v>
      </c>
      <c r="F91" s="190">
        <f t="shared" si="18"/>
        <v>0</v>
      </c>
      <c r="G91" s="190">
        <f t="shared" si="18"/>
        <v>-2910276.9799999995</v>
      </c>
      <c r="H91" s="190">
        <f t="shared" si="18"/>
        <v>0</v>
      </c>
      <c r="I91" s="190">
        <f t="shared" si="18"/>
        <v>-4546811.3899999997</v>
      </c>
      <c r="J91" s="190">
        <f t="shared" si="18"/>
        <v>0</v>
      </c>
      <c r="K91" s="190">
        <f t="shared" si="18"/>
        <v>-44383.68</v>
      </c>
      <c r="L91" s="190">
        <f t="shared" si="18"/>
        <v>0</v>
      </c>
      <c r="M91" s="190">
        <f t="shared" si="18"/>
        <v>0</v>
      </c>
      <c r="N91" s="190">
        <f t="shared" ref="N91:Y91" si="19">+N82+N89</f>
        <v>0</v>
      </c>
      <c r="O91" s="190">
        <f t="shared" si="19"/>
        <v>942740.59999999986</v>
      </c>
      <c r="P91" s="190">
        <f t="shared" si="19"/>
        <v>0</v>
      </c>
      <c r="Q91" s="190">
        <f t="shared" si="19"/>
        <v>-910149.21</v>
      </c>
      <c r="R91" s="190">
        <f t="shared" si="19"/>
        <v>0</v>
      </c>
      <c r="S91" s="190">
        <f t="shared" si="19"/>
        <v>4880818.0199999996</v>
      </c>
      <c r="T91" s="190">
        <f t="shared" si="19"/>
        <v>0</v>
      </c>
      <c r="U91" s="190">
        <f t="shared" si="19"/>
        <v>590686</v>
      </c>
      <c r="V91" s="190">
        <f t="shared" si="19"/>
        <v>0</v>
      </c>
      <c r="W91" s="190">
        <f t="shared" si="19"/>
        <v>220126.91999999998</v>
      </c>
      <c r="X91" s="190">
        <f t="shared" si="19"/>
        <v>0</v>
      </c>
      <c r="Y91" s="190">
        <f t="shared" si="19"/>
        <v>855919.00999999978</v>
      </c>
    </row>
    <row r="92" spans="1:26" x14ac:dyDescent="0.2">
      <c r="A92" s="4"/>
      <c r="B92" s="3"/>
      <c r="D92" s="31">
        <v>0</v>
      </c>
      <c r="E92" s="193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">
      <c r="A93" s="4"/>
      <c r="B93" s="3"/>
    </row>
    <row r="94" spans="1:26" x14ac:dyDescent="0.2">
      <c r="A94" s="4"/>
      <c r="B94" s="3"/>
      <c r="E94" s="193">
        <f>+E74+E12+E20</f>
        <v>-6045035.3399999999</v>
      </c>
      <c r="G94" s="193">
        <f>+G12+G20+G74</f>
        <v>-3826217.0999999996</v>
      </c>
      <c r="I94" s="193">
        <f>+I12+I20+I74</f>
        <v>-3721178.34</v>
      </c>
      <c r="K94" s="193">
        <f>+K12+K20+K74</f>
        <v>-44383.68</v>
      </c>
      <c r="M94" s="193">
        <f>+M12+M20+M74</f>
        <v>0</v>
      </c>
      <c r="O94" s="193">
        <f>+O12+O20+O74</f>
        <v>406698.60000000003</v>
      </c>
      <c r="Q94" s="193">
        <f>+Q12+Q20+Q74</f>
        <v>-18639.21</v>
      </c>
      <c r="S94" s="193">
        <f>+S12+S20+S74</f>
        <v>3297389.1099999994</v>
      </c>
      <c r="U94" s="193">
        <f>+U12+U20+U74</f>
        <v>-3213747</v>
      </c>
      <c r="W94" s="193">
        <f>+W12+W20+W74</f>
        <v>312694.28000000003</v>
      </c>
      <c r="Y94" s="193">
        <f>+Y12+Y20+Y74</f>
        <v>762348</v>
      </c>
    </row>
    <row r="95" spans="1:26" x14ac:dyDescent="0.2">
      <c r="A95" s="4"/>
      <c r="B95" s="3"/>
      <c r="E95" s="193">
        <v>-6096854</v>
      </c>
    </row>
    <row r="96" spans="1:26" x14ac:dyDescent="0.2">
      <c r="A96" s="4"/>
      <c r="B96" s="3"/>
      <c r="E96" s="193">
        <f>+E94-E95</f>
        <v>51818.660000000149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E75" activePane="bottomRight" state="frozen"/>
      <selection activeCell="A5" sqref="A5"/>
      <selection pane="topRight" activeCell="A5" sqref="A5"/>
      <selection pane="bottomLeft" activeCell="A5" sqref="A5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154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52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176">
        <v>46315684</v>
      </c>
      <c r="E11" s="176">
        <v>102507080</v>
      </c>
      <c r="F11" s="60">
        <f>H11-D11</f>
        <v>0</v>
      </c>
      <c r="G11" s="37">
        <f>I11-E11</f>
        <v>0</v>
      </c>
      <c r="H11" s="65">
        <f t="shared" ref="H11:I15" si="0">D11</f>
        <v>46315684</v>
      </c>
      <c r="I11" s="66">
        <f t="shared" si="0"/>
        <v>102507080</v>
      </c>
      <c r="J11" s="37"/>
      <c r="K11" s="38"/>
      <c r="L11" s="60">
        <f t="shared" ref="L11:M15" si="1">H11+J11</f>
        <v>46315684</v>
      </c>
      <c r="M11" s="38">
        <f t="shared" si="1"/>
        <v>102507080</v>
      </c>
    </row>
    <row r="12" spans="1:26" x14ac:dyDescent="0.2">
      <c r="A12" s="9">
        <v>2</v>
      </c>
      <c r="B12" s="7"/>
      <c r="C12" s="18" t="s">
        <v>29</v>
      </c>
      <c r="D12" s="176">
        <v>0</v>
      </c>
      <c r="E12" s="17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30</v>
      </c>
      <c r="D13" s="176">
        <v>20977276</v>
      </c>
      <c r="E13" s="176">
        <v>47574965</v>
      </c>
      <c r="F13" s="60">
        <f t="shared" si="2"/>
        <v>0</v>
      </c>
      <c r="G13" s="37">
        <f t="shared" si="2"/>
        <v>0</v>
      </c>
      <c r="H13" s="65">
        <f t="shared" si="0"/>
        <v>20977276</v>
      </c>
      <c r="I13" s="66">
        <f t="shared" si="0"/>
        <v>47574965</v>
      </c>
      <c r="J13" s="37"/>
      <c r="K13" s="38"/>
      <c r="L13" s="60">
        <f t="shared" si="1"/>
        <v>20977276</v>
      </c>
      <c r="M13" s="38">
        <f t="shared" si="1"/>
        <v>47574965</v>
      </c>
    </row>
    <row r="14" spans="1:26" x14ac:dyDescent="0.2">
      <c r="A14" s="9">
        <v>4</v>
      </c>
      <c r="B14" s="7"/>
      <c r="C14" s="18" t="s">
        <v>31</v>
      </c>
      <c r="D14" s="176">
        <v>0</v>
      </c>
      <c r="E14" s="17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32</v>
      </c>
      <c r="D15" s="176">
        <v>0</v>
      </c>
      <c r="E15" s="17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33</v>
      </c>
      <c r="C16" s="6"/>
      <c r="D16" s="206">
        <v>67292960</v>
      </c>
      <c r="E16" s="206">
        <v>150082045</v>
      </c>
      <c r="F16" s="61">
        <f t="shared" ref="F16:M16" si="3">SUM(F11:F15)</f>
        <v>0</v>
      </c>
      <c r="G16" s="39">
        <f t="shared" si="3"/>
        <v>0</v>
      </c>
      <c r="H16" s="61">
        <f>SUM(H11:H15)</f>
        <v>67292960</v>
      </c>
      <c r="I16" s="39">
        <f>SUM(I11:I15)</f>
        <v>150082045</v>
      </c>
      <c r="J16" s="153">
        <f t="shared" si="3"/>
        <v>0</v>
      </c>
      <c r="K16" s="39">
        <f t="shared" si="3"/>
        <v>0</v>
      </c>
      <c r="L16" s="61">
        <f t="shared" si="3"/>
        <v>67292960</v>
      </c>
      <c r="M16" s="39">
        <f t="shared" si="3"/>
        <v>150082045</v>
      </c>
    </row>
    <row r="17" spans="1:13" x14ac:dyDescent="0.2">
      <c r="A17" s="9"/>
      <c r="B17" s="7"/>
      <c r="C17" s="6"/>
      <c r="D17" s="179"/>
      <c r="E17" s="179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34</v>
      </c>
      <c r="C18" s="6"/>
      <c r="D18" s="179"/>
      <c r="E18" s="179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176">
        <v>-39908254</v>
      </c>
      <c r="E19" s="176">
        <v>-87250857</v>
      </c>
      <c r="F19" s="60">
        <f>H19-D19</f>
        <v>0</v>
      </c>
      <c r="G19" s="37">
        <f>I19-E19</f>
        <v>0</v>
      </c>
      <c r="H19" s="65">
        <f t="shared" si="4"/>
        <v>-39908254</v>
      </c>
      <c r="I19" s="66">
        <f t="shared" si="4"/>
        <v>-87250857</v>
      </c>
      <c r="J19" s="37">
        <v>0</v>
      </c>
      <c r="K19" s="38">
        <v>0</v>
      </c>
      <c r="L19" s="60">
        <f t="shared" ref="L19:M23" si="5">H19+J19</f>
        <v>-39908254</v>
      </c>
      <c r="M19" s="38">
        <f t="shared" si="5"/>
        <v>-87250857</v>
      </c>
    </row>
    <row r="20" spans="1:13" x14ac:dyDescent="0.2">
      <c r="A20" s="9">
        <v>7</v>
      </c>
      <c r="B20" s="7"/>
      <c r="C20" s="18" t="s">
        <v>29</v>
      </c>
      <c r="D20" s="176">
        <v>0</v>
      </c>
      <c r="E20" s="17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176">
        <v>-28051566</v>
      </c>
      <c r="E21" s="176">
        <v>-62954183</v>
      </c>
      <c r="F21" s="60">
        <f t="shared" si="6"/>
        <v>0</v>
      </c>
      <c r="G21" s="37">
        <f t="shared" si="6"/>
        <v>0</v>
      </c>
      <c r="H21" s="65">
        <f t="shared" si="4"/>
        <v>-28051566</v>
      </c>
      <c r="I21" s="66">
        <f t="shared" si="4"/>
        <v>-62954183</v>
      </c>
      <c r="J21" s="37"/>
      <c r="K21" s="38"/>
      <c r="L21" s="60">
        <f t="shared" si="5"/>
        <v>-28051566</v>
      </c>
      <c r="M21" s="38">
        <f t="shared" si="5"/>
        <v>-62954183</v>
      </c>
    </row>
    <row r="22" spans="1:13" x14ac:dyDescent="0.2">
      <c r="A22" s="9">
        <v>9</v>
      </c>
      <c r="B22" s="7"/>
      <c r="C22" s="18" t="s">
        <v>31</v>
      </c>
      <c r="D22" s="176">
        <v>0</v>
      </c>
      <c r="E22" s="17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176">
        <v>267285</v>
      </c>
      <c r="E23" s="176">
        <v>584457</v>
      </c>
      <c r="F23" s="60">
        <f t="shared" si="6"/>
        <v>0</v>
      </c>
      <c r="G23" s="37">
        <f t="shared" si="6"/>
        <v>0</v>
      </c>
      <c r="H23" s="65">
        <f t="shared" si="4"/>
        <v>267285</v>
      </c>
      <c r="I23" s="66">
        <f t="shared" si="4"/>
        <v>584457</v>
      </c>
      <c r="J23" s="37"/>
      <c r="K23" s="38"/>
      <c r="L23" s="60">
        <f t="shared" si="5"/>
        <v>267285</v>
      </c>
      <c r="M23" s="38">
        <f t="shared" si="5"/>
        <v>584457</v>
      </c>
    </row>
    <row r="24" spans="1:13" x14ac:dyDescent="0.2">
      <c r="A24" s="9"/>
      <c r="B24" s="7" t="s">
        <v>36</v>
      </c>
      <c r="C24" s="6"/>
      <c r="D24" s="206">
        <v>-67692535</v>
      </c>
      <c r="E24" s="206">
        <v>-149620583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-67692535</v>
      </c>
      <c r="I24" s="39">
        <f>SUM(I19:I23)</f>
        <v>-149620583</v>
      </c>
      <c r="J24" s="153">
        <f t="shared" si="7"/>
        <v>0</v>
      </c>
      <c r="K24" s="39">
        <f t="shared" si="7"/>
        <v>0</v>
      </c>
      <c r="L24" s="61">
        <f t="shared" si="7"/>
        <v>-67692535</v>
      </c>
      <c r="M24" s="39">
        <f t="shared" si="7"/>
        <v>-149620583</v>
      </c>
    </row>
    <row r="25" spans="1:13" x14ac:dyDescent="0.2">
      <c r="A25" s="9"/>
      <c r="B25" s="7"/>
      <c r="C25" s="6"/>
      <c r="D25" s="179"/>
      <c r="E25" s="179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37</v>
      </c>
      <c r="C26" s="6"/>
      <c r="D26" s="179"/>
      <c r="E26" s="179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176">
        <v>0</v>
      </c>
      <c r="E27" s="17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176">
        <v>0</v>
      </c>
      <c r="E28" s="17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206">
        <v>0</v>
      </c>
      <c r="E29" s="20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9"/>
      <c r="E30" s="179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41</v>
      </c>
      <c r="C31" s="6"/>
      <c r="D31" s="179"/>
      <c r="E31" s="179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176">
        <v>3584373</v>
      </c>
      <c r="E32" s="176">
        <v>8423805</v>
      </c>
      <c r="F32" s="60">
        <f>H32-D32</f>
        <v>0</v>
      </c>
      <c r="G32" s="37">
        <f>I32-E32</f>
        <v>0</v>
      </c>
      <c r="H32" s="65">
        <f t="shared" ref="H32:I35" si="9">D32</f>
        <v>3584373</v>
      </c>
      <c r="I32" s="66">
        <f t="shared" si="9"/>
        <v>8423805</v>
      </c>
      <c r="J32" s="37"/>
      <c r="K32" s="38"/>
      <c r="L32" s="60">
        <f t="shared" ref="L32:M35" si="10">H32+J32</f>
        <v>3584373</v>
      </c>
      <c r="M32" s="38">
        <f t="shared" si="10"/>
        <v>8423805</v>
      </c>
    </row>
    <row r="33" spans="1:13" x14ac:dyDescent="0.2">
      <c r="A33" s="9">
        <v>14</v>
      </c>
      <c r="B33" s="7"/>
      <c r="C33" s="18" t="s">
        <v>43</v>
      </c>
      <c r="D33" s="176">
        <v>-3560162</v>
      </c>
      <c r="E33" s="176">
        <v>-8319759</v>
      </c>
      <c r="F33" s="60">
        <f t="shared" ref="F33:G35" si="11">H33-D33</f>
        <v>0</v>
      </c>
      <c r="G33" s="37">
        <f t="shared" si="11"/>
        <v>0</v>
      </c>
      <c r="H33" s="65">
        <f t="shared" si="9"/>
        <v>-3560162</v>
      </c>
      <c r="I33" s="66">
        <f t="shared" si="9"/>
        <v>-8319759</v>
      </c>
      <c r="J33" s="37"/>
      <c r="K33" s="38"/>
      <c r="L33" s="60">
        <f t="shared" si="10"/>
        <v>-3560162</v>
      </c>
      <c r="M33" s="38">
        <f t="shared" si="10"/>
        <v>-8319759</v>
      </c>
    </row>
    <row r="34" spans="1:13" x14ac:dyDescent="0.2">
      <c r="A34" s="9">
        <v>15</v>
      </c>
      <c r="B34" s="7"/>
      <c r="C34" s="18" t="s">
        <v>44</v>
      </c>
      <c r="D34" s="176">
        <v>0</v>
      </c>
      <c r="E34" s="17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176">
        <v>0</v>
      </c>
      <c r="E35" s="17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206">
        <v>24211</v>
      </c>
      <c r="E36" s="206">
        <v>104046</v>
      </c>
      <c r="F36" s="61">
        <f>SUM(F32:F35)</f>
        <v>0</v>
      </c>
      <c r="G36" s="39">
        <f>SUM(G32:G35)</f>
        <v>0</v>
      </c>
      <c r="H36" s="61">
        <f>SUM(H32:H35)</f>
        <v>24211</v>
      </c>
      <c r="I36" s="39">
        <f>SUM(I32:I35)</f>
        <v>104046</v>
      </c>
      <c r="J36" s="153">
        <f>SUM(J32:J34)</f>
        <v>0</v>
      </c>
      <c r="K36" s="39">
        <f>SUM(K32:K34)</f>
        <v>0</v>
      </c>
      <c r="L36" s="61">
        <f>SUM(L32:L35)</f>
        <v>24211</v>
      </c>
      <c r="M36" s="39">
        <f>SUM(M32:M35)</f>
        <v>104046</v>
      </c>
    </row>
    <row r="37" spans="1:13" x14ac:dyDescent="0.2">
      <c r="A37" s="9"/>
      <c r="B37" s="7"/>
      <c r="C37" s="6"/>
      <c r="D37" s="179"/>
      <c r="E37" s="179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179"/>
      <c r="E38" s="179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176">
        <v>533539</v>
      </c>
      <c r="E39" s="176">
        <v>866331</v>
      </c>
      <c r="F39" s="60">
        <f t="shared" ref="F39:G41" si="13">H39-D39</f>
        <v>0</v>
      </c>
      <c r="G39" s="37">
        <f t="shared" si="13"/>
        <v>0</v>
      </c>
      <c r="H39" s="65">
        <f t="shared" si="12"/>
        <v>533539</v>
      </c>
      <c r="I39" s="66">
        <f t="shared" si="12"/>
        <v>866331</v>
      </c>
      <c r="J39" s="37"/>
      <c r="K39" s="38"/>
      <c r="L39" s="60">
        <f t="shared" ref="L39:M41" si="14">H39+J39</f>
        <v>533539</v>
      </c>
      <c r="M39" s="38">
        <f t="shared" si="14"/>
        <v>866331</v>
      </c>
    </row>
    <row r="40" spans="1:13" ht="22.5" customHeight="1" x14ac:dyDescent="0.2">
      <c r="A40" s="9">
        <v>18</v>
      </c>
      <c r="B40" s="7"/>
      <c r="C40" s="18" t="s">
        <v>49</v>
      </c>
      <c r="D40" s="176">
        <v>-177299</v>
      </c>
      <c r="E40" s="176">
        <v>-126892</v>
      </c>
      <c r="F40" s="60">
        <f t="shared" si="13"/>
        <v>0</v>
      </c>
      <c r="G40" s="37">
        <f t="shared" si="13"/>
        <v>0</v>
      </c>
      <c r="H40" s="65">
        <f t="shared" si="12"/>
        <v>-177299</v>
      </c>
      <c r="I40" s="66">
        <f t="shared" si="12"/>
        <v>-126892</v>
      </c>
      <c r="J40" s="37"/>
      <c r="K40" s="38"/>
      <c r="L40" s="60">
        <f t="shared" si="14"/>
        <v>-177299</v>
      </c>
      <c r="M40" s="38">
        <f t="shared" si="14"/>
        <v>-126892</v>
      </c>
    </row>
    <row r="41" spans="1:13" x14ac:dyDescent="0.2">
      <c r="A41" s="9">
        <v>19</v>
      </c>
      <c r="B41" s="7"/>
      <c r="C41" s="18" t="s">
        <v>50</v>
      </c>
      <c r="D41" s="176">
        <v>0</v>
      </c>
      <c r="E41" s="17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206">
        <v>-177299</v>
      </c>
      <c r="E42" s="206">
        <v>-126892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-177299</v>
      </c>
      <c r="I42" s="39">
        <f>SUM(I40:I41)</f>
        <v>-126892</v>
      </c>
      <c r="J42" s="153">
        <f t="shared" si="15"/>
        <v>0</v>
      </c>
      <c r="K42" s="39">
        <f t="shared" si="15"/>
        <v>0</v>
      </c>
      <c r="L42" s="61">
        <f t="shared" si="15"/>
        <v>-177299</v>
      </c>
      <c r="M42" s="39">
        <f t="shared" si="15"/>
        <v>-126892</v>
      </c>
    </row>
    <row r="43" spans="1:13" ht="21" customHeight="1" x14ac:dyDescent="0.2">
      <c r="A43" s="9"/>
      <c r="B43" s="7" t="s">
        <v>52</v>
      </c>
      <c r="C43" s="6"/>
      <c r="D43" s="206">
        <v>356240</v>
      </c>
      <c r="E43" s="206">
        <v>739439</v>
      </c>
      <c r="F43" s="61">
        <f t="shared" ref="F43:M43" si="16">F42+F39</f>
        <v>0</v>
      </c>
      <c r="G43" s="39">
        <f t="shared" si="16"/>
        <v>0</v>
      </c>
      <c r="H43" s="61">
        <f>H42+H39</f>
        <v>356240</v>
      </c>
      <c r="I43" s="39">
        <f>I42+I39</f>
        <v>739439</v>
      </c>
      <c r="J43" s="153">
        <f t="shared" si="16"/>
        <v>0</v>
      </c>
      <c r="K43" s="39">
        <f t="shared" si="16"/>
        <v>0</v>
      </c>
      <c r="L43" s="61">
        <f t="shared" si="16"/>
        <v>356240</v>
      </c>
      <c r="M43" s="39">
        <f t="shared" si="16"/>
        <v>739439</v>
      </c>
    </row>
    <row r="44" spans="1:13" x14ac:dyDescent="0.2">
      <c r="A44" s="9"/>
      <c r="B44" s="7"/>
      <c r="C44" s="6"/>
      <c r="D44" s="179"/>
      <c r="E44" s="179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176">
        <v>0</v>
      </c>
      <c r="E45" s="17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9"/>
      <c r="E46" s="179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176">
        <v>0</v>
      </c>
      <c r="E47" s="17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9"/>
      <c r="E48" s="179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176">
        <v>19124</v>
      </c>
      <c r="E49" s="176">
        <v>41342.492687999998</v>
      </c>
      <c r="F49" s="60">
        <f>H49-D49</f>
        <v>0</v>
      </c>
      <c r="G49" s="37">
        <f>I49-E49</f>
        <v>0</v>
      </c>
      <c r="H49" s="65">
        <f>D49</f>
        <v>19124</v>
      </c>
      <c r="I49" s="66">
        <f>E49</f>
        <v>41342.492687999998</v>
      </c>
      <c r="J49" s="37"/>
      <c r="K49" s="38"/>
      <c r="L49" s="60">
        <f>H49+J49</f>
        <v>19124</v>
      </c>
      <c r="M49" s="38">
        <f>I49+K49</f>
        <v>41342.492687999998</v>
      </c>
    </row>
    <row r="50" spans="1:15" x14ac:dyDescent="0.2">
      <c r="A50" s="9"/>
      <c r="B50" s="7"/>
      <c r="C50" s="6"/>
      <c r="D50" s="179"/>
      <c r="E50" s="179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176">
        <v>-267285</v>
      </c>
      <c r="E51" s="176">
        <v>-584457</v>
      </c>
      <c r="F51" s="60">
        <f>H51-D51</f>
        <v>0</v>
      </c>
      <c r="G51" s="37">
        <f>I51-E51</f>
        <v>0</v>
      </c>
      <c r="H51" s="65">
        <f>D51</f>
        <v>-267285</v>
      </c>
      <c r="I51" s="66">
        <f>E51</f>
        <v>-584457</v>
      </c>
      <c r="J51" s="37"/>
      <c r="K51" s="38"/>
      <c r="L51" s="60">
        <f>H51+J51</f>
        <v>-267285</v>
      </c>
      <c r="M51" s="38">
        <f>I51+K51</f>
        <v>-584457</v>
      </c>
    </row>
    <row r="52" spans="1:15" x14ac:dyDescent="0.2">
      <c r="A52" s="9"/>
      <c r="B52" s="7"/>
      <c r="C52" s="6"/>
      <c r="D52" s="179"/>
      <c r="E52" s="179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57</v>
      </c>
      <c r="C53" s="6"/>
      <c r="D53" s="179"/>
      <c r="E53" s="179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176">
        <v>0</v>
      </c>
      <c r="E54" s="176">
        <v>-62043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-62043</v>
      </c>
      <c r="J54" s="37"/>
      <c r="K54" s="38"/>
      <c r="L54" s="60">
        <f>H54+J54</f>
        <v>0</v>
      </c>
      <c r="M54" s="38">
        <f>I54+K54</f>
        <v>-62043</v>
      </c>
    </row>
    <row r="55" spans="1:15" x14ac:dyDescent="0.2">
      <c r="A55" s="9">
        <v>25</v>
      </c>
      <c r="B55" s="7"/>
      <c r="C55" s="18" t="s">
        <v>59</v>
      </c>
      <c r="D55" s="176">
        <v>0</v>
      </c>
      <c r="E55" s="176">
        <v>-866359.73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-866359.73</v>
      </c>
      <c r="J55" s="37"/>
      <c r="K55" s="38"/>
      <c r="L55" s="60">
        <f>H55+J55</f>
        <v>0</v>
      </c>
      <c r="M55" s="38">
        <f>I55+K55</f>
        <v>-866359.73</v>
      </c>
    </row>
    <row r="56" spans="1:15" x14ac:dyDescent="0.2">
      <c r="A56" s="9"/>
      <c r="B56" s="7" t="s">
        <v>60</v>
      </c>
      <c r="C56" s="6"/>
      <c r="D56" s="206">
        <v>0</v>
      </c>
      <c r="E56" s="206">
        <v>-928402.73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-928402.73</v>
      </c>
      <c r="J56" s="15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-928402.73</v>
      </c>
    </row>
    <row r="57" spans="1:15" x14ac:dyDescent="0.2">
      <c r="A57" s="9"/>
      <c r="B57" s="7"/>
      <c r="C57" s="6"/>
      <c r="D57" s="179"/>
      <c r="E57" s="179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61</v>
      </c>
      <c r="C58" s="6"/>
      <c r="D58" s="179"/>
      <c r="E58" s="179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176">
        <v>0</v>
      </c>
      <c r="E59" s="17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176">
        <v>0</v>
      </c>
      <c r="E60" s="17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206">
        <v>0</v>
      </c>
      <c r="E61" s="20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9"/>
      <c r="E62" s="179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37</v>
      </c>
      <c r="C63" s="6"/>
      <c r="D63" s="179"/>
      <c r="E63" s="179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176">
        <v>0</v>
      </c>
      <c r="E64" s="17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176">
        <v>0</v>
      </c>
      <c r="E65" s="17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206">
        <v>0</v>
      </c>
      <c r="E66" s="20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9"/>
      <c r="E67" s="179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68</v>
      </c>
      <c r="C68" s="6"/>
      <c r="D68" s="179"/>
      <c r="E68" s="179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69</v>
      </c>
      <c r="D69" s="179"/>
      <c r="E69" s="179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70</v>
      </c>
      <c r="D70" s="176">
        <v>0</v>
      </c>
      <c r="E70" s="176">
        <v>1416533.1176470588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1416533.1176470588</v>
      </c>
      <c r="J70" s="37"/>
      <c r="K70" s="38"/>
      <c r="L70" s="60">
        <f t="shared" si="20"/>
        <v>0</v>
      </c>
      <c r="M70" s="38">
        <f t="shared" si="20"/>
        <v>1416533.1176470588</v>
      </c>
    </row>
    <row r="71" spans="1:13" x14ac:dyDescent="0.2">
      <c r="A71" s="9">
        <v>31</v>
      </c>
      <c r="B71" s="3"/>
      <c r="C71" s="10" t="s">
        <v>71</v>
      </c>
      <c r="D71" s="176">
        <v>0</v>
      </c>
      <c r="E71" s="176">
        <v>-827151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-827151</v>
      </c>
      <c r="J71" s="37"/>
      <c r="K71" s="38"/>
      <c r="L71" s="60">
        <f t="shared" si="20"/>
        <v>0</v>
      </c>
      <c r="M71" s="38">
        <f t="shared" si="20"/>
        <v>-827151</v>
      </c>
    </row>
    <row r="72" spans="1:13" x14ac:dyDescent="0.2">
      <c r="A72" s="9"/>
      <c r="B72" s="3"/>
      <c r="C72" s="55" t="s">
        <v>72</v>
      </c>
      <c r="D72" s="206">
        <v>0</v>
      </c>
      <c r="E72" s="206">
        <v>589382.1176470588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589382.1176470588</v>
      </c>
      <c r="J72" s="15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589382.1176470588</v>
      </c>
    </row>
    <row r="73" spans="1:13" x14ac:dyDescent="0.2">
      <c r="A73" s="9">
        <v>32</v>
      </c>
      <c r="B73" s="3"/>
      <c r="C73" s="10" t="s">
        <v>73</v>
      </c>
      <c r="D73" s="176">
        <v>0</v>
      </c>
      <c r="E73" s="176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74</v>
      </c>
      <c r="D74" s="176">
        <v>0</v>
      </c>
      <c r="E74" s="176">
        <v>378774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378774</v>
      </c>
      <c r="J74" s="37"/>
      <c r="K74" s="38"/>
      <c r="L74" s="60">
        <f t="shared" si="24"/>
        <v>0</v>
      </c>
      <c r="M74" s="38">
        <f t="shared" si="24"/>
        <v>378774</v>
      </c>
    </row>
    <row r="75" spans="1:13" x14ac:dyDescent="0.2">
      <c r="A75" s="9">
        <v>34</v>
      </c>
      <c r="B75" s="3"/>
      <c r="C75" s="10" t="s">
        <v>75</v>
      </c>
      <c r="D75" s="176">
        <v>0</v>
      </c>
      <c r="E75" s="176">
        <v>46887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46887</v>
      </c>
      <c r="J75" s="37"/>
      <c r="K75" s="38"/>
      <c r="L75" s="60">
        <f t="shared" si="24"/>
        <v>0</v>
      </c>
      <c r="M75" s="38">
        <f t="shared" si="24"/>
        <v>46887</v>
      </c>
    </row>
    <row r="76" spans="1:13" x14ac:dyDescent="0.2">
      <c r="A76" s="9">
        <v>35</v>
      </c>
      <c r="B76" s="3"/>
      <c r="C76" s="10" t="s">
        <v>76</v>
      </c>
      <c r="D76" s="176">
        <v>0</v>
      </c>
      <c r="E76" s="176">
        <v>-17958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-17958</v>
      </c>
      <c r="J76" s="37"/>
      <c r="K76" s="38"/>
      <c r="L76" s="60">
        <f t="shared" si="24"/>
        <v>0</v>
      </c>
      <c r="M76" s="38">
        <f t="shared" si="24"/>
        <v>-17958</v>
      </c>
    </row>
    <row r="77" spans="1:13" x14ac:dyDescent="0.2">
      <c r="A77" s="9">
        <v>36</v>
      </c>
      <c r="B77" s="3"/>
      <c r="C77" s="10" t="s">
        <v>77</v>
      </c>
      <c r="D77" s="176">
        <v>0</v>
      </c>
      <c r="E77" s="176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78</v>
      </c>
      <c r="D78" s="176">
        <v>0</v>
      </c>
      <c r="E78" s="176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79</v>
      </c>
      <c r="D79" s="176">
        <v>0</v>
      </c>
      <c r="E79" s="176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80</v>
      </c>
      <c r="D80" s="176">
        <v>0</v>
      </c>
      <c r="E80" s="176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81</v>
      </c>
      <c r="D81" s="176">
        <v>0</v>
      </c>
      <c r="E81" s="176">
        <v>-322205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6">
        <f t="shared" si="23"/>
        <v>-322205</v>
      </c>
      <c r="J81" s="37"/>
      <c r="K81" s="38"/>
      <c r="L81" s="60">
        <f t="shared" si="24"/>
        <v>0</v>
      </c>
      <c r="M81" s="38">
        <f t="shared" si="24"/>
        <v>-322205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167">
        <f>SUM(E72:E81)+E16+E24+E29+E36+E43+E45+E47+E49+E51+E56+E61+E66</f>
        <v>508309.8803350518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508309.8803350518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508309.8803350518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8" sqref="E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78882482</v>
      </c>
      <c r="E11" s="38">
        <v>178759572.94999999</v>
      </c>
      <c r="F11" s="60">
        <f>H11-D11</f>
        <v>0</v>
      </c>
      <c r="G11" s="37">
        <f>I11-E11</f>
        <v>0</v>
      </c>
      <c r="H11" s="65">
        <f>D11</f>
        <v>78882482</v>
      </c>
      <c r="I11" s="66">
        <f>E11</f>
        <v>178759572.94999999</v>
      </c>
      <c r="J11" s="60"/>
      <c r="K11" s="38"/>
      <c r="L11" s="60">
        <f t="shared" ref="L11:M15" si="0">H11+J11</f>
        <v>78882482</v>
      </c>
      <c r="M11" s="38">
        <f t="shared" si="0"/>
        <v>178759572.94999999</v>
      </c>
    </row>
    <row r="12" spans="1:26" x14ac:dyDescent="0.2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0">
        <v>39490195</v>
      </c>
      <c r="E13" s="38">
        <v>90588362</v>
      </c>
      <c r="F13" s="60">
        <f t="shared" si="1"/>
        <v>0</v>
      </c>
      <c r="G13" s="37">
        <f t="shared" si="1"/>
        <v>0</v>
      </c>
      <c r="H13" s="65">
        <f t="shared" si="2"/>
        <v>39490195</v>
      </c>
      <c r="I13" s="66">
        <f t="shared" si="2"/>
        <v>90588362</v>
      </c>
      <c r="J13" s="60"/>
      <c r="K13" s="38"/>
      <c r="L13" s="60">
        <f t="shared" si="0"/>
        <v>39490195</v>
      </c>
      <c r="M13" s="38">
        <f t="shared" si="0"/>
        <v>90588362</v>
      </c>
    </row>
    <row r="14" spans="1:26" x14ac:dyDescent="0.2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118372677</v>
      </c>
      <c r="E16" s="39">
        <v>269347934.94999999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118372677</v>
      </c>
      <c r="I16" s="39">
        <f>SUM(I11:I15)</f>
        <v>269347934.94999999</v>
      </c>
      <c r="J16" s="61">
        <f t="shared" si="3"/>
        <v>0</v>
      </c>
      <c r="K16" s="39">
        <f t="shared" si="3"/>
        <v>0</v>
      </c>
      <c r="L16" s="61">
        <f t="shared" si="3"/>
        <v>118372677</v>
      </c>
      <c r="M16" s="39">
        <f t="shared" si="3"/>
        <v>269347934.94999999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0">
        <v>-76531836</v>
      </c>
      <c r="E19" s="38">
        <v>-171439613</v>
      </c>
      <c r="F19" s="60">
        <f>H19-D19</f>
        <v>0</v>
      </c>
      <c r="G19" s="37">
        <f>I19-E19</f>
        <v>0</v>
      </c>
      <c r="H19" s="65">
        <f t="shared" si="4"/>
        <v>-76531836</v>
      </c>
      <c r="I19" s="66">
        <f t="shared" si="4"/>
        <v>-171439613</v>
      </c>
      <c r="J19" s="60"/>
      <c r="K19" s="38"/>
      <c r="L19" s="60">
        <f t="shared" ref="L19:M23" si="5">H19+J19</f>
        <v>-76531836</v>
      </c>
      <c r="M19" s="38">
        <f t="shared" si="5"/>
        <v>-171439613</v>
      </c>
    </row>
    <row r="20" spans="1:13" x14ac:dyDescent="0.2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0">
        <v>-43028500</v>
      </c>
      <c r="E21" s="38">
        <v>-99490756</v>
      </c>
      <c r="F21" s="60">
        <f t="shared" si="6"/>
        <v>0</v>
      </c>
      <c r="G21" s="37">
        <f t="shared" si="6"/>
        <v>0</v>
      </c>
      <c r="H21" s="65">
        <f t="shared" si="4"/>
        <v>-43028500</v>
      </c>
      <c r="I21" s="66">
        <f t="shared" si="4"/>
        <v>-99490756</v>
      </c>
      <c r="J21" s="60"/>
      <c r="K21" s="38"/>
      <c r="L21" s="60">
        <f t="shared" si="5"/>
        <v>-43028500</v>
      </c>
      <c r="M21" s="38">
        <f t="shared" si="5"/>
        <v>-99490756</v>
      </c>
    </row>
    <row r="22" spans="1:13" x14ac:dyDescent="0.2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0">
        <v>133867</v>
      </c>
      <c r="E23" s="38">
        <v>303086</v>
      </c>
      <c r="F23" s="60">
        <f t="shared" si="6"/>
        <v>0</v>
      </c>
      <c r="G23" s="37">
        <f t="shared" si="6"/>
        <v>0</v>
      </c>
      <c r="H23" s="65">
        <f t="shared" si="4"/>
        <v>133867</v>
      </c>
      <c r="I23" s="66">
        <f t="shared" si="4"/>
        <v>303086</v>
      </c>
      <c r="J23" s="60"/>
      <c r="K23" s="38"/>
      <c r="L23" s="60">
        <f t="shared" si="5"/>
        <v>133867</v>
      </c>
      <c r="M23" s="38">
        <f t="shared" si="5"/>
        <v>303086</v>
      </c>
    </row>
    <row r="24" spans="1:13" x14ac:dyDescent="0.2">
      <c r="A24" s="9"/>
      <c r="B24" s="7" t="s">
        <v>36</v>
      </c>
      <c r="C24" s="6"/>
      <c r="D24" s="61">
        <v>-119426469</v>
      </c>
      <c r="E24" s="39">
        <v>-270627283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-119426469</v>
      </c>
      <c r="I24" s="39">
        <f>SUM(I19:I23)</f>
        <v>-270627283</v>
      </c>
      <c r="J24" s="61">
        <f t="shared" si="7"/>
        <v>0</v>
      </c>
      <c r="K24" s="39">
        <f t="shared" si="7"/>
        <v>0</v>
      </c>
      <c r="L24" s="61">
        <f t="shared" si="7"/>
        <v>-119426469</v>
      </c>
      <c r="M24" s="39">
        <f t="shared" si="7"/>
        <v>-270627283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0">
        <v>525505</v>
      </c>
      <c r="E32" s="38">
        <v>1238528</v>
      </c>
      <c r="F32" s="60">
        <f>H32-D32</f>
        <v>0</v>
      </c>
      <c r="G32" s="37">
        <f>I32-E32</f>
        <v>0</v>
      </c>
      <c r="H32" s="65">
        <f t="shared" ref="H32:I35" si="9">D32</f>
        <v>525505</v>
      </c>
      <c r="I32" s="66">
        <f t="shared" si="9"/>
        <v>1238528</v>
      </c>
      <c r="J32" s="60"/>
      <c r="K32" s="38"/>
      <c r="L32" s="60">
        <f t="shared" ref="L32:M35" si="10">H32+J32</f>
        <v>525505</v>
      </c>
      <c r="M32" s="38">
        <f t="shared" si="10"/>
        <v>1238528</v>
      </c>
    </row>
    <row r="33" spans="1:13" x14ac:dyDescent="0.2">
      <c r="A33" s="9">
        <v>14</v>
      </c>
      <c r="B33" s="7"/>
      <c r="C33" s="18" t="s">
        <v>43</v>
      </c>
      <c r="D33" s="60">
        <v>-572495</v>
      </c>
      <c r="E33" s="38">
        <v>-1346346</v>
      </c>
      <c r="F33" s="60">
        <f t="shared" ref="F33:G35" si="11">H33-D33</f>
        <v>0</v>
      </c>
      <c r="G33" s="37">
        <f t="shared" si="11"/>
        <v>0</v>
      </c>
      <c r="H33" s="65">
        <f t="shared" si="9"/>
        <v>-572495</v>
      </c>
      <c r="I33" s="66">
        <f t="shared" si="9"/>
        <v>-1346346</v>
      </c>
      <c r="J33" s="60"/>
      <c r="K33" s="38"/>
      <c r="L33" s="60">
        <f t="shared" si="10"/>
        <v>-572495</v>
      </c>
      <c r="M33" s="38">
        <f t="shared" si="10"/>
        <v>-1346346</v>
      </c>
    </row>
    <row r="34" spans="1:13" x14ac:dyDescent="0.2">
      <c r="A34" s="9">
        <v>15</v>
      </c>
      <c r="B34" s="7"/>
      <c r="C34" s="18" t="s">
        <v>44</v>
      </c>
      <c r="D34" s="60">
        <v>352983</v>
      </c>
      <c r="E34" s="38">
        <v>794701</v>
      </c>
      <c r="F34" s="60">
        <f t="shared" si="11"/>
        <v>0</v>
      </c>
      <c r="G34" s="37">
        <f t="shared" si="11"/>
        <v>0</v>
      </c>
      <c r="H34" s="65">
        <f t="shared" si="9"/>
        <v>352983</v>
      </c>
      <c r="I34" s="66">
        <f t="shared" si="9"/>
        <v>794701</v>
      </c>
      <c r="J34" s="60"/>
      <c r="K34" s="38"/>
      <c r="L34" s="60">
        <f t="shared" si="10"/>
        <v>352983</v>
      </c>
      <c r="M34" s="38">
        <f t="shared" si="10"/>
        <v>794701</v>
      </c>
    </row>
    <row r="35" spans="1:13" x14ac:dyDescent="0.2">
      <c r="A35" s="9">
        <v>16</v>
      </c>
      <c r="B35" s="7"/>
      <c r="C35" s="18" t="s">
        <v>45</v>
      </c>
      <c r="D35" s="60">
        <v>-113080</v>
      </c>
      <c r="E35" s="38">
        <v>-254388</v>
      </c>
      <c r="F35" s="60">
        <f t="shared" si="11"/>
        <v>0</v>
      </c>
      <c r="G35" s="37">
        <f t="shared" si="11"/>
        <v>0</v>
      </c>
      <c r="H35" s="65">
        <f t="shared" si="9"/>
        <v>-113080</v>
      </c>
      <c r="I35" s="66">
        <f t="shared" si="9"/>
        <v>-254388</v>
      </c>
      <c r="J35" s="60"/>
      <c r="K35" s="38"/>
      <c r="L35" s="60">
        <f t="shared" si="10"/>
        <v>-113080</v>
      </c>
      <c r="M35" s="38">
        <f t="shared" si="10"/>
        <v>-254388</v>
      </c>
    </row>
    <row r="36" spans="1:13" x14ac:dyDescent="0.2">
      <c r="A36" s="9"/>
      <c r="B36" s="7" t="s">
        <v>46</v>
      </c>
      <c r="C36" s="6"/>
      <c r="D36" s="61">
        <v>192913</v>
      </c>
      <c r="E36" s="39">
        <v>432495</v>
      </c>
      <c r="F36" s="61">
        <f>SUM(F32:F35)</f>
        <v>0</v>
      </c>
      <c r="G36" s="39">
        <f>SUM(G32:G35)</f>
        <v>0</v>
      </c>
      <c r="H36" s="61">
        <f>SUM(H32:H35)</f>
        <v>192913</v>
      </c>
      <c r="I36" s="39">
        <f>SUM(I32:I35)</f>
        <v>432495</v>
      </c>
      <c r="J36" s="61">
        <f>SUM(J32:J34)</f>
        <v>0</v>
      </c>
      <c r="K36" s="39">
        <f>SUM(K32:K34)</f>
        <v>0</v>
      </c>
      <c r="L36" s="61">
        <f>SUM(L32:L35)</f>
        <v>192913</v>
      </c>
      <c r="M36" s="39">
        <f>SUM(M32:M35)</f>
        <v>432495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49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50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52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0">
        <v>920879</v>
      </c>
      <c r="E49" s="38">
        <v>2032598.1970115157</v>
      </c>
      <c r="F49" s="60">
        <f>H49-D49</f>
        <v>0</v>
      </c>
      <c r="G49" s="37">
        <f>I49-E49</f>
        <v>0</v>
      </c>
      <c r="H49" s="65">
        <f>D49</f>
        <v>920879</v>
      </c>
      <c r="I49" s="66">
        <f>E49</f>
        <v>2032598.1970115157</v>
      </c>
      <c r="J49" s="60"/>
      <c r="K49" s="38"/>
      <c r="L49" s="60">
        <f>H49+J49</f>
        <v>920879</v>
      </c>
      <c r="M49" s="38">
        <f>I49+K49</f>
        <v>2032598.1970115157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0">
        <v>-133867</v>
      </c>
      <c r="E51" s="38">
        <v>-303086</v>
      </c>
      <c r="F51" s="60">
        <f>H51-D51</f>
        <v>0</v>
      </c>
      <c r="G51" s="37">
        <f>I51-E51</f>
        <v>0</v>
      </c>
      <c r="H51" s="65">
        <f>D51</f>
        <v>-133867</v>
      </c>
      <c r="I51" s="66">
        <f>E51</f>
        <v>-303086</v>
      </c>
      <c r="J51" s="60"/>
      <c r="K51" s="38"/>
      <c r="L51" s="60">
        <f>H51+J51</f>
        <v>-133867</v>
      </c>
      <c r="M51" s="38">
        <f>I51+K51</f>
        <v>-303086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0">
        <v>0</v>
      </c>
      <c r="E54" s="38">
        <v>-451779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-451779</v>
      </c>
      <c r="J54" s="60"/>
      <c r="K54" s="38"/>
      <c r="L54" s="60">
        <f>H54+J54</f>
        <v>0</v>
      </c>
      <c r="M54" s="38">
        <f>I54+K54</f>
        <v>-451779</v>
      </c>
    </row>
    <row r="55" spans="1:15" x14ac:dyDescent="0.2">
      <c r="A55" s="9">
        <v>25</v>
      </c>
      <c r="B55" s="7"/>
      <c r="C55" s="18" t="s">
        <v>59</v>
      </c>
      <c r="D55" s="60">
        <v>0</v>
      </c>
      <c r="E55" s="38">
        <v>-434058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-434058</v>
      </c>
      <c r="J55" s="60"/>
      <c r="K55" s="38"/>
      <c r="L55" s="60">
        <f>H55+J55</f>
        <v>0</v>
      </c>
      <c r="M55" s="38">
        <f>I55+K55</f>
        <v>-434058</v>
      </c>
    </row>
    <row r="56" spans="1:15" x14ac:dyDescent="0.2">
      <c r="A56" s="9"/>
      <c r="B56" s="7" t="s">
        <v>60</v>
      </c>
      <c r="C56" s="6"/>
      <c r="D56" s="61">
        <v>0</v>
      </c>
      <c r="E56" s="39">
        <v>-885837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-885837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-885837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">
      <c r="A61" s="9"/>
      <c r="B61" s="62" t="s">
        <v>64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0">
        <v>0</v>
      </c>
      <c r="E64" s="38">
        <v>68597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68597</v>
      </c>
      <c r="J64" s="60"/>
      <c r="K64" s="38"/>
      <c r="L64" s="60">
        <f>H64+J64</f>
        <v>0</v>
      </c>
      <c r="M64" s="38">
        <f>I64+K64</f>
        <v>68597</v>
      </c>
    </row>
    <row r="65" spans="1:13" x14ac:dyDescent="0.2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68597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68597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68597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0">
        <v>0</v>
      </c>
      <c r="E70" s="38">
        <v>5679557.9450000003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5679557.9450000003</v>
      </c>
      <c r="J70" s="60"/>
      <c r="K70" s="38"/>
      <c r="L70" s="60">
        <f>H70+J70</f>
        <v>0</v>
      </c>
      <c r="M70" s="38">
        <f>I70+K70</f>
        <v>5679557.9450000003</v>
      </c>
    </row>
    <row r="71" spans="1:13" x14ac:dyDescent="0.2">
      <c r="A71" s="9">
        <v>31</v>
      </c>
      <c r="B71" s="3"/>
      <c r="C71" s="10" t="s">
        <v>71</v>
      </c>
      <c r="D71" s="60">
        <v>0</v>
      </c>
      <c r="E71" s="38">
        <v>-2849704.85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-2849704.85</v>
      </c>
      <c r="J71" s="60"/>
      <c r="K71" s="38"/>
      <c r="L71" s="60">
        <f>H71+J71</f>
        <v>0</v>
      </c>
      <c r="M71" s="38">
        <f>I71+K71</f>
        <v>-2849704.85</v>
      </c>
    </row>
    <row r="72" spans="1:13" x14ac:dyDescent="0.2">
      <c r="A72" s="9"/>
      <c r="B72" s="3"/>
      <c r="C72" s="55" t="s">
        <v>72</v>
      </c>
      <c r="D72" s="61">
        <v>0</v>
      </c>
      <c r="E72" s="39">
        <v>2829853.0950000002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2829853.0950000002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2829853.0950000002</v>
      </c>
    </row>
    <row r="73" spans="1:13" x14ac:dyDescent="0.2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0">
        <v>0</v>
      </c>
      <c r="E74" s="38">
        <v>-1040060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-1040060</v>
      </c>
      <c r="J74" s="60"/>
      <c r="K74" s="38"/>
      <c r="L74" s="60">
        <f t="shared" si="22"/>
        <v>0</v>
      </c>
      <c r="M74" s="38">
        <f t="shared" si="22"/>
        <v>-1040060</v>
      </c>
    </row>
    <row r="75" spans="1:13" x14ac:dyDescent="0.2">
      <c r="A75" s="9">
        <v>34</v>
      </c>
      <c r="B75" s="3"/>
      <c r="C75" s="10" t="s">
        <v>75</v>
      </c>
      <c r="D75" s="60">
        <v>0</v>
      </c>
      <c r="E75" s="38">
        <v>17993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17993</v>
      </c>
      <c r="J75" s="60"/>
      <c r="K75" s="38"/>
      <c r="L75" s="60">
        <f t="shared" si="22"/>
        <v>0</v>
      </c>
      <c r="M75" s="38">
        <f t="shared" si="22"/>
        <v>17993</v>
      </c>
    </row>
    <row r="76" spans="1:13" x14ac:dyDescent="0.2">
      <c r="A76" s="9">
        <v>35</v>
      </c>
      <c r="B76" s="3"/>
      <c r="C76" s="10" t="s">
        <v>76</v>
      </c>
      <c r="D76" s="60">
        <v>0</v>
      </c>
      <c r="E76" s="38">
        <v>-19109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-19109</v>
      </c>
      <c r="J76" s="60"/>
      <c r="K76" s="38"/>
      <c r="L76" s="60">
        <f t="shared" si="22"/>
        <v>0</v>
      </c>
      <c r="M76" s="38">
        <f t="shared" si="22"/>
        <v>-19109</v>
      </c>
    </row>
    <row r="77" spans="1:13" x14ac:dyDescent="0.2">
      <c r="A77" s="9">
        <v>36</v>
      </c>
      <c r="B77" s="3"/>
      <c r="C77" s="10" t="s">
        <v>77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">
      <c r="A78" s="9">
        <v>37</v>
      </c>
      <c r="B78" s="3"/>
      <c r="C78" s="10" t="s">
        <v>78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81</v>
      </c>
      <c r="D81" s="60">
        <v>0</v>
      </c>
      <c r="E81" s="38">
        <v>-2667035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-2667035</v>
      </c>
      <c r="J81" s="60"/>
      <c r="K81" s="38"/>
      <c r="L81" s="60">
        <f t="shared" si="22"/>
        <v>0</v>
      </c>
      <c r="M81" s="38">
        <f t="shared" si="22"/>
        <v>-2667035</v>
      </c>
    </row>
    <row r="82" spans="1:67" s="44" customFormat="1" ht="20.25" customHeight="1" thickBot="1" x14ac:dyDescent="0.25">
      <c r="A82" s="40"/>
      <c r="B82" s="41"/>
      <c r="C82" s="42" t="s">
        <v>179</v>
      </c>
      <c r="D82" s="168">
        <f>D16+D24+D29+D36+D43+D45+D47+D49</f>
        <v>60000</v>
      </c>
      <c r="E82" s="167">
        <f>SUM(E72:E81)+E16+E24+E29+E36+E43+E45+E47+E49+E51+E56+E61+E66</f>
        <v>2025291.3170115249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5">
        <f>SUM(I72:I81)+I16+I24+I29+I36+I43+I45+I47+I49+I51+I56+I61+I66</f>
        <v>2025291.3170115249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2025291.3170115249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174</v>
      </c>
      <c r="B85" s="3"/>
      <c r="K85" s="45"/>
    </row>
    <row r="86" spans="1:67" s="3" customFormat="1" x14ac:dyDescent="0.2">
      <c r="A86" s="174"/>
      <c r="C86" s="10" t="s">
        <v>177</v>
      </c>
      <c r="D86" s="178">
        <v>0</v>
      </c>
      <c r="E86" s="178">
        <v>219364</v>
      </c>
      <c r="F86" s="178">
        <v>0</v>
      </c>
      <c r="G86" s="178">
        <v>0</v>
      </c>
      <c r="H86" s="178">
        <f t="shared" ref="H86:I88" si="24">D86</f>
        <v>0</v>
      </c>
      <c r="I86" s="178">
        <f t="shared" si="24"/>
        <v>219364</v>
      </c>
      <c r="J86" s="178">
        <v>0</v>
      </c>
      <c r="K86" s="178">
        <v>0</v>
      </c>
      <c r="L86" s="178">
        <f t="shared" ref="L86:M88" si="25">H86</f>
        <v>0</v>
      </c>
      <c r="M86" s="178">
        <f t="shared" si="25"/>
        <v>219364</v>
      </c>
    </row>
    <row r="87" spans="1:67" s="3" customFormat="1" x14ac:dyDescent="0.2">
      <c r="A87" s="174"/>
      <c r="C87" s="10" t="s">
        <v>74</v>
      </c>
      <c r="D87" s="179">
        <v>0</v>
      </c>
      <c r="E87" s="179">
        <v>0</v>
      </c>
      <c r="F87" s="179">
        <v>0</v>
      </c>
      <c r="G87" s="179">
        <v>0</v>
      </c>
      <c r="H87" s="179">
        <f t="shared" si="24"/>
        <v>0</v>
      </c>
      <c r="I87" s="179">
        <f t="shared" si="24"/>
        <v>0</v>
      </c>
      <c r="J87" s="179">
        <v>0</v>
      </c>
      <c r="K87" s="179">
        <v>0</v>
      </c>
      <c r="L87" s="179">
        <f t="shared" si="25"/>
        <v>0</v>
      </c>
      <c r="M87" s="179">
        <f t="shared" si="25"/>
        <v>0</v>
      </c>
    </row>
    <row r="88" spans="1:67" s="3" customFormat="1" x14ac:dyDescent="0.2">
      <c r="A88" s="174"/>
      <c r="C88" s="10" t="s">
        <v>75</v>
      </c>
      <c r="D88" s="180">
        <v>0</v>
      </c>
      <c r="E88" s="180">
        <v>0</v>
      </c>
      <c r="F88" s="180">
        <v>0</v>
      </c>
      <c r="G88" s="180">
        <v>0</v>
      </c>
      <c r="H88" s="180">
        <f t="shared" si="24"/>
        <v>0</v>
      </c>
      <c r="I88" s="180">
        <f t="shared" si="24"/>
        <v>0</v>
      </c>
      <c r="J88" s="180">
        <v>0</v>
      </c>
      <c r="K88" s="180">
        <v>0</v>
      </c>
      <c r="L88" s="180">
        <f t="shared" si="25"/>
        <v>0</v>
      </c>
      <c r="M88" s="180">
        <f t="shared" si="25"/>
        <v>0</v>
      </c>
    </row>
    <row r="89" spans="1:67" s="44" customFormat="1" ht="20.25" customHeight="1" x14ac:dyDescent="0.2">
      <c r="A89" s="181"/>
      <c r="B89" s="182"/>
      <c r="C89" s="183" t="s">
        <v>180</v>
      </c>
      <c r="D89" s="186">
        <f>SUM(D86:D88)</f>
        <v>0</v>
      </c>
      <c r="E89" s="186">
        <f t="shared" ref="E89:M89" si="26">SUM(E86:E88)</f>
        <v>219364</v>
      </c>
      <c r="F89" s="186">
        <f t="shared" si="26"/>
        <v>0</v>
      </c>
      <c r="G89" s="186">
        <f t="shared" si="26"/>
        <v>0</v>
      </c>
      <c r="H89" s="186">
        <f t="shared" si="26"/>
        <v>0</v>
      </c>
      <c r="I89" s="186">
        <f t="shared" si="26"/>
        <v>219364</v>
      </c>
      <c r="J89" s="186">
        <f t="shared" si="26"/>
        <v>0</v>
      </c>
      <c r="K89" s="186">
        <f t="shared" si="26"/>
        <v>0</v>
      </c>
      <c r="L89" s="186">
        <f t="shared" si="26"/>
        <v>0</v>
      </c>
      <c r="M89" s="186">
        <f t="shared" si="26"/>
        <v>219364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178</v>
      </c>
      <c r="D91" s="186">
        <f>+D82+D89</f>
        <v>60000</v>
      </c>
      <c r="E91" s="186">
        <f t="shared" ref="E91:M91" si="27">+E82+E89</f>
        <v>2244655.3170115249</v>
      </c>
      <c r="F91" s="186">
        <f t="shared" si="27"/>
        <v>0</v>
      </c>
      <c r="G91" s="186">
        <f t="shared" si="27"/>
        <v>0</v>
      </c>
      <c r="H91" s="186">
        <f t="shared" si="27"/>
        <v>60000</v>
      </c>
      <c r="I91" s="186">
        <f t="shared" si="27"/>
        <v>2244655.3170115249</v>
      </c>
      <c r="J91" s="186">
        <f t="shared" si="27"/>
        <v>0</v>
      </c>
      <c r="K91" s="186">
        <f t="shared" si="27"/>
        <v>0</v>
      </c>
      <c r="L91" s="186">
        <f t="shared" si="27"/>
        <v>60000</v>
      </c>
      <c r="M91" s="186">
        <f t="shared" si="27"/>
        <v>2244655.3170115249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v>11184016</v>
      </c>
      <c r="E11" s="65">
        <v>25440090.050000001</v>
      </c>
      <c r="F11" s="65">
        <f>H11-D11</f>
        <v>0</v>
      </c>
      <c r="G11" s="63">
        <f>I11-E11</f>
        <v>0</v>
      </c>
      <c r="H11" s="65">
        <f>D11</f>
        <v>11184016</v>
      </c>
      <c r="I11" s="66">
        <f>E11</f>
        <v>25440090.050000001</v>
      </c>
      <c r="J11" s="60"/>
      <c r="K11" s="38"/>
      <c r="L11" s="60">
        <f t="shared" ref="L11:M15" si="0">H11+J11</f>
        <v>11184016</v>
      </c>
      <c r="M11" s="38">
        <f t="shared" si="0"/>
        <v>25440090.050000001</v>
      </c>
    </row>
    <row r="12" spans="1:26" x14ac:dyDescent="0.2">
      <c r="A12" s="9">
        <v>2</v>
      </c>
      <c r="B12" s="7"/>
      <c r="C12" s="18" t="s">
        <v>29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31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v>11184016</v>
      </c>
      <c r="E16" s="39">
        <v>25440090.050000001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11184016</v>
      </c>
      <c r="I16" s="39">
        <f>SUM(I11:I15)</f>
        <v>25440090.050000001</v>
      </c>
      <c r="J16" s="61">
        <f t="shared" si="3"/>
        <v>0</v>
      </c>
      <c r="K16" s="39">
        <f t="shared" si="3"/>
        <v>0</v>
      </c>
      <c r="L16" s="61">
        <f t="shared" si="3"/>
        <v>11184016</v>
      </c>
      <c r="M16" s="39">
        <f t="shared" si="3"/>
        <v>25440090.050000001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v>-11095958</v>
      </c>
      <c r="E19" s="65">
        <v>-25412684</v>
      </c>
      <c r="F19" s="65">
        <f>H19-D19</f>
        <v>0</v>
      </c>
      <c r="G19" s="63">
        <f>I19-E19</f>
        <v>0</v>
      </c>
      <c r="H19" s="65">
        <f t="shared" si="4"/>
        <v>-11095958</v>
      </c>
      <c r="I19" s="66">
        <f t="shared" si="4"/>
        <v>-25412684</v>
      </c>
      <c r="J19" s="60"/>
      <c r="K19" s="38"/>
      <c r="L19" s="60">
        <f t="shared" ref="L19:M23" si="5">H19+J19</f>
        <v>-11095958</v>
      </c>
      <c r="M19" s="38">
        <f t="shared" si="5"/>
        <v>-25412684</v>
      </c>
    </row>
    <row r="20" spans="1:13" x14ac:dyDescent="0.2">
      <c r="A20" s="9">
        <v>7</v>
      </c>
      <c r="B20" s="7"/>
      <c r="C20" s="18" t="s">
        <v>29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30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31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35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36</v>
      </c>
      <c r="C24" s="6"/>
      <c r="D24" s="61">
        <v>-11095958</v>
      </c>
      <c r="E24" s="39">
        <v>-25412684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-11095958</v>
      </c>
      <c r="I24" s="39">
        <f>SUM(I19:I23)</f>
        <v>-25412684</v>
      </c>
      <c r="J24" s="61">
        <f t="shared" si="7"/>
        <v>0</v>
      </c>
      <c r="K24" s="39">
        <f t="shared" si="7"/>
        <v>0</v>
      </c>
      <c r="L24" s="61">
        <f t="shared" si="7"/>
        <v>-11095958</v>
      </c>
      <c r="M24" s="39">
        <f t="shared" si="7"/>
        <v>-25412684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43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44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45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46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v>913477</v>
      </c>
      <c r="E39" s="65">
        <v>2037051</v>
      </c>
      <c r="F39" s="65">
        <f t="shared" ref="F39:G41" si="13">H39-D39</f>
        <v>0</v>
      </c>
      <c r="G39" s="63">
        <f t="shared" si="13"/>
        <v>0</v>
      </c>
      <c r="H39" s="65">
        <f t="shared" si="12"/>
        <v>913477</v>
      </c>
      <c r="I39" s="66">
        <f t="shared" si="12"/>
        <v>2037051</v>
      </c>
      <c r="J39" s="60"/>
      <c r="K39" s="38"/>
      <c r="L39" s="60">
        <f t="shared" ref="L39:M41" si="14">H39+J39</f>
        <v>913477</v>
      </c>
      <c r="M39" s="38">
        <f t="shared" si="14"/>
        <v>2037051</v>
      </c>
    </row>
    <row r="40" spans="1:13" ht="22.5" customHeight="1" x14ac:dyDescent="0.2">
      <c r="A40" s="9">
        <v>18</v>
      </c>
      <c r="B40" s="7"/>
      <c r="C40" s="18" t="s">
        <v>49</v>
      </c>
      <c r="D40" s="65">
        <v>-244706</v>
      </c>
      <c r="E40" s="65">
        <v>-545695</v>
      </c>
      <c r="F40" s="65">
        <f t="shared" si="13"/>
        <v>0</v>
      </c>
      <c r="G40" s="63">
        <f t="shared" si="13"/>
        <v>0</v>
      </c>
      <c r="H40" s="65">
        <f t="shared" si="12"/>
        <v>-244706</v>
      </c>
      <c r="I40" s="66">
        <f t="shared" si="12"/>
        <v>-545695</v>
      </c>
      <c r="J40" s="60"/>
      <c r="K40" s="38"/>
      <c r="L40" s="60">
        <f t="shared" si="14"/>
        <v>-244706</v>
      </c>
      <c r="M40" s="38">
        <f t="shared" si="14"/>
        <v>-545695</v>
      </c>
    </row>
    <row r="41" spans="1:13" x14ac:dyDescent="0.2">
      <c r="A41" s="9">
        <v>19</v>
      </c>
      <c r="B41" s="7"/>
      <c r="C41" s="18" t="s">
        <v>50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51</v>
      </c>
      <c r="D42" s="61">
        <v>-244706</v>
      </c>
      <c r="E42" s="39">
        <v>-545695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-244706</v>
      </c>
      <c r="I42" s="39">
        <f>SUM(I40:I41)</f>
        <v>-545695</v>
      </c>
      <c r="J42" s="61">
        <f t="shared" si="15"/>
        <v>0</v>
      </c>
      <c r="K42" s="39">
        <f t="shared" si="15"/>
        <v>0</v>
      </c>
      <c r="L42" s="61">
        <f t="shared" si="15"/>
        <v>-244706</v>
      </c>
      <c r="M42" s="39">
        <f t="shared" si="15"/>
        <v>-545695</v>
      </c>
    </row>
    <row r="43" spans="1:13" ht="21" customHeight="1" x14ac:dyDescent="0.2">
      <c r="A43" s="9"/>
      <c r="B43" s="7" t="s">
        <v>52</v>
      </c>
      <c r="C43" s="6"/>
      <c r="D43" s="61">
        <v>668771</v>
      </c>
      <c r="E43" s="39">
        <v>1491356</v>
      </c>
      <c r="F43" s="61">
        <f t="shared" ref="F43:M43" si="16">F42+F39</f>
        <v>0</v>
      </c>
      <c r="G43" s="39">
        <f t="shared" si="16"/>
        <v>0</v>
      </c>
      <c r="H43" s="61">
        <f>H42+H39</f>
        <v>668771</v>
      </c>
      <c r="I43" s="39">
        <f>I42+I39</f>
        <v>1491356</v>
      </c>
      <c r="J43" s="61">
        <f t="shared" si="16"/>
        <v>0</v>
      </c>
      <c r="K43" s="39">
        <f t="shared" si="16"/>
        <v>0</v>
      </c>
      <c r="L43" s="61">
        <f t="shared" si="16"/>
        <v>668771</v>
      </c>
      <c r="M43" s="39">
        <f t="shared" si="16"/>
        <v>1491356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v>-816829</v>
      </c>
      <c r="E49" s="65">
        <v>-1800711.7348383139</v>
      </c>
      <c r="F49" s="65">
        <f>H49-D49</f>
        <v>0</v>
      </c>
      <c r="G49" s="63">
        <f>I49-E49</f>
        <v>0</v>
      </c>
      <c r="H49" s="65">
        <f>D49</f>
        <v>-816829</v>
      </c>
      <c r="I49" s="66">
        <f>E49</f>
        <v>-1800711.7348383139</v>
      </c>
      <c r="J49" s="60"/>
      <c r="K49" s="38"/>
      <c r="L49" s="60">
        <f>H49+J49</f>
        <v>-816829</v>
      </c>
      <c r="M49" s="38">
        <f>I49+K49</f>
        <v>-1800711.7348383139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59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">
      <c r="A61" s="9"/>
      <c r="B61" s="62" t="s">
        <v>64</v>
      </c>
      <c r="C61" s="6"/>
      <c r="D61" s="61">
        <v>0</v>
      </c>
      <c r="E61" s="39">
        <v>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66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71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72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73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74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75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76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77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78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79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80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81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179</v>
      </c>
      <c r="D82" s="168">
        <f>D16+D24+D29+D36+D43+D45+D47+D49</f>
        <v>-60000</v>
      </c>
      <c r="E82" s="167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5">
        <f>SUM(I72:I81)+I16+I24+I29+I36+I43+I45+I47+I49+I51+I56+I61+I66</f>
        <v>-4132464.814838313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-4132464.814838313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">
      <c r="A10" s="9"/>
      <c r="B10" s="11" t="s">
        <v>27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28</v>
      </c>
      <c r="D11" s="65">
        <f>'EAST-EGM-FLSH'!D11+'EAST-LRC-FLSH'!D11</f>
        <v>90066498</v>
      </c>
      <c r="E11" s="66">
        <f>'EAST-EGM-FLSH'!E11+'EAST-LRC-FLSH'!E11</f>
        <v>204199663</v>
      </c>
      <c r="F11" s="37">
        <f>H11-D11</f>
        <v>0</v>
      </c>
      <c r="G11" s="37">
        <f>I11-E11</f>
        <v>0</v>
      </c>
      <c r="H11" s="60">
        <f>'EAST-EGM-FLSH'!H11+'EAST-LRC-FLSH'!H11</f>
        <v>90066498</v>
      </c>
      <c r="I11" s="38">
        <f>'EAST-EGM-FLSH'!I11+'EAST-LRC-FLSH'!I11</f>
        <v>204199663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90066498</v>
      </c>
      <c r="M11" s="38">
        <f t="shared" si="0"/>
        <v>204199663</v>
      </c>
    </row>
    <row r="12" spans="1:26" x14ac:dyDescent="0.2">
      <c r="A12" s="9">
        <v>2</v>
      </c>
      <c r="B12" s="7"/>
      <c r="C12" s="18" t="s">
        <v>29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30</v>
      </c>
      <c r="D13" s="65">
        <f>'EAST-EGM-FLSH'!D13+'EAST-LRC-FLSH'!D13</f>
        <v>39490195</v>
      </c>
      <c r="E13" s="66">
        <f>'EAST-EGM-FLSH'!E13+'EAST-LRC-FLSH'!E13</f>
        <v>90588362</v>
      </c>
      <c r="F13" s="60">
        <f t="shared" si="1"/>
        <v>0</v>
      </c>
      <c r="G13" s="37">
        <f t="shared" si="1"/>
        <v>0</v>
      </c>
      <c r="H13" s="60">
        <f>'EAST-EGM-FLSH'!H13+'EAST-LRC-FLSH'!H13</f>
        <v>39490195</v>
      </c>
      <c r="I13" s="38">
        <f>'EAST-EGM-FLSH'!I13+'EAST-LRC-FLSH'!I13</f>
        <v>90588362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39490195</v>
      </c>
      <c r="M13" s="38">
        <f t="shared" si="0"/>
        <v>90588362</v>
      </c>
    </row>
    <row r="14" spans="1:26" x14ac:dyDescent="0.2">
      <c r="A14" s="9">
        <v>4</v>
      </c>
      <c r="B14" s="7"/>
      <c r="C14" s="18" t="s">
        <v>31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32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33</v>
      </c>
      <c r="C16" s="6"/>
      <c r="D16" s="61">
        <f>SUM(D11:D15)</f>
        <v>129556693</v>
      </c>
      <c r="E16" s="39">
        <f>SUM(E11:E15)</f>
        <v>294788025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129556693</v>
      </c>
      <c r="I16" s="39">
        <f t="shared" si="2"/>
        <v>294788025</v>
      </c>
      <c r="J16" s="61">
        <f t="shared" si="2"/>
        <v>0</v>
      </c>
      <c r="K16" s="39">
        <f t="shared" si="2"/>
        <v>0</v>
      </c>
      <c r="L16" s="61">
        <f t="shared" si="2"/>
        <v>129556693</v>
      </c>
      <c r="M16" s="39">
        <f t="shared" si="2"/>
        <v>294788025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28</v>
      </c>
      <c r="D19" s="65">
        <f>'EAST-EGM-FLSH'!D19+'EAST-LRC-FLSH'!D19</f>
        <v>-87627794</v>
      </c>
      <c r="E19" s="66">
        <f>'EAST-EGM-FLSH'!E19+'EAST-LRC-FLSH'!E19</f>
        <v>-196852297</v>
      </c>
      <c r="F19" s="60">
        <f>H19-D19</f>
        <v>0</v>
      </c>
      <c r="G19" s="37">
        <f>I19-E19</f>
        <v>0</v>
      </c>
      <c r="H19" s="60">
        <f>'EAST-EGM-FLSH'!H19+'EAST-LRC-FLSH'!H19</f>
        <v>-87627794</v>
      </c>
      <c r="I19" s="38">
        <f>'EAST-EGM-FLSH'!I19+'EAST-LRC-FLSH'!I19</f>
        <v>-196852297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-87627794</v>
      </c>
      <c r="M19" s="38">
        <f t="shared" si="3"/>
        <v>-196852297</v>
      </c>
    </row>
    <row r="20" spans="1:13" x14ac:dyDescent="0.2">
      <c r="A20" s="9">
        <v>7</v>
      </c>
      <c r="B20" s="7"/>
      <c r="C20" s="18" t="s">
        <v>29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30</v>
      </c>
      <c r="D21" s="65">
        <f>'EAST-EGM-FLSH'!D21+'EAST-LRC-FLSH'!D21</f>
        <v>-43028500</v>
      </c>
      <c r="E21" s="66">
        <f>'EAST-EGM-FLSH'!E21+'EAST-LRC-FLSH'!E21</f>
        <v>-99490756</v>
      </c>
      <c r="F21" s="60">
        <f t="shared" si="4"/>
        <v>0</v>
      </c>
      <c r="G21" s="37">
        <f t="shared" si="4"/>
        <v>0</v>
      </c>
      <c r="H21" s="60">
        <f>'EAST-EGM-FLSH'!H21+'EAST-LRC-FLSH'!H21</f>
        <v>-43028500</v>
      </c>
      <c r="I21" s="38">
        <f>'EAST-EGM-FLSH'!I21+'EAST-LRC-FLSH'!I21</f>
        <v>-99490756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-43028500</v>
      </c>
      <c r="M21" s="38">
        <f t="shared" si="3"/>
        <v>-99490756</v>
      </c>
    </row>
    <row r="22" spans="1:13" x14ac:dyDescent="0.2">
      <c r="A22" s="9">
        <v>9</v>
      </c>
      <c r="B22" s="7"/>
      <c r="C22" s="18" t="s">
        <v>31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35</v>
      </c>
      <c r="D23" s="65">
        <f>'EAST-EGM-FLSH'!D23+'EAST-LRC-FLSH'!D23</f>
        <v>133867</v>
      </c>
      <c r="E23" s="66">
        <f>'EAST-EGM-FLSH'!E23+'EAST-LRC-FLSH'!E23</f>
        <v>303086</v>
      </c>
      <c r="F23" s="60">
        <f t="shared" si="4"/>
        <v>0</v>
      </c>
      <c r="G23" s="37">
        <f t="shared" si="4"/>
        <v>0</v>
      </c>
      <c r="H23" s="60">
        <f>'EAST-EGM-FLSH'!H23+'EAST-LRC-FLSH'!H23</f>
        <v>133867</v>
      </c>
      <c r="I23" s="38">
        <f>'EAST-EGM-FLSH'!I23+'EAST-LRC-FLSH'!I23</f>
        <v>303086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133867</v>
      </c>
      <c r="M23" s="38">
        <f t="shared" si="3"/>
        <v>303086</v>
      </c>
    </row>
    <row r="24" spans="1:13" x14ac:dyDescent="0.2">
      <c r="A24" s="9"/>
      <c r="B24" s="7" t="s">
        <v>36</v>
      </c>
      <c r="C24" s="6"/>
      <c r="D24" s="61">
        <f>SUM(D19:D23)</f>
        <v>-130522427</v>
      </c>
      <c r="E24" s="39">
        <f>SUM(E19:E23)</f>
        <v>-296039967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-130522427</v>
      </c>
      <c r="I24" s="39">
        <f t="shared" si="5"/>
        <v>-296039967</v>
      </c>
      <c r="J24" s="61">
        <f t="shared" si="5"/>
        <v>0</v>
      </c>
      <c r="K24" s="39">
        <f t="shared" si="5"/>
        <v>0</v>
      </c>
      <c r="L24" s="61">
        <f t="shared" si="5"/>
        <v>-130522427</v>
      </c>
      <c r="M24" s="39">
        <f t="shared" si="5"/>
        <v>-296039967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38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39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40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42</v>
      </c>
      <c r="D32" s="65">
        <f>'EAST-EGM-FLSH'!D32+'EAST-LRC-FLSH'!D32</f>
        <v>525505</v>
      </c>
      <c r="E32" s="66">
        <f>'EAST-EGM-FLSH'!E32+'EAST-LRC-FLSH'!E32</f>
        <v>1238528</v>
      </c>
      <c r="F32" s="60">
        <f>H32-D32</f>
        <v>0</v>
      </c>
      <c r="G32" s="37">
        <f>I32-E32</f>
        <v>0</v>
      </c>
      <c r="H32" s="60">
        <f>'EAST-EGM-FLSH'!H32+'EAST-LRC-FLSH'!H32</f>
        <v>525505</v>
      </c>
      <c r="I32" s="38">
        <f>'EAST-EGM-FLSH'!I32+'EAST-LRC-FLSH'!I32</f>
        <v>1238528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525505</v>
      </c>
      <c r="M32" s="38">
        <f t="shared" si="7"/>
        <v>1238528</v>
      </c>
    </row>
    <row r="33" spans="1:13" x14ac:dyDescent="0.2">
      <c r="A33" s="9">
        <v>14</v>
      </c>
      <c r="B33" s="7"/>
      <c r="C33" s="18" t="s">
        <v>43</v>
      </c>
      <c r="D33" s="65">
        <f>'EAST-EGM-FLSH'!D33+'EAST-LRC-FLSH'!D33</f>
        <v>-572495</v>
      </c>
      <c r="E33" s="66">
        <f>'EAST-EGM-FLSH'!E33+'EAST-LRC-FLSH'!E33</f>
        <v>-1346346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-572495</v>
      </c>
      <c r="I33" s="38">
        <f>'EAST-EGM-FLSH'!I33+'EAST-LRC-FLSH'!I33</f>
        <v>-1346346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-572495</v>
      </c>
      <c r="M33" s="38">
        <f t="shared" si="7"/>
        <v>-1346346</v>
      </c>
    </row>
    <row r="34" spans="1:13" x14ac:dyDescent="0.2">
      <c r="A34" s="9">
        <v>15</v>
      </c>
      <c r="B34" s="7"/>
      <c r="C34" s="18" t="s">
        <v>44</v>
      </c>
      <c r="D34" s="65">
        <f>'EAST-EGM-FLSH'!D34+'EAST-LRC-FLSH'!D34</f>
        <v>352983</v>
      </c>
      <c r="E34" s="66">
        <f>'EAST-EGM-FLSH'!E34+'EAST-LRC-FLSH'!E34</f>
        <v>794701</v>
      </c>
      <c r="F34" s="60">
        <f t="shared" si="8"/>
        <v>0</v>
      </c>
      <c r="G34" s="37">
        <f t="shared" si="8"/>
        <v>0</v>
      </c>
      <c r="H34" s="60">
        <f>'EAST-EGM-FLSH'!H34+'EAST-LRC-FLSH'!H34</f>
        <v>352983</v>
      </c>
      <c r="I34" s="38">
        <f>'EAST-EGM-FLSH'!I34+'EAST-LRC-FLSH'!I34</f>
        <v>794701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352983</v>
      </c>
      <c r="M34" s="38">
        <f t="shared" si="7"/>
        <v>794701</v>
      </c>
    </row>
    <row r="35" spans="1:13" x14ac:dyDescent="0.2">
      <c r="A35" s="9">
        <v>16</v>
      </c>
      <c r="B35" s="7"/>
      <c r="C35" s="18" t="s">
        <v>45</v>
      </c>
      <c r="D35" s="65">
        <f>'EAST-EGM-FLSH'!D35+'EAST-LRC-FLSH'!D35</f>
        <v>-113080</v>
      </c>
      <c r="E35" s="66">
        <f>'EAST-EGM-FLSH'!E35+'EAST-LRC-FLSH'!E35</f>
        <v>-254388</v>
      </c>
      <c r="F35" s="60">
        <f t="shared" si="8"/>
        <v>0</v>
      </c>
      <c r="G35" s="37">
        <f t="shared" si="8"/>
        <v>0</v>
      </c>
      <c r="H35" s="60">
        <f>'EAST-EGM-FLSH'!H35+'EAST-LRC-FLSH'!H35</f>
        <v>-113080</v>
      </c>
      <c r="I35" s="38">
        <f>'EAST-EGM-FLSH'!I35+'EAST-LRC-FLSH'!I35</f>
        <v>-254388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-113080</v>
      </c>
      <c r="M35" s="38">
        <f t="shared" si="7"/>
        <v>-254388</v>
      </c>
    </row>
    <row r="36" spans="1:13" x14ac:dyDescent="0.2">
      <c r="A36" s="9"/>
      <c r="B36" s="7" t="s">
        <v>46</v>
      </c>
      <c r="C36" s="6"/>
      <c r="D36" s="61">
        <f t="shared" ref="D36:I36" si="9">SUM(D32:D35)</f>
        <v>192913</v>
      </c>
      <c r="E36" s="39">
        <f t="shared" si="9"/>
        <v>432495</v>
      </c>
      <c r="F36" s="61">
        <f t="shared" si="9"/>
        <v>0</v>
      </c>
      <c r="G36" s="39">
        <f t="shared" si="9"/>
        <v>0</v>
      </c>
      <c r="H36" s="61">
        <f t="shared" si="9"/>
        <v>192913</v>
      </c>
      <c r="I36" s="39">
        <f t="shared" si="9"/>
        <v>432495</v>
      </c>
      <c r="J36" s="61">
        <f>SUM(J32:J34)</f>
        <v>0</v>
      </c>
      <c r="K36" s="39">
        <f>SUM(K32:K34)</f>
        <v>0</v>
      </c>
      <c r="L36" s="61">
        <f>SUM(L32:L35)</f>
        <v>192913</v>
      </c>
      <c r="M36" s="39">
        <f>SUM(M32:M35)</f>
        <v>432495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48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913477</v>
      </c>
      <c r="I39" s="38">
        <f>'EAST-EGM-FLSH'!I39+'EAST-LRC-FLSH'!I39</f>
        <v>2037051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913477</v>
      </c>
      <c r="M39" s="38">
        <f t="shared" si="11"/>
        <v>2037051</v>
      </c>
    </row>
    <row r="40" spans="1:13" ht="22.5" customHeight="1" x14ac:dyDescent="0.2">
      <c r="A40" s="9">
        <v>18</v>
      </c>
      <c r="B40" s="7"/>
      <c r="C40" s="18" t="s">
        <v>49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0</v>
      </c>
      <c r="G40" s="37">
        <f t="shared" si="10"/>
        <v>0</v>
      </c>
      <c r="H40" s="60">
        <f>'EAST-EGM-FLSH'!H40+'EAST-LRC-FLSH'!H40</f>
        <v>-244706</v>
      </c>
      <c r="I40" s="38">
        <f>'EAST-EGM-FLSH'!I40+'EAST-LRC-FLSH'!I40</f>
        <v>-545695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-244706</v>
      </c>
      <c r="M40" s="38">
        <f t="shared" si="11"/>
        <v>-545695</v>
      </c>
    </row>
    <row r="41" spans="1:13" x14ac:dyDescent="0.2">
      <c r="A41" s="9">
        <v>19</v>
      </c>
      <c r="B41" s="7"/>
      <c r="C41" s="18" t="s">
        <v>50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51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-244706</v>
      </c>
      <c r="I42" s="39">
        <f t="shared" si="12"/>
        <v>-545695</v>
      </c>
      <c r="J42" s="61">
        <f t="shared" si="12"/>
        <v>0</v>
      </c>
      <c r="K42" s="39">
        <f t="shared" si="12"/>
        <v>0</v>
      </c>
      <c r="L42" s="61">
        <f t="shared" si="12"/>
        <v>-244706</v>
      </c>
      <c r="M42" s="39">
        <f t="shared" si="12"/>
        <v>-545695</v>
      </c>
    </row>
    <row r="43" spans="1:13" ht="21" customHeight="1" x14ac:dyDescent="0.2">
      <c r="A43" s="9"/>
      <c r="B43" s="7" t="s">
        <v>52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0</v>
      </c>
      <c r="G43" s="39">
        <f t="shared" si="13"/>
        <v>0</v>
      </c>
      <c r="H43" s="61">
        <f t="shared" si="13"/>
        <v>668771</v>
      </c>
      <c r="I43" s="39">
        <f t="shared" si="13"/>
        <v>1491356</v>
      </c>
      <c r="J43" s="61">
        <f t="shared" si="13"/>
        <v>0</v>
      </c>
      <c r="K43" s="39">
        <f t="shared" si="13"/>
        <v>0</v>
      </c>
      <c r="L43" s="61">
        <f t="shared" si="13"/>
        <v>668771</v>
      </c>
      <c r="M43" s="39">
        <f t="shared" si="13"/>
        <v>1491356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53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54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55</v>
      </c>
      <c r="C49" s="6"/>
      <c r="D49" s="65">
        <f>'EAST-EGM-FLSH'!D49+'EAST-LRC-FLSH'!D49</f>
        <v>104050</v>
      </c>
      <c r="E49" s="66">
        <f>'EAST-EGM-FLSH'!E49+'EAST-LRC-FLSH'!E49</f>
        <v>231886.46217320184</v>
      </c>
      <c r="F49" s="60">
        <f>H49-D49</f>
        <v>0</v>
      </c>
      <c r="G49" s="37">
        <f>I49-E49</f>
        <v>0</v>
      </c>
      <c r="H49" s="60">
        <f>'EAST-EGM-FLSH'!H49+'EAST-LRC-FLSH'!H49</f>
        <v>104050</v>
      </c>
      <c r="I49" s="38">
        <f>'EAST-EGM-FLSH'!I49+'EAST-LRC-FLSH'!I49</f>
        <v>231886.46217320184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104050</v>
      </c>
      <c r="M49" s="38">
        <f>I49+K49</f>
        <v>231886.46217320184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56</v>
      </c>
      <c r="C51" s="6"/>
      <c r="D51" s="65">
        <f>'EAST-EGM-FLSH'!D51+'EAST-LRC-FLSH'!D51</f>
        <v>-133867</v>
      </c>
      <c r="E51" s="66">
        <f>'EAST-EGM-FLSH'!E51+'EAST-LRC-FLSH'!E51</f>
        <v>-303086</v>
      </c>
      <c r="F51" s="60">
        <f>H51-D51</f>
        <v>0</v>
      </c>
      <c r="G51" s="37">
        <f>I51-E51</f>
        <v>0</v>
      </c>
      <c r="H51" s="60">
        <f>'EAST-EGM-FLSH'!H51+'EAST-LRC-FLSH'!H51</f>
        <v>-133867</v>
      </c>
      <c r="I51" s="38">
        <f>'EAST-EGM-FLSH'!I51+'EAST-LRC-FLSH'!I51</f>
        <v>-303086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-133867</v>
      </c>
      <c r="M51" s="38">
        <f>I51+K51</f>
        <v>-303086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58</v>
      </c>
      <c r="D54" s="65">
        <f>'EAST-EGM-FLSH'!D54+'EAST-LRC-FLSH'!D54</f>
        <v>0</v>
      </c>
      <c r="E54" s="66">
        <f>'EAST-EGM-FLSH'!E54+'EAST-LRC-FLSH'!E54</f>
        <v>-451779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-451779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-451779</v>
      </c>
    </row>
    <row r="55" spans="1:15" x14ac:dyDescent="0.2">
      <c r="A55" s="9">
        <v>25</v>
      </c>
      <c r="B55" s="7"/>
      <c r="C55" s="18" t="s">
        <v>59</v>
      </c>
      <c r="D55" s="65">
        <f>'EAST-EGM-FLSH'!D55+'EAST-LRC-FLSH'!D55</f>
        <v>0</v>
      </c>
      <c r="E55" s="66">
        <f>'EAST-EGM-FLSH'!E55+'EAST-LRC-FLSH'!E55</f>
        <v>-434058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-434058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-434058</v>
      </c>
    </row>
    <row r="56" spans="1:15" x14ac:dyDescent="0.2">
      <c r="A56" s="9"/>
      <c r="B56" s="7" t="s">
        <v>60</v>
      </c>
      <c r="C56" s="6"/>
      <c r="D56" s="61">
        <f>SUM(D54:D55)</f>
        <v>0</v>
      </c>
      <c r="E56" s="39">
        <f>SUM(E54:E55)</f>
        <v>-885837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-885837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-885837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62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63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65</v>
      </c>
      <c r="D64" s="65">
        <f>'EAST-EGM-FLSH'!D64+'EAST-LRC-FLSH'!D64</f>
        <v>0</v>
      </c>
      <c r="E64" s="66">
        <f>'EAST-EGM-FLSH'!E64+'EAST-LRC-FLSH'!E64</f>
        <v>68597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68597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68597</v>
      </c>
    </row>
    <row r="65" spans="1:13" x14ac:dyDescent="0.2">
      <c r="A65" s="9">
        <v>29</v>
      </c>
      <c r="B65" s="11"/>
      <c r="C65" s="18" t="s">
        <v>66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67</v>
      </c>
      <c r="C66" s="6"/>
      <c r="D66" s="61">
        <f>SUM(D64:D65)</f>
        <v>0</v>
      </c>
      <c r="E66" s="39">
        <f>SUM(E64:E65)</f>
        <v>68597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68597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68597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70</v>
      </c>
      <c r="D70" s="65">
        <f>'EAST-EGM-FLSH'!D70+'EAST-LRC-FLSH'!D70</f>
        <v>0</v>
      </c>
      <c r="E70" s="66">
        <f>'EAST-EGM-FLSH'!E70+'EAST-LRC-FLSH'!E70</f>
        <v>5679557.9450000003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5679557.9450000003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5679557.9450000003</v>
      </c>
    </row>
    <row r="71" spans="1:13" x14ac:dyDescent="0.2">
      <c r="A71" s="9">
        <v>31</v>
      </c>
      <c r="B71" s="3"/>
      <c r="C71" s="10" t="s">
        <v>71</v>
      </c>
      <c r="D71" s="65">
        <f>'EAST-EGM-FLSH'!D71+'EAST-LRC-FLSH'!D71</f>
        <v>0</v>
      </c>
      <c r="E71" s="66">
        <f>'EAST-EGM-FLSH'!E71+'EAST-LRC-FLSH'!E71</f>
        <v>-2849704.85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-2849704.85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-2849704.85</v>
      </c>
    </row>
    <row r="72" spans="1:13" x14ac:dyDescent="0.2">
      <c r="A72" s="9"/>
      <c r="B72" s="3"/>
      <c r="C72" s="55" t="s">
        <v>72</v>
      </c>
      <c r="D72" s="61">
        <f>SUM(D70:D71)</f>
        <v>0</v>
      </c>
      <c r="E72" s="39">
        <f>SUM(E70:E71)</f>
        <v>2829853.0950000002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2829853.0950000002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2829853.0950000002</v>
      </c>
    </row>
    <row r="73" spans="1:13" x14ac:dyDescent="0.2">
      <c r="A73" s="9">
        <v>32</v>
      </c>
      <c r="B73" s="3"/>
      <c r="C73" s="10" t="s">
        <v>73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74</v>
      </c>
      <c r="D74" s="65">
        <f>'EAST-EGM-FLSH'!D74+'EAST-LRC-FLSH'!D74</f>
        <v>0</v>
      </c>
      <c r="E74" s="66">
        <f>'EAST-EGM-FLSH'!E74+'EAST-LRC-FLSH'!E74</f>
        <v>-1040060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-1040060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-1040060</v>
      </c>
    </row>
    <row r="75" spans="1:13" x14ac:dyDescent="0.2">
      <c r="A75" s="9">
        <v>34</v>
      </c>
      <c r="B75" s="3"/>
      <c r="C75" s="10" t="s">
        <v>75</v>
      </c>
      <c r="D75" s="65">
        <f>'EAST-EGM-FLSH'!D75+'EAST-LRC-FLSH'!D75</f>
        <v>0</v>
      </c>
      <c r="E75" s="66">
        <f>'EAST-EGM-FLSH'!E75+'EAST-LRC-FLSH'!E75</f>
        <v>17993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17993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17993</v>
      </c>
    </row>
    <row r="76" spans="1:13" x14ac:dyDescent="0.2">
      <c r="A76" s="9">
        <v>35</v>
      </c>
      <c r="B76" s="3"/>
      <c r="C76" s="10" t="s">
        <v>76</v>
      </c>
      <c r="D76" s="65">
        <f>'EAST-EGM-FLSH'!D76+'EAST-LRC-FLSH'!D76</f>
        <v>0</v>
      </c>
      <c r="E76" s="66">
        <f>'EAST-EGM-FLSH'!E76+'EAST-LRC-FLSH'!E76</f>
        <v>-19109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-19109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-19109</v>
      </c>
    </row>
    <row r="77" spans="1:13" x14ac:dyDescent="0.2">
      <c r="A77" s="9">
        <v>36</v>
      </c>
      <c r="B77" s="3"/>
      <c r="C77" s="10" t="s">
        <v>77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">
      <c r="A78" s="9">
        <v>37</v>
      </c>
      <c r="B78" s="3"/>
      <c r="C78" s="10" t="s">
        <v>78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79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80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81</v>
      </c>
      <c r="D81" s="60"/>
      <c r="E81" s="66">
        <f>'EAST-EGM-FLSH'!E81+'EAST-LRC-FLSH'!E81</f>
        <v>-2667035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-2667035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-2667035</v>
      </c>
    </row>
    <row r="82" spans="1:67" s="44" customFormat="1" ht="20.25" customHeight="1" thickBot="1" x14ac:dyDescent="0.25">
      <c r="A82" s="40"/>
      <c r="B82" s="41"/>
      <c r="C82" s="42" t="s">
        <v>179</v>
      </c>
      <c r="D82" s="73">
        <f>D16+D24+D29+D36+D43+D45+D47+D49</f>
        <v>0</v>
      </c>
      <c r="E82" s="74">
        <f>SUM(E72:E81)+E16+E24+E29+E36+E43+E45+E47+E49+E51+E56+E61+E66</f>
        <v>-2107173.4978267765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-2107173.4978267765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-2107173.4978267765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-2107173.4978267881</v>
      </c>
      <c r="M84" s="45"/>
    </row>
    <row r="85" spans="1:67" x14ac:dyDescent="0.2">
      <c r="A85" s="4" t="s">
        <v>174</v>
      </c>
      <c r="B85" s="3"/>
    </row>
    <row r="86" spans="1:67" s="3" customFormat="1" x14ac:dyDescent="0.2">
      <c r="A86" s="174"/>
      <c r="C86" s="10" t="s">
        <v>177</v>
      </c>
      <c r="D86" s="175">
        <f>'EAST-EGM-FLSH'!D86+'EAST-LRC-FLSH'!D86</f>
        <v>0</v>
      </c>
      <c r="E86" s="175">
        <f>'EAST-EGM-FLSH'!E86+'EAST-LRC-FLSH'!E86</f>
        <v>219364</v>
      </c>
      <c r="F86" s="175">
        <f>'EAST-EGM-FLSH'!F86+'EAST-LRC-FLSH'!F86</f>
        <v>0</v>
      </c>
      <c r="G86" s="175">
        <f>'EAST-EGM-FLSH'!G86+'EAST-LRC-FLSH'!G86</f>
        <v>0</v>
      </c>
      <c r="H86" s="175">
        <f>'EAST-EGM-FLSH'!H86+'EAST-LRC-FLSH'!H86</f>
        <v>0</v>
      </c>
      <c r="I86" s="175">
        <f>'EAST-EGM-FLSH'!I86+'EAST-LRC-FLSH'!I86</f>
        <v>219364</v>
      </c>
      <c r="J86" s="175">
        <f>'EAST-EGM-FLSH'!J86+'EAST-LRC-FLSH'!J86</f>
        <v>0</v>
      </c>
      <c r="K86" s="175">
        <f>'EAST-EGM-FLSH'!K86+'EAST-LRC-FLSH'!K86</f>
        <v>0</v>
      </c>
      <c r="L86" s="175">
        <f>'EAST-EGM-FLSH'!L86+'EAST-LRC-FLSH'!L86</f>
        <v>0</v>
      </c>
      <c r="M86" s="175">
        <f>'EAST-EGM-FLSH'!M86+'EAST-LRC-FLSH'!M86</f>
        <v>219364</v>
      </c>
    </row>
    <row r="87" spans="1:67" s="3" customFormat="1" x14ac:dyDescent="0.2">
      <c r="A87" s="174"/>
      <c r="C87" s="10" t="s">
        <v>74</v>
      </c>
      <c r="D87" s="176">
        <f>'EAST-EGM-FLSH'!D87+'EAST-LRC-FLSH'!D87</f>
        <v>0</v>
      </c>
      <c r="E87" s="176">
        <f>'EAST-EGM-FLSH'!E87+'EAST-LRC-FLSH'!E87</f>
        <v>0</v>
      </c>
      <c r="F87" s="176">
        <f>'EAST-EGM-FLSH'!F87+'EAST-LRC-FLSH'!F87</f>
        <v>0</v>
      </c>
      <c r="G87" s="176">
        <f>'EAST-EGM-FLSH'!G87+'EAST-LRC-FLSH'!G87</f>
        <v>0</v>
      </c>
      <c r="H87" s="176">
        <f>'EAST-EGM-FLSH'!H87+'EAST-LRC-FLSH'!H87</f>
        <v>0</v>
      </c>
      <c r="I87" s="176">
        <f>'EAST-EGM-FLSH'!I87+'EAST-LRC-FLSH'!I87</f>
        <v>0</v>
      </c>
      <c r="J87" s="176">
        <f>'EAST-EGM-FLSH'!J87+'EAST-LRC-FLSH'!J87</f>
        <v>0</v>
      </c>
      <c r="K87" s="176">
        <f>'EAST-EGM-FLSH'!K87+'EAST-LRC-FLSH'!K87</f>
        <v>0</v>
      </c>
      <c r="L87" s="176">
        <f>'EAST-EGM-FLSH'!L87+'EAST-LRC-FLSH'!L87</f>
        <v>0</v>
      </c>
      <c r="M87" s="176">
        <f>'EAST-EGM-FLSH'!M87+'EAST-LRC-FLSH'!M87</f>
        <v>0</v>
      </c>
    </row>
    <row r="88" spans="1:67" s="3" customFormat="1" x14ac:dyDescent="0.2">
      <c r="A88" s="174"/>
      <c r="C88" s="10" t="s">
        <v>75</v>
      </c>
      <c r="D88" s="177">
        <f>'EAST-EGM-FLSH'!D88+'EAST-LRC-FLSH'!D88</f>
        <v>0</v>
      </c>
      <c r="E88" s="177">
        <f>'EAST-EGM-FLSH'!E88+'EAST-LRC-FLSH'!E88</f>
        <v>0</v>
      </c>
      <c r="F88" s="177">
        <f>'EAST-EGM-FLSH'!F88+'EAST-LRC-FLSH'!F88</f>
        <v>0</v>
      </c>
      <c r="G88" s="177">
        <f>'EAST-EGM-FLSH'!G88+'EAST-LRC-FLSH'!G88</f>
        <v>0</v>
      </c>
      <c r="H88" s="177">
        <f>'EAST-EGM-FLSH'!H88+'EAST-LRC-FLSH'!H88</f>
        <v>0</v>
      </c>
      <c r="I88" s="177">
        <f>'EAST-EGM-FLSH'!I88+'EAST-LRC-FLSH'!I88</f>
        <v>0</v>
      </c>
      <c r="J88" s="177">
        <f>'EAST-EGM-FLSH'!J88+'EAST-LRC-FLSH'!J88</f>
        <v>0</v>
      </c>
      <c r="K88" s="177">
        <f>'EAST-EGM-FLSH'!K88+'EAST-LRC-FLSH'!K88</f>
        <v>0</v>
      </c>
      <c r="L88" s="177">
        <f>'EAST-EGM-FLSH'!L88+'EAST-LRC-FLSH'!L88</f>
        <v>0</v>
      </c>
      <c r="M88" s="177">
        <f>'EAST-EGM-FLSH'!M88+'EAST-LRC-FLSH'!M88</f>
        <v>0</v>
      </c>
    </row>
    <row r="89" spans="1:67" s="44" customFormat="1" ht="20.25" customHeight="1" x14ac:dyDescent="0.2">
      <c r="A89" s="181"/>
      <c r="B89" s="182"/>
      <c r="C89" s="183" t="s">
        <v>180</v>
      </c>
      <c r="D89" s="185">
        <f>SUM(D86:D88)</f>
        <v>0</v>
      </c>
      <c r="E89" s="185">
        <f t="shared" ref="E89:M89" si="20">SUM(E86:E88)</f>
        <v>219364</v>
      </c>
      <c r="F89" s="185">
        <f t="shared" si="20"/>
        <v>0</v>
      </c>
      <c r="G89" s="185">
        <f t="shared" si="20"/>
        <v>0</v>
      </c>
      <c r="H89" s="185">
        <f t="shared" si="20"/>
        <v>0</v>
      </c>
      <c r="I89" s="185">
        <f t="shared" si="20"/>
        <v>219364</v>
      </c>
      <c r="J89" s="185">
        <f t="shared" si="20"/>
        <v>0</v>
      </c>
      <c r="K89" s="185">
        <f t="shared" si="20"/>
        <v>0</v>
      </c>
      <c r="L89" s="185">
        <f t="shared" si="20"/>
        <v>0</v>
      </c>
      <c r="M89" s="185">
        <f t="shared" si="20"/>
        <v>219364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178</v>
      </c>
      <c r="D91" s="185">
        <f>+D82+D89</f>
        <v>0</v>
      </c>
      <c r="E91" s="185">
        <f t="shared" ref="E91:M91" si="21">+E82+E89</f>
        <v>-1887809.4978267765</v>
      </c>
      <c r="F91" s="185">
        <f t="shared" si="21"/>
        <v>0</v>
      </c>
      <c r="G91" s="185">
        <f t="shared" si="21"/>
        <v>0</v>
      </c>
      <c r="H91" s="185">
        <f t="shared" si="21"/>
        <v>0</v>
      </c>
      <c r="I91" s="185">
        <f t="shared" si="21"/>
        <v>-1887809.4978267765</v>
      </c>
      <c r="J91" s="185">
        <f t="shared" si="21"/>
        <v>0</v>
      </c>
      <c r="K91" s="185">
        <f t="shared" si="21"/>
        <v>0</v>
      </c>
      <c r="L91" s="185">
        <f t="shared" si="21"/>
        <v>0</v>
      </c>
      <c r="M91" s="185">
        <f t="shared" si="21"/>
        <v>-1887809.4978267765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2000-01-14T23:17:35Z</cp:lastPrinted>
  <dcterms:created xsi:type="dcterms:W3CDTF">1997-07-11T21:57:33Z</dcterms:created>
  <dcterms:modified xsi:type="dcterms:W3CDTF">2023-09-15T15:01:39Z</dcterms:modified>
</cp:coreProperties>
</file>