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435939-5314-4684-8C99-5922EC3A1A70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'TIE-OUT'!$A$1:$Y$82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N8" i="22"/>
  <c r="P8" i="22"/>
  <c r="T8" i="22"/>
  <c r="AH8" i="22"/>
  <c r="AJ8" i="22"/>
  <c r="AL8" i="22"/>
  <c r="AN8" i="22"/>
  <c r="AP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N8" i="29"/>
  <c r="P8" i="29"/>
  <c r="T8" i="29"/>
  <c r="AH8" i="29"/>
  <c r="AJ8" i="29"/>
  <c r="AL8" i="29"/>
  <c r="AN8" i="29"/>
  <c r="AP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R32" i="29"/>
  <c r="T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V49" i="29"/>
  <c r="W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N8" i="24"/>
  <c r="P8" i="24"/>
  <c r="T8" i="24"/>
  <c r="AH8" i="24"/>
  <c r="AJ8" i="24"/>
  <c r="AL8" i="24"/>
  <c r="AN8" i="24"/>
  <c r="AP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D64" i="24"/>
  <c r="E64" i="24"/>
  <c r="F64" i="24"/>
  <c r="G64" i="24"/>
  <c r="H64" i="24"/>
  <c r="I64" i="24"/>
  <c r="J64" i="24"/>
  <c r="K64" i="24"/>
  <c r="L64" i="24"/>
  <c r="M64" i="24"/>
  <c r="D65" i="24"/>
  <c r="E65" i="24"/>
  <c r="F65" i="24"/>
  <c r="G65" i="24"/>
  <c r="H65" i="24"/>
  <c r="I65" i="24"/>
  <c r="J65" i="24"/>
  <c r="K65" i="24"/>
  <c r="L65" i="24"/>
  <c r="M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AP86" i="24"/>
  <c r="AQ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E86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N8" i="21"/>
  <c r="P8" i="21"/>
  <c r="T8" i="21"/>
  <c r="AH8" i="21"/>
  <c r="AJ8" i="21"/>
  <c r="AL8" i="21"/>
  <c r="AN8" i="21"/>
  <c r="AP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P49" i="21"/>
  <c r="AQ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P59" i="21"/>
  <c r="AQ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P60" i="21"/>
  <c r="AQ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P61" i="21"/>
  <c r="AQ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P64" i="21"/>
  <c r="AQ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P70" i="21"/>
  <c r="AQ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P71" i="21"/>
  <c r="AQ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P72" i="21"/>
  <c r="AQ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D86" i="21"/>
  <c r="E86" i="21"/>
  <c r="F86" i="21"/>
  <c r="G86" i="21"/>
  <c r="Q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N8" i="23"/>
  <c r="P8" i="23"/>
  <c r="T8" i="23"/>
  <c r="AH8" i="23"/>
  <c r="AJ8" i="23"/>
  <c r="AL8" i="23"/>
  <c r="AN8" i="23"/>
  <c r="AP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Q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Q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Q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Q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Q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Q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Q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Q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Q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Q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Q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Q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Q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Q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Q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N8" i="31"/>
  <c r="P8" i="31"/>
  <c r="T8" i="31"/>
  <c r="AH8" i="31"/>
  <c r="AJ8" i="31"/>
  <c r="AL8" i="31"/>
  <c r="AN8" i="31"/>
  <c r="AP8" i="31"/>
  <c r="D11" i="31"/>
  <c r="E11" i="31"/>
  <c r="F11" i="31"/>
  <c r="G11" i="31"/>
  <c r="Z11" i="31"/>
  <c r="AA11" i="31"/>
  <c r="AB11" i="31"/>
  <c r="AC11" i="31"/>
  <c r="AD11" i="31"/>
  <c r="AE11" i="31"/>
  <c r="AF11" i="31"/>
  <c r="AG11" i="31"/>
  <c r="D12" i="31"/>
  <c r="E12" i="31"/>
  <c r="F12" i="31"/>
  <c r="G12" i="31"/>
  <c r="Z12" i="31"/>
  <c r="AA12" i="31"/>
  <c r="AB12" i="31"/>
  <c r="AC12" i="31"/>
  <c r="AD12" i="31"/>
  <c r="AE12" i="31"/>
  <c r="AF12" i="31"/>
  <c r="AG12" i="31"/>
  <c r="D13" i="31"/>
  <c r="E13" i="31"/>
  <c r="F13" i="31"/>
  <c r="G13" i="31"/>
  <c r="Z13" i="31"/>
  <c r="AA13" i="31"/>
  <c r="AB13" i="31"/>
  <c r="AC13" i="31"/>
  <c r="AD13" i="31"/>
  <c r="AE13" i="31"/>
  <c r="AF13" i="31"/>
  <c r="AG13" i="31"/>
  <c r="D14" i="31"/>
  <c r="E14" i="31"/>
  <c r="F14" i="31"/>
  <c r="G14" i="31"/>
  <c r="Z14" i="31"/>
  <c r="AA14" i="31"/>
  <c r="AB14" i="31"/>
  <c r="AC14" i="31"/>
  <c r="AD14" i="31"/>
  <c r="AE14" i="31"/>
  <c r="AF14" i="31"/>
  <c r="AG14" i="31"/>
  <c r="D15" i="31"/>
  <c r="E15" i="31"/>
  <c r="F15" i="31"/>
  <c r="G15" i="31"/>
  <c r="Z15" i="31"/>
  <c r="AA15" i="31"/>
  <c r="AB15" i="31"/>
  <c r="AC15" i="31"/>
  <c r="AD15" i="31"/>
  <c r="AE15" i="31"/>
  <c r="AF15" i="31"/>
  <c r="A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D19" i="31"/>
  <c r="E19" i="31"/>
  <c r="F19" i="31"/>
  <c r="G19" i="31"/>
  <c r="H19" i="31"/>
  <c r="I19" i="31"/>
  <c r="Z19" i="31"/>
  <c r="AA19" i="31"/>
  <c r="AB19" i="31"/>
  <c r="AC19" i="31"/>
  <c r="AD19" i="31"/>
  <c r="AE19" i="31"/>
  <c r="AF19" i="31"/>
  <c r="AG19" i="31"/>
  <c r="D20" i="31"/>
  <c r="E20" i="31"/>
  <c r="F20" i="31"/>
  <c r="G20" i="31"/>
  <c r="Z20" i="31"/>
  <c r="AA20" i="31"/>
  <c r="AB20" i="31"/>
  <c r="AC20" i="31"/>
  <c r="AD20" i="31"/>
  <c r="AE20" i="31"/>
  <c r="AF20" i="31"/>
  <c r="AG20" i="31"/>
  <c r="D21" i="31"/>
  <c r="E21" i="31"/>
  <c r="F21" i="31"/>
  <c r="G21" i="31"/>
  <c r="Z21" i="31"/>
  <c r="AA21" i="31"/>
  <c r="AB21" i="31"/>
  <c r="AC21" i="31"/>
  <c r="AD21" i="31"/>
  <c r="AE21" i="31"/>
  <c r="AF21" i="31"/>
  <c r="AG21" i="31"/>
  <c r="D22" i="31"/>
  <c r="E22" i="31"/>
  <c r="F22" i="31"/>
  <c r="G22" i="31"/>
  <c r="Z22" i="31"/>
  <c r="AA22" i="31"/>
  <c r="AB22" i="31"/>
  <c r="AC22" i="31"/>
  <c r="AD22" i="31"/>
  <c r="AE22" i="31"/>
  <c r="AF22" i="31"/>
  <c r="AG22" i="31"/>
  <c r="D23" i="31"/>
  <c r="E23" i="31"/>
  <c r="F23" i="31"/>
  <c r="G23" i="31"/>
  <c r="Z23" i="31"/>
  <c r="AA23" i="31"/>
  <c r="AB23" i="31"/>
  <c r="AC23" i="31"/>
  <c r="AD23" i="31"/>
  <c r="AE23" i="31"/>
  <c r="AF23" i="31"/>
  <c r="A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D27" i="31"/>
  <c r="E27" i="31"/>
  <c r="F27" i="31"/>
  <c r="G27" i="31"/>
  <c r="Z27" i="31"/>
  <c r="AA27" i="31"/>
  <c r="AB27" i="31"/>
  <c r="AC27" i="31"/>
  <c r="AD27" i="31"/>
  <c r="AE27" i="31"/>
  <c r="AF27" i="31"/>
  <c r="AG27" i="31"/>
  <c r="D28" i="31"/>
  <c r="E28" i="31"/>
  <c r="F28" i="31"/>
  <c r="G28" i="31"/>
  <c r="Z28" i="31"/>
  <c r="AA28" i="31"/>
  <c r="AB28" i="31"/>
  <c r="AC28" i="31"/>
  <c r="AD28" i="31"/>
  <c r="AE28" i="31"/>
  <c r="AF28" i="31"/>
  <c r="A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D32" i="31"/>
  <c r="E32" i="31"/>
  <c r="F32" i="31"/>
  <c r="G32" i="31"/>
  <c r="Z32" i="31"/>
  <c r="AA32" i="31"/>
  <c r="AB32" i="31"/>
  <c r="AC32" i="31"/>
  <c r="AD32" i="31"/>
  <c r="AE32" i="31"/>
  <c r="AF32" i="31"/>
  <c r="AG32" i="31"/>
  <c r="D33" i="31"/>
  <c r="E33" i="31"/>
  <c r="F33" i="31"/>
  <c r="G33" i="31"/>
  <c r="Z33" i="31"/>
  <c r="AA33" i="31"/>
  <c r="AB33" i="31"/>
  <c r="AC33" i="31"/>
  <c r="AD33" i="31"/>
  <c r="AE33" i="31"/>
  <c r="AF33" i="31"/>
  <c r="AG33" i="31"/>
  <c r="D34" i="31"/>
  <c r="E34" i="31"/>
  <c r="F34" i="31"/>
  <c r="G34" i="31"/>
  <c r="Z34" i="31"/>
  <c r="AA34" i="31"/>
  <c r="AB34" i="31"/>
  <c r="AC34" i="31"/>
  <c r="AD34" i="31"/>
  <c r="AE34" i="31"/>
  <c r="AF34" i="31"/>
  <c r="AG34" i="31"/>
  <c r="D35" i="31"/>
  <c r="E35" i="31"/>
  <c r="F35" i="31"/>
  <c r="G35" i="31"/>
  <c r="Z35" i="31"/>
  <c r="AA35" i="31"/>
  <c r="AB35" i="31"/>
  <c r="AC35" i="31"/>
  <c r="AD35" i="31"/>
  <c r="AE35" i="31"/>
  <c r="AF35" i="31"/>
  <c r="A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D39" i="31"/>
  <c r="E39" i="31"/>
  <c r="F39" i="31"/>
  <c r="G39" i="31"/>
  <c r="Z39" i="31"/>
  <c r="AA39" i="31"/>
  <c r="AB39" i="31"/>
  <c r="AC39" i="31"/>
  <c r="AD39" i="31"/>
  <c r="AE39" i="31"/>
  <c r="AF39" i="31"/>
  <c r="AG39" i="31"/>
  <c r="D40" i="31"/>
  <c r="E40" i="31"/>
  <c r="F40" i="31"/>
  <c r="G40" i="31"/>
  <c r="Z40" i="31"/>
  <c r="AA40" i="31"/>
  <c r="AB40" i="31"/>
  <c r="AC40" i="31"/>
  <c r="AD40" i="31"/>
  <c r="AE40" i="31"/>
  <c r="AF40" i="31"/>
  <c r="AG40" i="31"/>
  <c r="D41" i="31"/>
  <c r="E41" i="31"/>
  <c r="F41" i="31"/>
  <c r="G41" i="31"/>
  <c r="Z41" i="31"/>
  <c r="AA41" i="31"/>
  <c r="AB41" i="31"/>
  <c r="AC41" i="31"/>
  <c r="AD41" i="31"/>
  <c r="AE41" i="31"/>
  <c r="AF41" i="31"/>
  <c r="A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AP42" i="31"/>
  <c r="AQ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D45" i="31"/>
  <c r="E45" i="31"/>
  <c r="F45" i="31"/>
  <c r="G45" i="31"/>
  <c r="Z45" i="31"/>
  <c r="AA45" i="31"/>
  <c r="AB45" i="31"/>
  <c r="AC45" i="31"/>
  <c r="AD45" i="31"/>
  <c r="AE45" i="31"/>
  <c r="AF45" i="31"/>
  <c r="AG45" i="31"/>
  <c r="D47" i="31"/>
  <c r="E47" i="31"/>
  <c r="F47" i="31"/>
  <c r="G47" i="31"/>
  <c r="Z47" i="31"/>
  <c r="AA47" i="31"/>
  <c r="AB47" i="31"/>
  <c r="AC47" i="31"/>
  <c r="AD47" i="31"/>
  <c r="AE47" i="31"/>
  <c r="AF47" i="31"/>
  <c r="AG47" i="31"/>
  <c r="D49" i="31"/>
  <c r="E49" i="31"/>
  <c r="F49" i="31"/>
  <c r="G49" i="31"/>
  <c r="Z49" i="31"/>
  <c r="AA49" i="31"/>
  <c r="AB49" i="31"/>
  <c r="AC49" i="31"/>
  <c r="AD49" i="31"/>
  <c r="AE49" i="31"/>
  <c r="AF49" i="31"/>
  <c r="AG49" i="31"/>
  <c r="D51" i="31"/>
  <c r="E51" i="31"/>
  <c r="F51" i="31"/>
  <c r="G51" i="31"/>
  <c r="Z51" i="31"/>
  <c r="AA51" i="31"/>
  <c r="AB51" i="31"/>
  <c r="AC51" i="31"/>
  <c r="AD51" i="31"/>
  <c r="AE51" i="31"/>
  <c r="AF51" i="31"/>
  <c r="AG51" i="31"/>
  <c r="D54" i="31"/>
  <c r="E54" i="31"/>
  <c r="F54" i="31"/>
  <c r="G54" i="31"/>
  <c r="Z54" i="31"/>
  <c r="AA54" i="31"/>
  <c r="AB54" i="31"/>
  <c r="AC54" i="31"/>
  <c r="AD54" i="31"/>
  <c r="AE54" i="31"/>
  <c r="AF54" i="31"/>
  <c r="AG54" i="31"/>
  <c r="D55" i="31"/>
  <c r="E55" i="31"/>
  <c r="F55" i="31"/>
  <c r="G55" i="31"/>
  <c r="Z55" i="31"/>
  <c r="AA55" i="31"/>
  <c r="AB55" i="31"/>
  <c r="AC55" i="31"/>
  <c r="AD55" i="31"/>
  <c r="AE55" i="31"/>
  <c r="AF55" i="31"/>
  <c r="A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D59" i="31"/>
  <c r="E59" i="31"/>
  <c r="F59" i="31"/>
  <c r="G59" i="31"/>
  <c r="Z59" i="31"/>
  <c r="AA59" i="31"/>
  <c r="AB59" i="31"/>
  <c r="AC59" i="31"/>
  <c r="AD59" i="31"/>
  <c r="AE59" i="31"/>
  <c r="AF59" i="31"/>
  <c r="AG59" i="31"/>
  <c r="D60" i="31"/>
  <c r="E60" i="31"/>
  <c r="F60" i="31"/>
  <c r="G60" i="31"/>
  <c r="Z60" i="31"/>
  <c r="AA60" i="31"/>
  <c r="AB60" i="31"/>
  <c r="AC60" i="31"/>
  <c r="AD60" i="31"/>
  <c r="AE60" i="31"/>
  <c r="AF60" i="31"/>
  <c r="A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D64" i="31"/>
  <c r="E64" i="31"/>
  <c r="F64" i="31"/>
  <c r="G64" i="31"/>
  <c r="Z64" i="31"/>
  <c r="AA64" i="31"/>
  <c r="AB64" i="31"/>
  <c r="AC64" i="31"/>
  <c r="AD64" i="31"/>
  <c r="AE64" i="31"/>
  <c r="AF64" i="31"/>
  <c r="AG64" i="31"/>
  <c r="D65" i="31"/>
  <c r="E65" i="31"/>
  <c r="F65" i="31"/>
  <c r="G65" i="31"/>
  <c r="Z65" i="31"/>
  <c r="AA65" i="31"/>
  <c r="AB65" i="31"/>
  <c r="AC65" i="31"/>
  <c r="AD65" i="31"/>
  <c r="AE65" i="31"/>
  <c r="AF65" i="31"/>
  <c r="A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D70" i="31"/>
  <c r="E70" i="31"/>
  <c r="F70" i="31"/>
  <c r="G70" i="31"/>
  <c r="Z70" i="31"/>
  <c r="AA70" i="31"/>
  <c r="AB70" i="31"/>
  <c r="AC70" i="31"/>
  <c r="AD70" i="31"/>
  <c r="AF70" i="31"/>
  <c r="D71" i="31"/>
  <c r="E71" i="31"/>
  <c r="F71" i="31"/>
  <c r="G71" i="31"/>
  <c r="Z71" i="31"/>
  <c r="AA71" i="31"/>
  <c r="AB71" i="31"/>
  <c r="AC71" i="31"/>
  <c r="AD71" i="31"/>
  <c r="AE71" i="31"/>
  <c r="AF71" i="31"/>
  <c r="A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D73" i="31"/>
  <c r="E73" i="31"/>
  <c r="F73" i="31"/>
  <c r="G73" i="31"/>
  <c r="Z73" i="31"/>
  <c r="AA73" i="31"/>
  <c r="AB73" i="31"/>
  <c r="AC73" i="31"/>
  <c r="AD73" i="31"/>
  <c r="AE73" i="31"/>
  <c r="AF73" i="31"/>
  <c r="AG73" i="31"/>
  <c r="D74" i="31"/>
  <c r="E74" i="31"/>
  <c r="F74" i="31"/>
  <c r="G74" i="31"/>
  <c r="Z74" i="31"/>
  <c r="AA74" i="31"/>
  <c r="AB74" i="31"/>
  <c r="AC74" i="31"/>
  <c r="AD74" i="31"/>
  <c r="AE74" i="31"/>
  <c r="AF74" i="31"/>
  <c r="AG74" i="31"/>
  <c r="D75" i="31"/>
  <c r="E75" i="31"/>
  <c r="F75" i="31"/>
  <c r="G75" i="31"/>
  <c r="Z75" i="31"/>
  <c r="AA75" i="31"/>
  <c r="AB75" i="31"/>
  <c r="AC75" i="31"/>
  <c r="AD75" i="31"/>
  <c r="AE75" i="31"/>
  <c r="AF75" i="31"/>
  <c r="AG75" i="31"/>
  <c r="D76" i="31"/>
  <c r="E76" i="31"/>
  <c r="F76" i="31"/>
  <c r="G76" i="31"/>
  <c r="Z76" i="31"/>
  <c r="AA76" i="31"/>
  <c r="AB76" i="31"/>
  <c r="AC76" i="31"/>
  <c r="AD76" i="31"/>
  <c r="AE76" i="31"/>
  <c r="AF76" i="31"/>
  <c r="AG76" i="31"/>
  <c r="D77" i="31"/>
  <c r="E77" i="31"/>
  <c r="F77" i="31"/>
  <c r="G77" i="31"/>
  <c r="Z77" i="31"/>
  <c r="AA77" i="31"/>
  <c r="AB77" i="31"/>
  <c r="AC77" i="31"/>
  <c r="AD77" i="31"/>
  <c r="AE77" i="31"/>
  <c r="AF77" i="31"/>
  <c r="AG77" i="31"/>
  <c r="D78" i="31"/>
  <c r="E78" i="31"/>
  <c r="F78" i="31"/>
  <c r="G78" i="31"/>
  <c r="Z78" i="31"/>
  <c r="AA78" i="31"/>
  <c r="AB78" i="31"/>
  <c r="AC78" i="31"/>
  <c r="AD78" i="31"/>
  <c r="AE78" i="31"/>
  <c r="AF78" i="31"/>
  <c r="AG78" i="31"/>
  <c r="D79" i="31"/>
  <c r="E79" i="31"/>
  <c r="F79" i="31"/>
  <c r="G79" i="31"/>
  <c r="Z79" i="31"/>
  <c r="AA79" i="31"/>
  <c r="AB79" i="31"/>
  <c r="AC79" i="31"/>
  <c r="AD79" i="31"/>
  <c r="AE79" i="31"/>
  <c r="AF79" i="31"/>
  <c r="AG79" i="31"/>
  <c r="D80" i="31"/>
  <c r="E80" i="31"/>
  <c r="F80" i="31"/>
  <c r="G80" i="31"/>
  <c r="Z80" i="31"/>
  <c r="AA80" i="31"/>
  <c r="AB80" i="31"/>
  <c r="AC80" i="31"/>
  <c r="AD80" i="31"/>
  <c r="AE80" i="31"/>
  <c r="AF80" i="31"/>
  <c r="AG80" i="31"/>
  <c r="D81" i="31"/>
  <c r="E81" i="31"/>
  <c r="F81" i="31"/>
  <c r="G81" i="31"/>
  <c r="Z81" i="31"/>
  <c r="AA81" i="31"/>
  <c r="AB81" i="31"/>
  <c r="AC81" i="31"/>
  <c r="AD81" i="31"/>
  <c r="AE81" i="31"/>
  <c r="AF81" i="31"/>
  <c r="AG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P91" i="31"/>
  <c r="AQ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G12" i="6"/>
  <c r="I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I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N8" i="30"/>
  <c r="P8" i="30"/>
  <c r="T8" i="30"/>
  <c r="AH8" i="30"/>
  <c r="AJ8" i="30"/>
  <c r="AL8" i="30"/>
  <c r="AN8" i="30"/>
  <c r="AP8" i="30"/>
  <c r="D11" i="30"/>
  <c r="E11" i="30"/>
  <c r="F11" i="30"/>
  <c r="G11" i="30"/>
  <c r="O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D59" i="30"/>
  <c r="E59" i="30"/>
  <c r="F59" i="30"/>
  <c r="G59" i="30"/>
  <c r="D60" i="30"/>
  <c r="E60" i="30"/>
  <c r="F60" i="30"/>
  <c r="G60" i="30"/>
  <c r="K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D70" i="30"/>
  <c r="E70" i="30"/>
  <c r="F70" i="30"/>
  <c r="G70" i="30"/>
  <c r="U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K81" i="30"/>
  <c r="W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W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S87" i="7"/>
  <c r="T87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E95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N8" i="27"/>
  <c r="P8" i="27"/>
  <c r="T8" i="27"/>
  <c r="AH8" i="27"/>
  <c r="AJ8" i="27"/>
  <c r="AL8" i="27"/>
  <c r="AN8" i="27"/>
  <c r="AP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N8" i="25"/>
  <c r="P8" i="25"/>
  <c r="T8" i="25"/>
  <c r="AH8" i="25"/>
  <c r="AJ8" i="25"/>
  <c r="AL8" i="25"/>
  <c r="AN8" i="25"/>
  <c r="AP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B20" i="25"/>
  <c r="AD20" i="25"/>
  <c r="AF20" i="25"/>
  <c r="AH20" i="25"/>
  <c r="AI20" i="25"/>
  <c r="AJ20" i="25"/>
  <c r="AK20" i="25"/>
  <c r="AL20" i="25"/>
  <c r="AM20" i="25"/>
  <c r="AN20" i="25"/>
  <c r="AO20" i="25"/>
  <c r="AP20" i="25"/>
  <c r="AQ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F41" i="25"/>
  <c r="AH41" i="25"/>
  <c r="AI41" i="25"/>
  <c r="AJ41" i="25"/>
  <c r="AK41" i="25"/>
  <c r="AL41" i="25"/>
  <c r="AM41" i="25"/>
  <c r="AN41" i="25"/>
  <c r="AO41" i="25"/>
  <c r="AP41" i="25"/>
  <c r="AQ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N8" i="26"/>
  <c r="P8" i="26"/>
  <c r="T8" i="26"/>
  <c r="AH8" i="26"/>
  <c r="AJ8" i="26"/>
  <c r="AL8" i="26"/>
  <c r="AN8" i="26"/>
  <c r="AP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AP59" i="26"/>
  <c r="AQ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AP60" i="26"/>
  <c r="AQ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AP61" i="26"/>
  <c r="AQ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D65" i="26"/>
  <c r="E65" i="26"/>
  <c r="F65" i="26"/>
  <c r="G65" i="26"/>
  <c r="H65" i="26"/>
  <c r="I65" i="26"/>
  <c r="J65" i="26"/>
  <c r="K65" i="26"/>
  <c r="L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AP65" i="26"/>
  <c r="AQ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AP66" i="26"/>
  <c r="AQ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AP71" i="26"/>
  <c r="AQ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AP72" i="26"/>
  <c r="AQ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P73" i="26"/>
  <c r="AQ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AP79" i="26"/>
  <c r="AQ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P82" i="26"/>
  <c r="AQ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N8" i="28"/>
  <c r="P8" i="28"/>
  <c r="T8" i="28"/>
  <c r="AH8" i="28"/>
  <c r="AJ8" i="28"/>
  <c r="AL8" i="28"/>
  <c r="AN8" i="28"/>
  <c r="AP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B20" i="28"/>
  <c r="AD20" i="28"/>
  <c r="AF20" i="28"/>
  <c r="AH20" i="28"/>
  <c r="AI20" i="28"/>
  <c r="AJ20" i="28"/>
  <c r="AK20" i="28"/>
  <c r="AL20" i="28"/>
  <c r="AM20" i="28"/>
  <c r="AN20" i="28"/>
  <c r="AO20" i="28"/>
  <c r="AP20" i="28"/>
  <c r="AQ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transferred from Fin. Liq.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# downloaded as 465 but should be 482 per matrix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and Liquidation reclass 9801-9904 to clear variances per P. Love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February for MTM timing diffence adjustment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Y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Reverses in May
</t>
        </r>
      </text>
    </comment>
    <comment ref="H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2nd value reclassed up from interdesk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<sst xmlns="http://schemas.openxmlformats.org/spreadsheetml/2006/main" count="4940" uniqueCount="203">
  <si>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</si>
  <si>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</si>
  <si>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</si>
  <si>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</si>
  <si>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</si>
  <si>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</si>
  <si>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</si>
  <si>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</si>
  <si>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</si>
  <si>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</si>
  <si>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</si>
  <si>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</si>
  <si>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</si>
  <si>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</si>
  <si>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</si>
  <si>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</si>
  <si>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</si>
  <si>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</si>
  <si>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</si>
  <si>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</si>
  <si>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</si>
  <si>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</si>
  <si>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</si>
  <si>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</si>
  <si>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</si>
  <si>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</si>
  <si>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</si>
  <si>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</si>
  <si>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</si>
  <si>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</si>
  <si>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</si>
  <si>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</si>
  <si>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</si>
  <si>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</si>
  <si>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</si>
  <si>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</si>
  <si>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</si>
  <si>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</si>
  <si>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</si>
  <si>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</si>
  <si>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</si>
  <si>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</si>
  <si>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</si>
  <si>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</si>
  <si>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</si>
  <si>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</si>
  <si>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</si>
  <si>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</si>
  <si>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</si>
  <si>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</si>
  <si>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</si>
  <si>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</si>
  <si>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</si>
  <si>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</si>
  <si>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</si>
  <si>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</si>
  <si>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</si>
  <si>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</si>
  <si>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</si>
  <si>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</si>
  <si>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</si>
  <si>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</si>
  <si>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</si>
  <si>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</si>
  <si>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</si>
  <si>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</si>
  <si>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</si>
  <si>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</si>
  <si>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</si>
  <si>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</si>
  <si>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</si>
  <si>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</si>
  <si>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</si>
  <si>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</si>
  <si>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</si>
  <si>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</si>
  <si>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</si>
  <si>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</si>
  <si>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</si>
  <si>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</si>
  <si>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</si>
  <si>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</si>
  <si>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</si>
  <si>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</si>
  <si>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</si>
  <si>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</si>
  <si>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</si>
  <si>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</si>
  <si>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</si>
  <si>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</si>
  <si>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</si>
  <si>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</si>
  <si>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</si>
  <si>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</si>
  <si>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</si>
  <si>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</si>
  <si>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</si>
  <si>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</si>
  <si>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</si>
  <si>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</si>
  <si>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</si>
  <si>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</si>
  <si>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</si>
  <si>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</si>
  <si>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</si>
  <si>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</si>
  <si>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</si>
  <si>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</si>
  <si>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</si>
  <si>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</si>
  <si>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</si>
  <si>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</si>
  <si>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</si>
  <si>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</si>
  <si>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</si>
  <si>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</si>
  <si>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</si>
  <si>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</si>
  <si>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</si>
  <si>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</si>
  <si>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</si>
  <si>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</si>
  <si>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</si>
  <si>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</si>
  <si>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</si>
  <si>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</si>
  <si>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</si>
  <si>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</si>
  <si>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</si>
  <si>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</si>
  <si>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</si>
  <si>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</si>
  <si>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</si>
  <si>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</si>
  <si>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</si>
  <si>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</si>
  <si>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</si>
  <si>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</si>
  <si>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</si>
  <si>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</si>
  <si>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</si>
  <si>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</si>
  <si>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</si>
  <si>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</si>
  <si>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</si>
  <si>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</si>
  <si>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</si>
  <si>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</si>
  <si>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</si>
  <si>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</si>
  <si>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</si>
  <si>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</si>
  <si>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</si>
  <si>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</si>
  <si>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</si>
  <si>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</si>
  <si>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</si>
  <si>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</si>
  <si>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</si>
  <si>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</si>
  <si>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</si>
  <si>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</si>
  <si>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</si>
  <si>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</si>
  <si>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</si>
  <si>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</si>
  <si>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</si>
  <si>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</si>
  <si>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</si>
  <si>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April</t>
  </si>
  <si>
    <t>ONTARIO</t>
  </si>
  <si>
    <t>PRODUCTION MONTH: 9904</t>
  </si>
  <si>
    <t>May</t>
  </si>
  <si>
    <t>9904V</t>
  </si>
  <si>
    <t>9904A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</si>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</sst>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4" fillId="0" borderId="0" xfId="0" applyFont="1" applyAlignment="1">
      <alignment horizontal="centerContinuous"/>
    </xf>
    <xf numFmtId="165" fontId="4" fillId="0" borderId="0" xfId="1" applyNumberFormat="1" applyFont="1"/>
    <xf numFmtId="165" fontId="4" fillId="0" borderId="6" xfId="1" applyNumberFormat="1" applyFont="1" applyBorder="1"/>
    <xf numFmtId="165" fontId="24" fillId="0" borderId="2" xfId="1" applyNumberFormat="1" applyFont="1" applyBorder="1"/>
    <xf numFmtId="165" fontId="24" fillId="0" borderId="11" xfId="1" applyNumberFormat="1" applyFont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631995-8BA6-CD5F-D6EC-58081C989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2BCDA17-8631-7AED-B756-274A35DE3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BDD49CC-AF30-F42A-B033-BE3E49DEA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8C955E3-A948-BF8E-A6EF-057872A84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D4028E9-F8DD-6BF0-3D0C-6F8B1D079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E2AD460-B423-BC74-CA37-EA6979C85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7B5A93E-AF37-EDC1-199C-2B3371F23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5FBEBD5-AAE2-AF30-2919-F9CC7829C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A46697D-840B-26ED-506D-4A98E0100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ECD1FAD-A634-7ED5-95A7-685DA31B5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C983EF2-BBE1-141E-215D-4E5896C54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5">
          <cell r="C45">
            <v>-68465.620000001043</v>
          </cell>
          <cell r="G45">
            <v>-936653.62000000104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2">
          <cell r="B42">
            <v>-1675369</v>
          </cell>
          <cell r="C42">
            <v>-3155180</v>
          </cell>
          <cell r="D42">
            <v>0</v>
          </cell>
          <cell r="E42">
            <v>0</v>
          </cell>
          <cell r="F42">
            <v>0</v>
          </cell>
          <cell r="G42">
            <v>201713</v>
          </cell>
          <cell r="H42">
            <v>753878</v>
          </cell>
          <cell r="I42">
            <v>0</v>
          </cell>
          <cell r="J42">
            <v>0</v>
          </cell>
          <cell r="K42">
            <v>0</v>
          </cell>
          <cell r="L42">
            <v>1205497</v>
          </cell>
          <cell r="M42">
            <v>2510095</v>
          </cell>
          <cell r="O42">
            <v>1027554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A84" sqref="A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8" activePane="bottomRight" state="frozen"/>
      <selection activeCell="A91" sqref="A91"/>
      <selection pane="topRight" activeCell="A91" sqref="A91"/>
      <selection pane="bottomLeft" activeCell="A91" sqref="A91"/>
      <selection pane="bottomRight" activeCell="E86" sqref="E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53372064</v>
      </c>
      <c r="E11" s="38">
        <v>99510884.609999999</v>
      </c>
      <c r="F11" s="65">
        <f>H11-D11</f>
        <v>0</v>
      </c>
      <c r="G11" s="63">
        <f>I11-E11</f>
        <v>0</v>
      </c>
      <c r="H11" s="65">
        <f>D11</f>
        <v>53372064</v>
      </c>
      <c r="I11" s="66">
        <f>E11</f>
        <v>99510884.609999999</v>
      </c>
      <c r="J11" s="60"/>
      <c r="K11" s="38"/>
      <c r="L11" s="60">
        <f t="shared" ref="L11:M15" si="0">H11+J11</f>
        <v>53372064</v>
      </c>
      <c r="M11" s="38">
        <f t="shared" si="0"/>
        <v>99510884.609999999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514697</v>
      </c>
      <c r="E13" s="38">
        <v>984713.35</v>
      </c>
      <c r="F13" s="65">
        <f t="shared" si="1"/>
        <v>0</v>
      </c>
      <c r="G13" s="63">
        <f t="shared" si="1"/>
        <v>0</v>
      </c>
      <c r="H13" s="65">
        <f t="shared" si="2"/>
        <v>514697</v>
      </c>
      <c r="I13" s="66">
        <f t="shared" si="2"/>
        <v>984713.35</v>
      </c>
      <c r="J13" s="60"/>
      <c r="K13" s="38"/>
      <c r="L13" s="60">
        <f t="shared" si="0"/>
        <v>514697</v>
      </c>
      <c r="M13" s="38">
        <f t="shared" si="0"/>
        <v>984713.35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53886761</v>
      </c>
      <c r="E16" s="39">
        <v>100495597.95999999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53886761</v>
      </c>
      <c r="I16" s="39">
        <f>SUM(I11:I15)</f>
        <v>100495597.95999999</v>
      </c>
      <c r="J16" s="61">
        <f t="shared" si="3"/>
        <v>0</v>
      </c>
      <c r="K16" s="39">
        <f t="shared" si="3"/>
        <v>0</v>
      </c>
      <c r="L16" s="61">
        <f t="shared" si="3"/>
        <v>53886761</v>
      </c>
      <c r="M16" s="39">
        <f t="shared" si="3"/>
        <v>100495597.95999999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-53004340</v>
      </c>
      <c r="E19" s="38">
        <v>-98347722.459999993</v>
      </c>
      <c r="F19" s="65">
        <f>H19-D19</f>
        <v>0</v>
      </c>
      <c r="G19" s="63">
        <f>I19-E19</f>
        <v>0</v>
      </c>
      <c r="H19" s="65">
        <f t="shared" si="4"/>
        <v>-53004340</v>
      </c>
      <c r="I19" s="66">
        <f t="shared" si="4"/>
        <v>-98347722.459999993</v>
      </c>
      <c r="J19" s="60"/>
      <c r="K19" s="38"/>
      <c r="L19" s="60">
        <f t="shared" ref="L19:M23" si="5">H19+J19</f>
        <v>-53004340</v>
      </c>
      <c r="M19" s="38">
        <f t="shared" si="5"/>
        <v>-98347722.459999993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-2711686</v>
      </c>
      <c r="E21" s="38">
        <v>-5239910.5</v>
      </c>
      <c r="F21" s="65">
        <f t="shared" si="6"/>
        <v>0</v>
      </c>
      <c r="G21" s="63">
        <f t="shared" si="6"/>
        <v>0</v>
      </c>
      <c r="H21" s="65">
        <f t="shared" si="4"/>
        <v>-2711686</v>
      </c>
      <c r="I21" s="66">
        <f t="shared" si="4"/>
        <v>-5239910.5</v>
      </c>
      <c r="J21" s="60"/>
      <c r="K21" s="38"/>
      <c r="L21" s="60">
        <f t="shared" si="5"/>
        <v>-2711686</v>
      </c>
      <c r="M21" s="38">
        <f t="shared" si="5"/>
        <v>-5239910.5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-55716026</v>
      </c>
      <c r="E24" s="39">
        <v>-103587632.95999999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-55716026</v>
      </c>
      <c r="I24" s="39">
        <f>SUM(I19:I23)</f>
        <v>-103587632.95999999</v>
      </c>
      <c r="J24" s="61">
        <f t="shared" si="7"/>
        <v>0</v>
      </c>
      <c r="K24" s="39">
        <f t="shared" si="7"/>
        <v>0</v>
      </c>
      <c r="L24" s="61">
        <f t="shared" si="7"/>
        <v>-55716026</v>
      </c>
      <c r="M24" s="39">
        <f t="shared" si="7"/>
        <v>-103587632.95999999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33282477</v>
      </c>
      <c r="E27" s="38">
        <v>70150974.940000013</v>
      </c>
      <c r="F27" s="65">
        <f>H27-D27</f>
        <v>0</v>
      </c>
      <c r="G27" s="63">
        <f>I27-E27</f>
        <v>0</v>
      </c>
      <c r="H27" s="65">
        <f>D27</f>
        <v>33282477</v>
      </c>
      <c r="I27" s="66">
        <f>E27</f>
        <v>70150974.940000013</v>
      </c>
      <c r="J27" s="60"/>
      <c r="K27" s="38"/>
      <c r="L27" s="60">
        <f>H27+J27</f>
        <v>33282477</v>
      </c>
      <c r="M27" s="38">
        <f>I27+K27</f>
        <v>70150974.940000013</v>
      </c>
    </row>
    <row r="28" spans="1:13" x14ac:dyDescent="0.2">
      <c r="A28" s="9">
        <v>12</v>
      </c>
      <c r="B28" s="7"/>
      <c r="C28" s="18" t="s">
        <v>38</v>
      </c>
      <c r="D28" s="60">
        <v>-33509812</v>
      </c>
      <c r="E28" s="38">
        <v>-70573818.040000007</v>
      </c>
      <c r="F28" s="65">
        <f>H28-D28</f>
        <v>0</v>
      </c>
      <c r="G28" s="63">
        <f>I28-E28</f>
        <v>0</v>
      </c>
      <c r="H28" s="65">
        <f>D28</f>
        <v>-33509812</v>
      </c>
      <c r="I28" s="66">
        <f>E28</f>
        <v>-70573818.040000007</v>
      </c>
      <c r="J28" s="60"/>
      <c r="K28" s="38"/>
      <c r="L28" s="60">
        <f>H28+J28</f>
        <v>-33509812</v>
      </c>
      <c r="M28" s="38">
        <f>I28+K28</f>
        <v>-70573818.040000007</v>
      </c>
    </row>
    <row r="29" spans="1:13" x14ac:dyDescent="0.2">
      <c r="A29" s="9"/>
      <c r="B29" s="7" t="s">
        <v>39</v>
      </c>
      <c r="C29" s="6"/>
      <c r="D29" s="61">
        <v>-227335</v>
      </c>
      <c r="E29" s="39">
        <v>-422843.09999999404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-227335</v>
      </c>
      <c r="I29" s="39">
        <f>SUM(I27:I28)</f>
        <v>-422843.09999999404</v>
      </c>
      <c r="J29" s="61">
        <f t="shared" si="8"/>
        <v>0</v>
      </c>
      <c r="K29" s="39">
        <f t="shared" si="8"/>
        <v>0</v>
      </c>
      <c r="L29" s="61">
        <f t="shared" si="8"/>
        <v>-227335</v>
      </c>
      <c r="M29" s="39">
        <f t="shared" si="8"/>
        <v>-422843.09999999404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-497811</v>
      </c>
      <c r="E33" s="38">
        <v>-904662.39787830831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-497811</v>
      </c>
      <c r="I33" s="66">
        <f t="shared" si="9"/>
        <v>-904662.39787830831</v>
      </c>
      <c r="J33" s="60"/>
      <c r="K33" s="38"/>
      <c r="L33" s="60">
        <f t="shared" si="10"/>
        <v>-497811</v>
      </c>
      <c r="M33" s="38">
        <f t="shared" si="10"/>
        <v>-904662.39787830831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-497811</v>
      </c>
      <c r="E36" s="39">
        <v>-904662.39787830831</v>
      </c>
      <c r="F36" s="61">
        <f>SUM(F32:F35)</f>
        <v>0</v>
      </c>
      <c r="G36" s="39">
        <f>SUM(G32:G35)</f>
        <v>0</v>
      </c>
      <c r="H36" s="61">
        <f>SUM(H32:H35)</f>
        <v>-497811</v>
      </c>
      <c r="I36" s="39">
        <f>SUM(I32:I35)</f>
        <v>-904662.39787830831</v>
      </c>
      <c r="J36" s="61">
        <f>SUM(J32:J34)</f>
        <v>0</v>
      </c>
      <c r="K36" s="39">
        <f>SUM(K32:K34)</f>
        <v>0</v>
      </c>
      <c r="L36" s="61">
        <f>SUM(L32:L35)</f>
        <v>-497811</v>
      </c>
      <c r="M36" s="39">
        <f>SUM(M32:M35)</f>
        <v>-904662.39787830831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4532382</v>
      </c>
      <c r="E39" s="38">
        <v>7102748</v>
      </c>
      <c r="F39" s="65">
        <f t="shared" ref="F39:G41" si="13">H39-D39</f>
        <v>0</v>
      </c>
      <c r="G39" s="63">
        <f t="shared" si="13"/>
        <v>0</v>
      </c>
      <c r="H39" s="65">
        <f t="shared" si="12"/>
        <v>4532382</v>
      </c>
      <c r="I39" s="66">
        <f t="shared" si="12"/>
        <v>7102748</v>
      </c>
      <c r="J39" s="60"/>
      <c r="K39" s="38"/>
      <c r="L39" s="60">
        <f t="shared" ref="L39:M41" si="14">H39+J39</f>
        <v>4532382</v>
      </c>
      <c r="M39" s="38">
        <f t="shared" si="14"/>
        <v>7102748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-1977971</v>
      </c>
      <c r="E40" s="38">
        <v>-3080609</v>
      </c>
      <c r="F40" s="65">
        <f t="shared" si="13"/>
        <v>0</v>
      </c>
      <c r="G40" s="63">
        <f t="shared" si="13"/>
        <v>0</v>
      </c>
      <c r="H40" s="65">
        <f t="shared" si="12"/>
        <v>-1977971</v>
      </c>
      <c r="I40" s="66">
        <f t="shared" si="12"/>
        <v>-3080609</v>
      </c>
      <c r="J40" s="60"/>
      <c r="K40" s="38"/>
      <c r="L40" s="60">
        <f t="shared" si="14"/>
        <v>-1977971</v>
      </c>
      <c r="M40" s="38">
        <f t="shared" si="14"/>
        <v>-3080609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-1977971</v>
      </c>
      <c r="E42" s="39">
        <v>-3080609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-1977971</v>
      </c>
      <c r="I42" s="39">
        <f>SUM(I40:I41)</f>
        <v>-3080609</v>
      </c>
      <c r="J42" s="61">
        <f t="shared" si="15"/>
        <v>0</v>
      </c>
      <c r="K42" s="39">
        <f t="shared" si="15"/>
        <v>0</v>
      </c>
      <c r="L42" s="69">
        <f t="shared" si="15"/>
        <v>-1977971</v>
      </c>
      <c r="M42" s="70">
        <f t="shared" si="15"/>
        <v>-3080609</v>
      </c>
    </row>
    <row r="43" spans="1:13" ht="21" customHeight="1" x14ac:dyDescent="0.2">
      <c r="A43" s="9"/>
      <c r="B43" s="7" t="s">
        <v>51</v>
      </c>
      <c r="C43" s="6"/>
      <c r="D43" s="60">
        <v>2554411</v>
      </c>
      <c r="E43" s="38">
        <v>4022139</v>
      </c>
      <c r="F43" s="61">
        <f t="shared" ref="F43:M43" si="16">F42+F39</f>
        <v>0</v>
      </c>
      <c r="G43" s="39">
        <f t="shared" si="16"/>
        <v>0</v>
      </c>
      <c r="H43" s="61">
        <f>H42+H39</f>
        <v>2554411</v>
      </c>
      <c r="I43" s="39">
        <f>I42+I39</f>
        <v>4022139</v>
      </c>
      <c r="J43" s="61">
        <f t="shared" si="16"/>
        <v>0</v>
      </c>
      <c r="K43" s="39">
        <f t="shared" si="16"/>
        <v>0</v>
      </c>
      <c r="L43" s="61">
        <f t="shared" si="16"/>
        <v>2554411</v>
      </c>
      <c r="M43" s="39">
        <f t="shared" si="16"/>
        <v>4022139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-904705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-904705</v>
      </c>
      <c r="J54" s="60"/>
      <c r="K54" s="38"/>
      <c r="L54" s="60">
        <f>H54+J54</f>
        <v>0</v>
      </c>
      <c r="M54" s="38">
        <f>I54+K54</f>
        <v>-904705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-904705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-904705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-904705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1054678.81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1054678.81</v>
      </c>
      <c r="J70" s="60"/>
      <c r="K70" s="38"/>
      <c r="L70" s="60">
        <f t="shared" si="20"/>
        <v>0</v>
      </c>
      <c r="M70" s="38">
        <f t="shared" si="20"/>
        <v>1054678.81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-468909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-468909</v>
      </c>
      <c r="J71" s="60"/>
      <c r="K71" s="38"/>
      <c r="L71" s="60">
        <f t="shared" si="20"/>
        <v>0</v>
      </c>
      <c r="M71" s="38">
        <f t="shared" si="20"/>
        <v>-468909</v>
      </c>
    </row>
    <row r="72" spans="1:13" x14ac:dyDescent="0.2">
      <c r="A72" s="9"/>
      <c r="B72" s="3"/>
      <c r="C72" s="55" t="s">
        <v>71</v>
      </c>
      <c r="D72" s="61">
        <v>0</v>
      </c>
      <c r="E72" s="39">
        <v>585769.81000000006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585769.81000000006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585769.81000000006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1279584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1279584</v>
      </c>
      <c r="J74" s="60"/>
      <c r="K74" s="38"/>
      <c r="L74" s="60">
        <f t="shared" si="23"/>
        <v>0</v>
      </c>
      <c r="M74" s="38">
        <f t="shared" si="23"/>
        <v>1279584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118667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118667</v>
      </c>
      <c r="J75" s="60"/>
      <c r="K75" s="38"/>
      <c r="L75" s="60">
        <f t="shared" si="23"/>
        <v>0</v>
      </c>
      <c r="M75" s="38">
        <f t="shared" si="23"/>
        <v>118667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-14678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-14678</v>
      </c>
      <c r="J76" s="60"/>
      <c r="K76" s="38"/>
      <c r="L76" s="60">
        <f t="shared" si="23"/>
        <v>0</v>
      </c>
      <c r="M76" s="38">
        <f t="shared" si="23"/>
        <v>-14678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-10000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-10000</v>
      </c>
      <c r="J77" s="60"/>
      <c r="K77" s="38"/>
      <c r="L77" s="60">
        <f t="shared" si="23"/>
        <v>0</v>
      </c>
      <c r="M77" s="38">
        <f t="shared" si="23"/>
        <v>-10000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269286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269286</v>
      </c>
      <c r="J81" s="60"/>
      <c r="K81" s="38"/>
      <c r="L81" s="60">
        <f t="shared" si="23"/>
        <v>0</v>
      </c>
      <c r="M81" s="38">
        <f t="shared" si="23"/>
        <v>269286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165">
        <f>SUM(E72:E81)+E16+E24+E29+E36+E43+E45+E47+E49+E51+E56+E61+E66</f>
        <v>901522.31212170003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901522.31212170003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901522.31212170003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185</v>
      </c>
      <c r="B85" s="3"/>
      <c r="M85" s="45">
        <f>M82+'TX-HPL-FLSH'!M82</f>
        <v>955301.3022338649</v>
      </c>
    </row>
    <row r="86" spans="1:67" s="3" customFormat="1" x14ac:dyDescent="0.2">
      <c r="A86" s="177"/>
      <c r="C86" s="10" t="s">
        <v>181</v>
      </c>
      <c r="D86" s="181">
        <v>0</v>
      </c>
      <c r="E86" s="181">
        <v>114066</v>
      </c>
      <c r="F86" s="181">
        <f t="shared" ref="F86:G88" si="25">H86-D86</f>
        <v>0</v>
      </c>
      <c r="G86" s="181">
        <f t="shared" si="25"/>
        <v>0</v>
      </c>
      <c r="H86" s="181">
        <f t="shared" ref="H86:I88" si="26">D86</f>
        <v>0</v>
      </c>
      <c r="I86" s="181">
        <f t="shared" si="26"/>
        <v>114066</v>
      </c>
      <c r="J86" s="181"/>
      <c r="K86" s="181"/>
      <c r="L86" s="181">
        <f t="shared" ref="L86:M88" si="27">H86+J86</f>
        <v>0</v>
      </c>
      <c r="M86" s="181">
        <f t="shared" si="27"/>
        <v>114066</v>
      </c>
    </row>
    <row r="87" spans="1:67" s="3" customFormat="1" x14ac:dyDescent="0.2">
      <c r="A87" s="177"/>
      <c r="C87" s="10" t="s">
        <v>73</v>
      </c>
      <c r="D87" s="182">
        <v>0</v>
      </c>
      <c r="E87" s="182">
        <v>0</v>
      </c>
      <c r="F87" s="182">
        <f t="shared" si="25"/>
        <v>0</v>
      </c>
      <c r="G87" s="182">
        <f t="shared" si="25"/>
        <v>0</v>
      </c>
      <c r="H87" s="182">
        <f t="shared" si="26"/>
        <v>0</v>
      </c>
      <c r="I87" s="182">
        <f t="shared" si="26"/>
        <v>0</v>
      </c>
      <c r="J87" s="182"/>
      <c r="K87" s="182"/>
      <c r="L87" s="182">
        <f t="shared" si="27"/>
        <v>0</v>
      </c>
      <c r="M87" s="182">
        <f t="shared" si="27"/>
        <v>0</v>
      </c>
    </row>
    <row r="88" spans="1:67" s="3" customFormat="1" x14ac:dyDescent="0.2">
      <c r="A88" s="177"/>
      <c r="C88" s="10" t="s">
        <v>74</v>
      </c>
      <c r="D88" s="183">
        <v>0</v>
      </c>
      <c r="E88" s="183">
        <v>-113464</v>
      </c>
      <c r="F88" s="183">
        <f t="shared" si="25"/>
        <v>0</v>
      </c>
      <c r="G88" s="183">
        <f t="shared" si="25"/>
        <v>0</v>
      </c>
      <c r="H88" s="183">
        <f t="shared" si="26"/>
        <v>0</v>
      </c>
      <c r="I88" s="183">
        <f t="shared" si="26"/>
        <v>-113464</v>
      </c>
      <c r="J88" s="183"/>
      <c r="K88" s="183"/>
      <c r="L88" s="183">
        <f t="shared" si="27"/>
        <v>0</v>
      </c>
      <c r="M88" s="183">
        <f t="shared" si="27"/>
        <v>-113464</v>
      </c>
    </row>
    <row r="89" spans="1:67" s="44" customFormat="1" ht="20.25" customHeight="1" x14ac:dyDescent="0.2">
      <c r="A89" s="184"/>
      <c r="B89" s="185"/>
      <c r="C89" s="186" t="s">
        <v>184</v>
      </c>
      <c r="D89" s="188">
        <f>SUM(D86:D88)</f>
        <v>0</v>
      </c>
      <c r="E89" s="188">
        <f t="shared" ref="E89:M89" si="28">SUM(E86:E88)</f>
        <v>602</v>
      </c>
      <c r="F89" s="188">
        <f t="shared" si="28"/>
        <v>0</v>
      </c>
      <c r="G89" s="188">
        <f t="shared" si="28"/>
        <v>0</v>
      </c>
      <c r="H89" s="188">
        <f t="shared" si="28"/>
        <v>0</v>
      </c>
      <c r="I89" s="188">
        <f t="shared" si="28"/>
        <v>602</v>
      </c>
      <c r="J89" s="188">
        <f t="shared" si="28"/>
        <v>0</v>
      </c>
      <c r="K89" s="188">
        <f t="shared" si="28"/>
        <v>0</v>
      </c>
      <c r="L89" s="188">
        <f t="shared" si="28"/>
        <v>0</v>
      </c>
      <c r="M89" s="188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4"/>
      <c r="B91" s="185"/>
      <c r="C91" s="186" t="s">
        <v>182</v>
      </c>
      <c r="D91" s="188">
        <f>+D82+D89</f>
        <v>0</v>
      </c>
      <c r="E91" s="188">
        <f t="shared" ref="E91:M91" si="29">+E82+E89</f>
        <v>902124.31212170003</v>
      </c>
      <c r="F91" s="188">
        <f t="shared" si="29"/>
        <v>0</v>
      </c>
      <c r="G91" s="188">
        <f t="shared" si="29"/>
        <v>0</v>
      </c>
      <c r="H91" s="188">
        <f t="shared" si="29"/>
        <v>0</v>
      </c>
      <c r="I91" s="188">
        <f t="shared" si="29"/>
        <v>902124.31212170003</v>
      </c>
      <c r="J91" s="188">
        <f t="shared" si="29"/>
        <v>0</v>
      </c>
      <c r="K91" s="188">
        <f t="shared" si="29"/>
        <v>0</v>
      </c>
      <c r="L91" s="188">
        <f t="shared" si="29"/>
        <v>0</v>
      </c>
      <c r="M91" s="188">
        <f t="shared" si="29"/>
        <v>902124.31212170003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M89" sqref="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943584</v>
      </c>
      <c r="E11" s="60">
        <v>1738028.39</v>
      </c>
      <c r="F11" s="60">
        <f>H11-D11</f>
        <v>0</v>
      </c>
      <c r="G11" s="37">
        <f>I11-E11</f>
        <v>0</v>
      </c>
      <c r="H11" s="65">
        <f>D11</f>
        <v>943584</v>
      </c>
      <c r="I11" s="66">
        <f>E11</f>
        <v>1738028.39</v>
      </c>
      <c r="J11" s="60"/>
      <c r="K11" s="38"/>
      <c r="L11" s="60">
        <f t="shared" ref="L11:M15" si="0">H11+J11</f>
        <v>943584</v>
      </c>
      <c r="M11" s="38">
        <f t="shared" si="0"/>
        <v>1738028.39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-0.34999999997671694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-0.34999999997671694</v>
      </c>
      <c r="J13" s="60"/>
      <c r="K13" s="38"/>
      <c r="L13" s="60">
        <f t="shared" si="0"/>
        <v>0</v>
      </c>
      <c r="M13" s="38">
        <f t="shared" si="0"/>
        <v>-0.34999999997671694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943584</v>
      </c>
      <c r="E16" s="39">
        <v>1738028.04</v>
      </c>
      <c r="F16" s="61">
        <f t="shared" ref="F16:M16" si="3">SUM(F11:F15)</f>
        <v>0</v>
      </c>
      <c r="G16" s="39">
        <f t="shared" si="3"/>
        <v>0</v>
      </c>
      <c r="H16" s="61">
        <f>SUM(H11:H15)</f>
        <v>943584</v>
      </c>
      <c r="I16" s="39">
        <f>SUM(I11:I15)</f>
        <v>1738028.04</v>
      </c>
      <c r="J16" s="61">
        <f t="shared" si="3"/>
        <v>0</v>
      </c>
      <c r="K16" s="39">
        <f t="shared" si="3"/>
        <v>0</v>
      </c>
      <c r="L16" s="61">
        <f t="shared" si="3"/>
        <v>943584</v>
      </c>
      <c r="M16" s="39">
        <f t="shared" si="3"/>
        <v>1738028.04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-1164627</v>
      </c>
      <c r="E19" s="60">
        <v>-2120376.5400000066</v>
      </c>
      <c r="F19" s="60">
        <f>H19-D19</f>
        <v>0</v>
      </c>
      <c r="G19" s="37">
        <f>I19-E19</f>
        <v>0</v>
      </c>
      <c r="H19" s="65">
        <f t="shared" si="4"/>
        <v>-1164627</v>
      </c>
      <c r="I19" s="66">
        <f t="shared" si="4"/>
        <v>-2120376.5400000066</v>
      </c>
      <c r="J19" s="60"/>
      <c r="K19" s="38"/>
      <c r="L19" s="60">
        <f t="shared" ref="L19:M23" si="5">H19+J19</f>
        <v>-1164627</v>
      </c>
      <c r="M19" s="38">
        <f t="shared" si="5"/>
        <v>-2120376.5400000066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-2.5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-2.5</v>
      </c>
      <c r="J21" s="60"/>
      <c r="K21" s="38"/>
      <c r="L21" s="60">
        <f t="shared" si="5"/>
        <v>0</v>
      </c>
      <c r="M21" s="38">
        <f t="shared" si="5"/>
        <v>-2.5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295</v>
      </c>
      <c r="E23" s="60">
        <v>574</v>
      </c>
      <c r="F23" s="60">
        <f t="shared" si="6"/>
        <v>0</v>
      </c>
      <c r="G23" s="37">
        <f t="shared" si="6"/>
        <v>0</v>
      </c>
      <c r="H23" s="65">
        <f t="shared" si="4"/>
        <v>295</v>
      </c>
      <c r="I23" s="66">
        <f t="shared" si="4"/>
        <v>574</v>
      </c>
      <c r="J23" s="60"/>
      <c r="K23" s="38"/>
      <c r="L23" s="60">
        <f t="shared" si="5"/>
        <v>295</v>
      </c>
      <c r="M23" s="38">
        <f t="shared" si="5"/>
        <v>574</v>
      </c>
    </row>
    <row r="24" spans="1:13" x14ac:dyDescent="0.2">
      <c r="A24" s="9"/>
      <c r="B24" s="7" t="s">
        <v>35</v>
      </c>
      <c r="C24" s="6"/>
      <c r="D24" s="61">
        <v>-1164332</v>
      </c>
      <c r="E24" s="39">
        <v>-2119805.0400000066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-1164332</v>
      </c>
      <c r="I24" s="39">
        <f>SUM(I19:I23)</f>
        <v>-2119805.0400000066</v>
      </c>
      <c r="J24" s="61">
        <f t="shared" si="7"/>
        <v>0</v>
      </c>
      <c r="K24" s="39">
        <f t="shared" si="7"/>
        <v>0</v>
      </c>
      <c r="L24" s="61">
        <f t="shared" si="7"/>
        <v>-1164332</v>
      </c>
      <c r="M24" s="39">
        <f t="shared" si="7"/>
        <v>-2119805.0400000066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246774</v>
      </c>
      <c r="E27" s="60">
        <v>459013.05999998748</v>
      </c>
      <c r="F27" s="60">
        <f>H27-D27</f>
        <v>0</v>
      </c>
      <c r="G27" s="37">
        <f>I27-E27</f>
        <v>0</v>
      </c>
      <c r="H27" s="65">
        <f>D27</f>
        <v>246774</v>
      </c>
      <c r="I27" s="66">
        <f>E27</f>
        <v>459013.05999998748</v>
      </c>
      <c r="J27" s="60"/>
      <c r="K27" s="38"/>
      <c r="L27" s="60">
        <f>H27+J27</f>
        <v>246774</v>
      </c>
      <c r="M27" s="38">
        <f>I27+K27</f>
        <v>459013.05999998748</v>
      </c>
    </row>
    <row r="28" spans="1:13" x14ac:dyDescent="0.2">
      <c r="A28" s="9">
        <v>12</v>
      </c>
      <c r="B28" s="7"/>
      <c r="C28" s="18" t="s">
        <v>38</v>
      </c>
      <c r="D28" s="60">
        <v>-19439</v>
      </c>
      <c r="E28" s="60">
        <v>-36170.959999993443</v>
      </c>
      <c r="F28" s="60">
        <f>H28-D28</f>
        <v>0</v>
      </c>
      <c r="G28" s="37">
        <f>I28-E28</f>
        <v>0</v>
      </c>
      <c r="H28" s="65">
        <f>D28</f>
        <v>-19439</v>
      </c>
      <c r="I28" s="66">
        <f>E28</f>
        <v>-36170.959999993443</v>
      </c>
      <c r="J28" s="60"/>
      <c r="K28" s="38"/>
      <c r="L28" s="60">
        <f>H28+J28</f>
        <v>-19439</v>
      </c>
      <c r="M28" s="38">
        <f>I28+K28</f>
        <v>-36170.959999993443</v>
      </c>
    </row>
    <row r="29" spans="1:13" x14ac:dyDescent="0.2">
      <c r="A29" s="9"/>
      <c r="B29" s="7" t="s">
        <v>39</v>
      </c>
      <c r="C29" s="6"/>
      <c r="D29" s="61">
        <v>227335</v>
      </c>
      <c r="E29" s="39">
        <v>422842.09999999404</v>
      </c>
      <c r="F29" s="61">
        <f t="shared" ref="F29:M29" si="8">SUM(F27:F28)</f>
        <v>0</v>
      </c>
      <c r="G29" s="39">
        <f t="shared" si="8"/>
        <v>0</v>
      </c>
      <c r="H29" s="61">
        <f>SUM(H27:H28)</f>
        <v>227335</v>
      </c>
      <c r="I29" s="39">
        <f>SUM(I27:I28)</f>
        <v>422842.09999999404</v>
      </c>
      <c r="J29" s="61">
        <f t="shared" si="8"/>
        <v>0</v>
      </c>
      <c r="K29" s="39">
        <f t="shared" si="8"/>
        <v>0</v>
      </c>
      <c r="L29" s="61">
        <f t="shared" si="8"/>
        <v>227335</v>
      </c>
      <c r="M29" s="39">
        <f t="shared" si="8"/>
        <v>422842.09999999404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-6587</v>
      </c>
      <c r="E33" s="60">
        <v>-12283.109887822648</v>
      </c>
      <c r="F33" s="60">
        <f t="shared" ref="F33:G35" si="11">H33-D33</f>
        <v>0</v>
      </c>
      <c r="G33" s="37">
        <f t="shared" si="11"/>
        <v>0</v>
      </c>
      <c r="H33" s="65">
        <f t="shared" si="9"/>
        <v>-6587</v>
      </c>
      <c r="I33" s="66">
        <f t="shared" si="9"/>
        <v>-12283.109887822648</v>
      </c>
      <c r="J33" s="60"/>
      <c r="K33" s="38"/>
      <c r="L33" s="60">
        <f t="shared" si="10"/>
        <v>-6587</v>
      </c>
      <c r="M33" s="38">
        <f t="shared" si="10"/>
        <v>-12283.109887822648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-6587</v>
      </c>
      <c r="E36" s="39">
        <v>-12283.109887822648</v>
      </c>
      <c r="F36" s="61">
        <f>SUM(F32:F35)</f>
        <v>0</v>
      </c>
      <c r="G36" s="39">
        <f>SUM(G32:G35)</f>
        <v>0</v>
      </c>
      <c r="H36" s="61">
        <f>SUM(H32:H35)</f>
        <v>-6587</v>
      </c>
      <c r="I36" s="39">
        <f>SUM(I32:I35)</f>
        <v>-12283.109887822648</v>
      </c>
      <c r="J36" s="61">
        <f>SUM(J32:J34)</f>
        <v>0</v>
      </c>
      <c r="K36" s="39">
        <f>SUM(K32:K34)</f>
        <v>0</v>
      </c>
      <c r="L36" s="61">
        <f>SUM(L32:L35)</f>
        <v>-6587</v>
      </c>
      <c r="M36" s="39">
        <f>SUM(M32:M35)</f>
        <v>-12283.109887822648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-2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-2</v>
      </c>
      <c r="J39" s="60"/>
      <c r="K39" s="38"/>
      <c r="L39" s="60">
        <f t="shared" ref="L39:M41" si="14">H39+J39</f>
        <v>0</v>
      </c>
      <c r="M39" s="38">
        <f t="shared" si="14"/>
        <v>-2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-1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-1</v>
      </c>
      <c r="J40" s="60"/>
      <c r="K40" s="38"/>
      <c r="L40" s="60">
        <f t="shared" si="14"/>
        <v>0</v>
      </c>
      <c r="M40" s="38">
        <f t="shared" si="14"/>
        <v>-1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-1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-1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-1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-3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165">
        <f>SUM(E72:E81)+E16+E24+E29+E36+E43+E45+E47+E49+E51+E56+E61+E66</f>
        <v>53778.990112164873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53778.990112164873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53778.990112164873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f>'TX-EGM-FLSH'!D11+'TX-HPL-FLSH'!D11</f>
        <v>54315648</v>
      </c>
      <c r="E11" s="38">
        <f>'TX-EGM-FLSH'!E11+'TX-HPL-FLSH'!E11</f>
        <v>101248913</v>
      </c>
      <c r="F11" s="60">
        <f>H11-D11</f>
        <v>0</v>
      </c>
      <c r="G11" s="37">
        <f>I11-E11</f>
        <v>0</v>
      </c>
      <c r="H11" s="60">
        <f>'TX-EGM-FLSH'!H11+'TX-HPL-FLSH'!H11</f>
        <v>54315648</v>
      </c>
      <c r="I11" s="38">
        <f>'TX-EGM-FLSH'!I11+'TX-HPL-FLSH'!I11</f>
        <v>101248913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54315648</v>
      </c>
      <c r="M11" s="38">
        <f t="shared" si="0"/>
        <v>101248913</v>
      </c>
    </row>
    <row r="12" spans="1:26" x14ac:dyDescent="0.2">
      <c r="A12" s="9">
        <v>2</v>
      </c>
      <c r="B12" s="7"/>
      <c r="C12" s="18" t="s">
        <v>28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f>'TX-EGM-FLSH'!D13+'TX-HPL-FLSH'!D13</f>
        <v>514697</v>
      </c>
      <c r="E13" s="38">
        <f>'TX-EGM-FLSH'!E13+'TX-HPL-FLSH'!E13</f>
        <v>984713</v>
      </c>
      <c r="F13" s="60">
        <f t="shared" si="1"/>
        <v>0</v>
      </c>
      <c r="G13" s="37">
        <f t="shared" si="1"/>
        <v>0</v>
      </c>
      <c r="H13" s="60">
        <f>'TX-EGM-FLSH'!H13+'TX-HPL-FLSH'!H13</f>
        <v>514697</v>
      </c>
      <c r="I13" s="38">
        <f>'TX-EGM-FLSH'!I13+'TX-HPL-FLSH'!I13</f>
        <v>984713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514697</v>
      </c>
      <c r="M13" s="38">
        <f t="shared" si="0"/>
        <v>984713</v>
      </c>
    </row>
    <row r="14" spans="1:26" x14ac:dyDescent="0.2">
      <c r="A14" s="9">
        <v>4</v>
      </c>
      <c r="B14" s="7"/>
      <c r="C14" s="18" t="s">
        <v>30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f>'TX-EGM-FLSH'!D15+'TX-HPL-FLSH'!D15</f>
        <v>0</v>
      </c>
      <c r="E15" s="38">
        <f>'TX-EGM-FLSH'!E15+'TX-HPL-FLSH'!E15</f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 t="shared" ref="D16:M16" si="2">SUM(D11:D15)</f>
        <v>54830345</v>
      </c>
      <c r="E16" s="39">
        <f t="shared" si="2"/>
        <v>102233626</v>
      </c>
      <c r="F16" s="61">
        <f t="shared" si="2"/>
        <v>0</v>
      </c>
      <c r="G16" s="39">
        <f t="shared" si="2"/>
        <v>0</v>
      </c>
      <c r="H16" s="61">
        <f t="shared" si="2"/>
        <v>54830345</v>
      </c>
      <c r="I16" s="39">
        <f t="shared" si="2"/>
        <v>102233626</v>
      </c>
      <c r="J16" s="61">
        <f t="shared" si="2"/>
        <v>0</v>
      </c>
      <c r="K16" s="39">
        <f t="shared" si="2"/>
        <v>0</v>
      </c>
      <c r="L16" s="61">
        <f t="shared" si="2"/>
        <v>54830345</v>
      </c>
      <c r="M16" s="39">
        <f t="shared" si="2"/>
        <v>102233626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f>'TX-EGM-FLSH'!D19+'TX-HPL-FLSH'!D19</f>
        <v>-54168967</v>
      </c>
      <c r="E19" s="38">
        <f>'TX-EGM-FLSH'!E19+'TX-HPL-FLSH'!E19</f>
        <v>-100468099</v>
      </c>
      <c r="F19" s="60">
        <f>H19-D19</f>
        <v>0</v>
      </c>
      <c r="G19" s="37">
        <f>I19-E19</f>
        <v>0</v>
      </c>
      <c r="H19" s="60">
        <f>'TX-EGM-FLSH'!H19+'TX-HPL-FLSH'!H19</f>
        <v>-54168967</v>
      </c>
      <c r="I19" s="38">
        <f>'TX-EGM-FLSH'!I19+'TX-HPL-FLSH'!I19</f>
        <v>-100468099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-54168967</v>
      </c>
      <c r="M19" s="38">
        <f t="shared" si="3"/>
        <v>-100468099</v>
      </c>
    </row>
    <row r="20" spans="1:13" x14ac:dyDescent="0.2">
      <c r="A20" s="9">
        <v>7</v>
      </c>
      <c r="B20" s="7"/>
      <c r="C20" s="18" t="s">
        <v>28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0">
        <f>'TX-EGM-FLSH'!D21+'TX-HPL-FLSH'!D21</f>
        <v>-2711686</v>
      </c>
      <c r="E21" s="38">
        <f>'TX-EGM-FLSH'!E21+'TX-HPL-FLSH'!E21</f>
        <v>-5239913</v>
      </c>
      <c r="F21" s="60">
        <f t="shared" si="4"/>
        <v>0</v>
      </c>
      <c r="G21" s="37">
        <f t="shared" si="4"/>
        <v>0</v>
      </c>
      <c r="H21" s="60">
        <f>'TX-EGM-FLSH'!H21+'TX-HPL-FLSH'!H21</f>
        <v>-2711686</v>
      </c>
      <c r="I21" s="38">
        <f>'TX-EGM-FLSH'!I21+'TX-HPL-FLSH'!I21</f>
        <v>-5239913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-2711686</v>
      </c>
      <c r="M21" s="38">
        <f t="shared" si="3"/>
        <v>-5239913</v>
      </c>
    </row>
    <row r="22" spans="1:13" x14ac:dyDescent="0.2">
      <c r="A22" s="9">
        <v>9</v>
      </c>
      <c r="B22" s="7"/>
      <c r="C22" s="18" t="s">
        <v>30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0">
        <f>'TX-EGM-FLSH'!D23+'TX-HPL-FLSH'!D23</f>
        <v>295</v>
      </c>
      <c r="E23" s="38">
        <f>'TX-EGM-FLSH'!E23+'TX-HPL-FLSH'!E23</f>
        <v>574</v>
      </c>
      <c r="F23" s="60">
        <f t="shared" si="4"/>
        <v>0</v>
      </c>
      <c r="G23" s="37">
        <f t="shared" si="4"/>
        <v>0</v>
      </c>
      <c r="H23" s="60">
        <f>'TX-EGM-FLSH'!H23+'TX-HPL-FLSH'!H23</f>
        <v>295</v>
      </c>
      <c r="I23" s="38">
        <f>'TX-EGM-FLSH'!I23+'TX-HPL-FLSH'!I23</f>
        <v>574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295</v>
      </c>
      <c r="M23" s="38">
        <f t="shared" si="3"/>
        <v>574</v>
      </c>
    </row>
    <row r="24" spans="1:13" x14ac:dyDescent="0.2">
      <c r="A24" s="9"/>
      <c r="B24" s="7" t="s">
        <v>35</v>
      </c>
      <c r="C24" s="6"/>
      <c r="D24" s="61">
        <f t="shared" ref="D24:M24" si="5">SUM(D19:D23)</f>
        <v>-56880358</v>
      </c>
      <c r="E24" s="39">
        <f t="shared" si="5"/>
        <v>-105707438</v>
      </c>
      <c r="F24" s="61">
        <f t="shared" si="5"/>
        <v>0</v>
      </c>
      <c r="G24" s="39">
        <f t="shared" si="5"/>
        <v>0</v>
      </c>
      <c r="H24" s="61">
        <f t="shared" si="5"/>
        <v>-56880358</v>
      </c>
      <c r="I24" s="39">
        <f t="shared" si="5"/>
        <v>-105707438</v>
      </c>
      <c r="J24" s="61">
        <f t="shared" si="5"/>
        <v>0</v>
      </c>
      <c r="K24" s="39">
        <f t="shared" si="5"/>
        <v>0</v>
      </c>
      <c r="L24" s="61">
        <f t="shared" si="5"/>
        <v>-56880358</v>
      </c>
      <c r="M24" s="39">
        <f t="shared" si="5"/>
        <v>-105707438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f>'TX-EGM-FLSH'!D27+'TX-HPL-FLSH'!D27</f>
        <v>33529251</v>
      </c>
      <c r="E27" s="38">
        <f>'TX-EGM-FLSH'!E27+'TX-HPL-FLSH'!E27</f>
        <v>70609988</v>
      </c>
      <c r="F27" s="60">
        <f>H27-D27</f>
        <v>0</v>
      </c>
      <c r="G27" s="37">
        <f>I27-E27</f>
        <v>0</v>
      </c>
      <c r="H27" s="60">
        <f>'TX-EGM-FLSH'!H27+'TX-HPL-FLSH'!H27</f>
        <v>33529251</v>
      </c>
      <c r="I27" s="38">
        <f>'TX-EGM-FLSH'!I27+'TX-HPL-FLSH'!I27</f>
        <v>70609988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33529251</v>
      </c>
      <c r="M27" s="38">
        <f>I27+K27</f>
        <v>70609988</v>
      </c>
    </row>
    <row r="28" spans="1:13" x14ac:dyDescent="0.2">
      <c r="A28" s="9">
        <v>12</v>
      </c>
      <c r="B28" s="7"/>
      <c r="C28" s="18" t="s">
        <v>38</v>
      </c>
      <c r="D28" s="60">
        <f>'TX-EGM-FLSH'!D28+'TX-HPL-FLSH'!D28</f>
        <v>-33529251</v>
      </c>
      <c r="E28" s="38">
        <f>'TX-EGM-FLSH'!E28+'TX-HPL-FLSH'!E28</f>
        <v>-70609989</v>
      </c>
      <c r="F28" s="60">
        <f>H28-D28</f>
        <v>0</v>
      </c>
      <c r="G28" s="37">
        <f>I28-E28</f>
        <v>0</v>
      </c>
      <c r="H28" s="60">
        <f>'TX-EGM-FLSH'!H28+'TX-HPL-FLSH'!H28</f>
        <v>-33529251</v>
      </c>
      <c r="I28" s="38">
        <f>'TX-EGM-FLSH'!I28+'TX-HPL-FLSH'!I28</f>
        <v>-70609989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-33529251</v>
      </c>
      <c r="M28" s="38">
        <f>I28+K28</f>
        <v>-70609989</v>
      </c>
    </row>
    <row r="29" spans="1:13" x14ac:dyDescent="0.2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-1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-1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-1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42</v>
      </c>
      <c r="D33" s="60">
        <f>'TX-EGM-FLSH'!D33+'TX-HPL-FLSH'!D33</f>
        <v>-504398</v>
      </c>
      <c r="E33" s="38">
        <f>'TX-EGM-FLSH'!E33+'TX-HPL-FLSH'!E33</f>
        <v>-916945.50776613096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-504398</v>
      </c>
      <c r="I33" s="38">
        <f>'TX-EGM-FLSH'!I33+'TX-HPL-FLSH'!I33</f>
        <v>-916945.50776613096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-504398</v>
      </c>
      <c r="M33" s="38">
        <f t="shared" si="7"/>
        <v>-916945.50776613096</v>
      </c>
    </row>
    <row r="34" spans="1:13" x14ac:dyDescent="0.2">
      <c r="A34" s="9">
        <v>15</v>
      </c>
      <c r="B34" s="7"/>
      <c r="C34" s="18" t="s">
        <v>43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44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45</v>
      </c>
      <c r="C36" s="6"/>
      <c r="D36" s="61">
        <f t="shared" ref="D36:I36" si="9">SUM(D32:D35)</f>
        <v>-504398</v>
      </c>
      <c r="E36" s="39">
        <f t="shared" si="9"/>
        <v>-916945.50776613096</v>
      </c>
      <c r="F36" s="61">
        <f t="shared" si="9"/>
        <v>0</v>
      </c>
      <c r="G36" s="39">
        <f t="shared" si="9"/>
        <v>0</v>
      </c>
      <c r="H36" s="61">
        <f t="shared" si="9"/>
        <v>-504398</v>
      </c>
      <c r="I36" s="39">
        <f t="shared" si="9"/>
        <v>-916945.50776613096</v>
      </c>
      <c r="J36" s="61">
        <f>SUM(J32:J34)</f>
        <v>0</v>
      </c>
      <c r="K36" s="39">
        <f>SUM(K32:K34)</f>
        <v>0</v>
      </c>
      <c r="L36" s="61">
        <f>SUM(L32:L35)</f>
        <v>-504398</v>
      </c>
      <c r="M36" s="39">
        <f>SUM(M32:M35)</f>
        <v>-916945.50776613096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f>'TX-EGM-FLSH'!D39+'TX-HPL-FLSH'!D39</f>
        <v>4532382</v>
      </c>
      <c r="E39" s="38">
        <f>'TX-EGM-FLSH'!E39+'TX-HPL-FLSH'!E39</f>
        <v>7102746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4532382</v>
      </c>
      <c r="I39" s="38">
        <f>'TX-EGM-FLSH'!I39+'TX-HPL-FLSH'!I39</f>
        <v>7102746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4532382</v>
      </c>
      <c r="M39" s="38">
        <f t="shared" si="11"/>
        <v>7102746</v>
      </c>
    </row>
    <row r="40" spans="1:13" ht="22.5" customHeight="1" x14ac:dyDescent="0.2">
      <c r="A40" s="9">
        <v>18</v>
      </c>
      <c r="B40" s="7"/>
      <c r="C40" s="18" t="s">
        <v>48</v>
      </c>
      <c r="D40" s="60">
        <f>'TX-EGM-FLSH'!D40+'TX-HPL-FLSH'!D40</f>
        <v>-1977971</v>
      </c>
      <c r="E40" s="38">
        <f>'TX-EGM-FLSH'!E40+'TX-HPL-FLSH'!E40</f>
        <v>-3080610</v>
      </c>
      <c r="F40" s="60">
        <f t="shared" si="10"/>
        <v>0</v>
      </c>
      <c r="G40" s="37">
        <f t="shared" si="10"/>
        <v>0</v>
      </c>
      <c r="H40" s="60">
        <f>'TX-EGM-FLSH'!H40+'TX-HPL-FLSH'!H40</f>
        <v>-1977971</v>
      </c>
      <c r="I40" s="38">
        <f>'TX-EGM-FLSH'!I40+'TX-HPL-FLSH'!I40</f>
        <v>-3080610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-1977971</v>
      </c>
      <c r="M40" s="38">
        <f t="shared" si="11"/>
        <v>-3080610</v>
      </c>
    </row>
    <row r="41" spans="1:13" x14ac:dyDescent="0.2">
      <c r="A41" s="9">
        <v>19</v>
      </c>
      <c r="B41" s="7"/>
      <c r="C41" s="18" t="s">
        <v>49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50</v>
      </c>
      <c r="D42" s="61">
        <f t="shared" ref="D42:M42" si="12">SUM(D40:D41)</f>
        <v>-1977971</v>
      </c>
      <c r="E42" s="39">
        <f t="shared" si="12"/>
        <v>-3080610</v>
      </c>
      <c r="F42" s="61">
        <f t="shared" si="12"/>
        <v>0</v>
      </c>
      <c r="G42" s="39">
        <f t="shared" si="12"/>
        <v>0</v>
      </c>
      <c r="H42" s="61">
        <f t="shared" si="12"/>
        <v>-1977971</v>
      </c>
      <c r="I42" s="39">
        <f t="shared" si="12"/>
        <v>-3080610</v>
      </c>
      <c r="J42" s="61">
        <f t="shared" si="12"/>
        <v>0</v>
      </c>
      <c r="K42" s="39">
        <f t="shared" si="12"/>
        <v>0</v>
      </c>
      <c r="L42" s="61">
        <f t="shared" si="12"/>
        <v>-1977971</v>
      </c>
      <c r="M42" s="39">
        <f t="shared" si="12"/>
        <v>-3080610</v>
      </c>
    </row>
    <row r="43" spans="1:13" ht="21" customHeight="1" x14ac:dyDescent="0.2">
      <c r="A43" s="9"/>
      <c r="B43" s="7" t="s">
        <v>51</v>
      </c>
      <c r="C43" s="6"/>
      <c r="D43" s="61">
        <f t="shared" ref="D43:M43" si="13">D42+D39</f>
        <v>2554411</v>
      </c>
      <c r="E43" s="39">
        <f t="shared" si="13"/>
        <v>4022136</v>
      </c>
      <c r="F43" s="61">
        <f t="shared" si="13"/>
        <v>0</v>
      </c>
      <c r="G43" s="39">
        <f t="shared" si="13"/>
        <v>0</v>
      </c>
      <c r="H43" s="61">
        <f t="shared" si="13"/>
        <v>2554411</v>
      </c>
      <c r="I43" s="39">
        <f t="shared" si="13"/>
        <v>4022136</v>
      </c>
      <c r="J43" s="61">
        <f t="shared" si="13"/>
        <v>0</v>
      </c>
      <c r="K43" s="39">
        <f t="shared" si="13"/>
        <v>0</v>
      </c>
      <c r="L43" s="61">
        <f t="shared" si="13"/>
        <v>2554411</v>
      </c>
      <c r="M43" s="39">
        <f t="shared" si="13"/>
        <v>4022136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f>'TX-EGM-FLSH'!D54+'TX-HPL-FLSH'!D54</f>
        <v>0</v>
      </c>
      <c r="E54" s="38">
        <f>'TX-EGM-FLSH'!E54+'TX-HPL-FLSH'!E54</f>
        <v>-904705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-904705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-904705</v>
      </c>
    </row>
    <row r="55" spans="1:15" x14ac:dyDescent="0.2">
      <c r="A55" s="9">
        <v>25</v>
      </c>
      <c r="B55" s="7"/>
      <c r="C55" s="18" t="s">
        <v>58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f t="shared" ref="D56:M56" si="14">SUM(D54:D55)</f>
        <v>0</v>
      </c>
      <c r="E56" s="39">
        <f t="shared" si="14"/>
        <v>-904705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-904705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-904705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f>'TX-EGM-FLSH'!D70+'TX-HPL-FLSH'!D70</f>
        <v>0</v>
      </c>
      <c r="E70" s="38">
        <f>'TX-EGM-FLSH'!E70+'TX-HPL-FLSH'!E70</f>
        <v>1054678.81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1054678.81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1054678.81</v>
      </c>
    </row>
    <row r="71" spans="1:13" x14ac:dyDescent="0.2">
      <c r="A71" s="9">
        <v>31</v>
      </c>
      <c r="B71" s="3"/>
      <c r="C71" s="10" t="s">
        <v>70</v>
      </c>
      <c r="D71" s="60">
        <f>'TX-EGM-FLSH'!D71+'TX-HPL-FLSH'!D71</f>
        <v>0</v>
      </c>
      <c r="E71" s="38">
        <f>'TX-EGM-FLSH'!E71+'TX-HPL-FLSH'!E71</f>
        <v>-468909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-468909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-468909</v>
      </c>
    </row>
    <row r="72" spans="1:13" x14ac:dyDescent="0.2">
      <c r="A72" s="9"/>
      <c r="B72" s="3"/>
      <c r="C72" s="55" t="s">
        <v>71</v>
      </c>
      <c r="D72" s="61">
        <f t="shared" ref="D72:M72" si="17">SUM(D70:D71)</f>
        <v>0</v>
      </c>
      <c r="E72" s="39">
        <f t="shared" si="17"/>
        <v>585769.81000000006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585769.81000000006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585769.81000000006</v>
      </c>
    </row>
    <row r="73" spans="1:13" x14ac:dyDescent="0.2">
      <c r="A73" s="9">
        <v>32</v>
      </c>
      <c r="B73" s="3"/>
      <c r="C73" s="10" t="s">
        <v>72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73</v>
      </c>
      <c r="D74" s="60">
        <f>'TX-EGM-FLSH'!D74+'TX-HPL-FLSH'!D74</f>
        <v>0</v>
      </c>
      <c r="E74" s="38">
        <f>'TX-EGM-FLSH'!E74+'TX-HPL-FLSH'!E74</f>
        <v>1279584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1279584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1279584</v>
      </c>
    </row>
    <row r="75" spans="1:13" x14ac:dyDescent="0.2">
      <c r="A75" s="9">
        <v>34</v>
      </c>
      <c r="B75" s="3"/>
      <c r="C75" s="10" t="s">
        <v>74</v>
      </c>
      <c r="D75" s="60">
        <f>'TX-EGM-FLSH'!D75+'TX-HPL-FLSH'!D75</f>
        <v>0</v>
      </c>
      <c r="E75" s="38">
        <f>'TX-EGM-FLSH'!E75+'TX-HPL-FLSH'!E75</f>
        <v>118667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118667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118667</v>
      </c>
    </row>
    <row r="76" spans="1:13" x14ac:dyDescent="0.2">
      <c r="A76" s="9">
        <v>35</v>
      </c>
      <c r="B76" s="3"/>
      <c r="C76" s="10" t="s">
        <v>75</v>
      </c>
      <c r="D76" s="60">
        <f>'TX-EGM-FLSH'!D76+'TX-HPL-FLSH'!D76</f>
        <v>0</v>
      </c>
      <c r="E76" s="38">
        <f>'TX-EGM-FLSH'!E76+'TX-HPL-FLSH'!E76</f>
        <v>-14678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-14678</v>
      </c>
      <c r="J76" s="60">
        <f>'TX-EGM-FLSH'!J76+'TX-HPL-FLSH'!J76</f>
        <v>0</v>
      </c>
      <c r="K76" s="38">
        <f>'TX-EGM-FLSH'!K76+'TX-HPL-FLSH'!K76</f>
        <v>0</v>
      </c>
      <c r="L76" s="60">
        <f t="shared" si="18"/>
        <v>0</v>
      </c>
      <c r="M76" s="38">
        <f t="shared" si="18"/>
        <v>-14678</v>
      </c>
    </row>
    <row r="77" spans="1:13" x14ac:dyDescent="0.2">
      <c r="A77" s="9">
        <v>36</v>
      </c>
      <c r="B77" s="3"/>
      <c r="C77" s="10" t="s">
        <v>76</v>
      </c>
      <c r="D77" s="60">
        <f>'TX-EGM-FLSH'!D77+'TX-HPL-FLSH'!D77</f>
        <v>0</v>
      </c>
      <c r="E77" s="38">
        <f>'TX-EGM-FLSH'!E77+'TX-HPL-FLSH'!E77</f>
        <v>-10000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-10000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-10000</v>
      </c>
    </row>
    <row r="78" spans="1:13" x14ac:dyDescent="0.2">
      <c r="A78" s="9">
        <v>37</v>
      </c>
      <c r="B78" s="3"/>
      <c r="C78" s="10" t="s">
        <v>77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78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79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80</v>
      </c>
      <c r="D81" s="60">
        <f>'TX-EGM-FLSH'!D81+'TX-HPL-FLSH'!D81</f>
        <v>0</v>
      </c>
      <c r="E81" s="38">
        <f>'TX-EGM-FLSH'!E81+'TX-HPL-FLSH'!E81</f>
        <v>269286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269286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269286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955301.30223387154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955301.30223387154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955301.30223387154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179</v>
      </c>
      <c r="B85" s="3"/>
      <c r="E85" s="31">
        <f>+'TX-HPL-FLSH'!E82+'TX-EGM-FLSH'!E82</f>
        <v>955301.3022338649</v>
      </c>
    </row>
    <row r="86" spans="1:67" s="3" customFormat="1" x14ac:dyDescent="0.2">
      <c r="A86" s="177"/>
      <c r="C86" s="10" t="s">
        <v>181</v>
      </c>
      <c r="D86" s="181">
        <f>'TX-EGM-FLSH'!D86+'TX-HPL-FLSH'!D86</f>
        <v>0</v>
      </c>
      <c r="E86" s="181">
        <f>'TX-EGM-FLSH'!E86+'TX-HPL-FLSH'!E86</f>
        <v>114066</v>
      </c>
      <c r="F86" s="181">
        <f>'TX-EGM-FLSH'!F86+'TX-HPL-FLSH'!F86</f>
        <v>0</v>
      </c>
      <c r="G86" s="181">
        <f>'TX-EGM-FLSH'!G86+'TX-HPL-FLSH'!G86</f>
        <v>0</v>
      </c>
      <c r="H86" s="181">
        <f>'TX-EGM-FLSH'!H86+'TX-HPL-FLSH'!H86</f>
        <v>0</v>
      </c>
      <c r="I86" s="181">
        <f>'TX-EGM-FLSH'!I86+'TX-HPL-FLSH'!I86</f>
        <v>114066</v>
      </c>
      <c r="J86" s="181">
        <f>'TX-EGM-FLSH'!J86+'TX-HPL-FLSH'!J86</f>
        <v>0</v>
      </c>
      <c r="K86" s="181">
        <f>'TX-EGM-FLSH'!K86+'TX-HPL-FLSH'!K86</f>
        <v>0</v>
      </c>
      <c r="L86" s="181">
        <f>'TX-EGM-FLSH'!L86+'TX-HPL-FLSH'!L86</f>
        <v>0</v>
      </c>
      <c r="M86" s="181">
        <f>'TX-EGM-FLSH'!M86+'TX-HPL-FLSH'!M86</f>
        <v>114066</v>
      </c>
    </row>
    <row r="87" spans="1:67" s="3" customFormat="1" x14ac:dyDescent="0.2">
      <c r="A87" s="177"/>
      <c r="C87" s="10" t="s">
        <v>73</v>
      </c>
      <c r="D87" s="182">
        <f>'TX-EGM-FLSH'!D87+'TX-HPL-FLSH'!D87</f>
        <v>0</v>
      </c>
      <c r="E87" s="182">
        <f>'TX-EGM-FLSH'!E87+'TX-HPL-FLSH'!E87</f>
        <v>0</v>
      </c>
      <c r="F87" s="182">
        <f>'TX-EGM-FLSH'!F87+'TX-HPL-FLSH'!F87</f>
        <v>0</v>
      </c>
      <c r="G87" s="182">
        <f>'TX-EGM-FLSH'!G87+'TX-HPL-FLSH'!G87</f>
        <v>0</v>
      </c>
      <c r="H87" s="182">
        <f>'TX-EGM-FLSH'!H87+'TX-HPL-FLSH'!H87</f>
        <v>0</v>
      </c>
      <c r="I87" s="182">
        <f>'TX-EGM-FLSH'!I87+'TX-HPL-FLSH'!I87</f>
        <v>0</v>
      </c>
      <c r="J87" s="182">
        <f>'TX-EGM-FLSH'!J87+'TX-HPL-FLSH'!J87</f>
        <v>0</v>
      </c>
      <c r="K87" s="182">
        <f>'TX-EGM-FLSH'!K87+'TX-HPL-FLSH'!K87</f>
        <v>0</v>
      </c>
      <c r="L87" s="182">
        <f>'TX-EGM-FLSH'!L87+'TX-HPL-FLSH'!L87</f>
        <v>0</v>
      </c>
      <c r="M87" s="182">
        <f>'TX-EGM-FLSH'!M87+'TX-HPL-FLSH'!M87</f>
        <v>0</v>
      </c>
    </row>
    <row r="88" spans="1:67" s="3" customFormat="1" x14ac:dyDescent="0.2">
      <c r="A88" s="177"/>
      <c r="C88" s="10" t="s">
        <v>74</v>
      </c>
      <c r="D88" s="183">
        <f>'TX-EGM-FLSH'!D88+'TX-HPL-FLSH'!D88</f>
        <v>0</v>
      </c>
      <c r="E88" s="183">
        <f>'TX-EGM-FLSH'!E88+'TX-HPL-FLSH'!E88</f>
        <v>-113464</v>
      </c>
      <c r="F88" s="183">
        <f>'TX-EGM-FLSH'!F88+'TX-HPL-FLSH'!F88</f>
        <v>0</v>
      </c>
      <c r="G88" s="183">
        <f>'TX-EGM-FLSH'!G88+'TX-HPL-FLSH'!G88</f>
        <v>0</v>
      </c>
      <c r="H88" s="183">
        <f>'TX-EGM-FLSH'!H88+'TX-HPL-FLSH'!H88</f>
        <v>0</v>
      </c>
      <c r="I88" s="183">
        <f>'TX-EGM-FLSH'!I88+'TX-HPL-FLSH'!I88</f>
        <v>-113464</v>
      </c>
      <c r="J88" s="183">
        <f>'TX-EGM-FLSH'!J88+'TX-HPL-FLSH'!J88</f>
        <v>0</v>
      </c>
      <c r="K88" s="183">
        <f>'TX-EGM-FLSH'!K88+'TX-HPL-FLSH'!K88</f>
        <v>0</v>
      </c>
      <c r="L88" s="183">
        <f>'TX-EGM-FLSH'!L88+'TX-HPL-FLSH'!L88</f>
        <v>0</v>
      </c>
      <c r="M88" s="183">
        <f>'TX-EGM-FLSH'!M88+'TX-HPL-FLSH'!M88</f>
        <v>-113464</v>
      </c>
    </row>
    <row r="89" spans="1:67" s="44" customFormat="1" ht="20.25" customHeight="1" x14ac:dyDescent="0.2">
      <c r="A89" s="184"/>
      <c r="B89" s="185"/>
      <c r="C89" s="186" t="s">
        <v>184</v>
      </c>
      <c r="D89" s="188">
        <f>SUM(D86:D88)</f>
        <v>0</v>
      </c>
      <c r="E89" s="188">
        <f t="shared" ref="E89:M89" si="20">SUM(E86:E88)</f>
        <v>602</v>
      </c>
      <c r="F89" s="188">
        <f t="shared" si="20"/>
        <v>0</v>
      </c>
      <c r="G89" s="188">
        <f t="shared" si="20"/>
        <v>0</v>
      </c>
      <c r="H89" s="188">
        <f t="shared" si="20"/>
        <v>0</v>
      </c>
      <c r="I89" s="188">
        <f t="shared" si="20"/>
        <v>602</v>
      </c>
      <c r="J89" s="188">
        <f t="shared" si="20"/>
        <v>0</v>
      </c>
      <c r="K89" s="188">
        <f t="shared" si="20"/>
        <v>0</v>
      </c>
      <c r="L89" s="188">
        <f t="shared" si="20"/>
        <v>0</v>
      </c>
      <c r="M89" s="188">
        <f t="shared" si="20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4"/>
      <c r="B91" s="185"/>
      <c r="C91" s="186" t="s">
        <v>182</v>
      </c>
      <c r="D91" s="188">
        <f>+D82+D89</f>
        <v>0</v>
      </c>
      <c r="E91" s="188">
        <f t="shared" ref="E91:M91" si="21">+E82+E89</f>
        <v>955903.30223387154</v>
      </c>
      <c r="F91" s="188">
        <f t="shared" si="21"/>
        <v>0</v>
      </c>
      <c r="G91" s="188">
        <f t="shared" si="21"/>
        <v>0</v>
      </c>
      <c r="H91" s="188">
        <f t="shared" si="21"/>
        <v>0</v>
      </c>
      <c r="I91" s="188">
        <f t="shared" si="21"/>
        <v>955903.30223387154</v>
      </c>
      <c r="J91" s="188">
        <f t="shared" si="21"/>
        <v>0</v>
      </c>
      <c r="K91" s="188">
        <f t="shared" si="21"/>
        <v>0</v>
      </c>
      <c r="L91" s="188">
        <f t="shared" si="21"/>
        <v>0</v>
      </c>
      <c r="M91" s="188">
        <f t="shared" si="21"/>
        <v>955903.30223387154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J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29379354</v>
      </c>
      <c r="E11" s="65">
        <v>50169656</v>
      </c>
      <c r="F11" s="60">
        <f>H11-D11</f>
        <v>0</v>
      </c>
      <c r="G11" s="37">
        <f>I11-E11</f>
        <v>0</v>
      </c>
      <c r="H11" s="65">
        <f>D11</f>
        <v>29379354</v>
      </c>
      <c r="I11" s="66">
        <f>E11</f>
        <v>50169656</v>
      </c>
      <c r="J11" s="60"/>
      <c r="K11" s="38"/>
      <c r="L11" s="60">
        <f t="shared" ref="L11:M15" si="0">H11+J11</f>
        <v>29379354</v>
      </c>
      <c r="M11" s="38">
        <f t="shared" si="0"/>
        <v>50169656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21792466</v>
      </c>
      <c r="E13" s="65">
        <v>42929236</v>
      </c>
      <c r="F13" s="60">
        <f t="shared" si="1"/>
        <v>0</v>
      </c>
      <c r="G13" s="37">
        <f t="shared" si="1"/>
        <v>0</v>
      </c>
      <c r="H13" s="65">
        <f t="shared" si="2"/>
        <v>21792466</v>
      </c>
      <c r="I13" s="66">
        <f t="shared" si="2"/>
        <v>42929236</v>
      </c>
      <c r="J13" s="60"/>
      <c r="K13" s="38"/>
      <c r="L13" s="60">
        <f t="shared" si="0"/>
        <v>21792466</v>
      </c>
      <c r="M13" s="38">
        <f t="shared" si="0"/>
        <v>42929236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51171820</v>
      </c>
      <c r="E16" s="39">
        <v>93098892</v>
      </c>
      <c r="F16" s="61">
        <f t="shared" ref="F16:M16" si="3">SUM(F11:F15)</f>
        <v>0</v>
      </c>
      <c r="G16" s="39">
        <f t="shared" si="3"/>
        <v>0</v>
      </c>
      <c r="H16" s="61">
        <f>SUM(H11:H15)</f>
        <v>51171820</v>
      </c>
      <c r="I16" s="39">
        <f>SUM(I11:I15)</f>
        <v>93098892</v>
      </c>
      <c r="J16" s="61">
        <f t="shared" si="3"/>
        <v>0</v>
      </c>
      <c r="K16" s="39">
        <f t="shared" si="3"/>
        <v>0</v>
      </c>
      <c r="L16" s="61">
        <f t="shared" si="3"/>
        <v>51171820</v>
      </c>
      <c r="M16" s="39">
        <f t="shared" si="3"/>
        <v>93098892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-29069146</v>
      </c>
      <c r="E19" s="65">
        <v>-48176271</v>
      </c>
      <c r="F19" s="60">
        <f>H19-D19</f>
        <v>0</v>
      </c>
      <c r="G19" s="37">
        <f>I19-E19</f>
        <v>0</v>
      </c>
      <c r="H19" s="65">
        <f t="shared" si="4"/>
        <v>-29069146</v>
      </c>
      <c r="I19" s="66">
        <f t="shared" si="4"/>
        <v>-48176271</v>
      </c>
      <c r="J19" s="60"/>
      <c r="K19" s="38"/>
      <c r="L19" s="60">
        <f t="shared" ref="L19:M23" si="5">H19+J19</f>
        <v>-29069146</v>
      </c>
      <c r="M19" s="38">
        <f t="shared" si="5"/>
        <v>-48176271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-22392691</v>
      </c>
      <c r="E21" s="65">
        <v>-43431002</v>
      </c>
      <c r="F21" s="60">
        <f t="shared" si="6"/>
        <v>0</v>
      </c>
      <c r="G21" s="37">
        <f t="shared" si="6"/>
        <v>0</v>
      </c>
      <c r="H21" s="65">
        <f t="shared" si="4"/>
        <v>-22392691</v>
      </c>
      <c r="I21" s="66">
        <f t="shared" si="4"/>
        <v>-43431002</v>
      </c>
      <c r="J21" s="60"/>
      <c r="K21" s="38"/>
      <c r="L21" s="60">
        <f t="shared" si="5"/>
        <v>-22392691</v>
      </c>
      <c r="M21" s="38">
        <f t="shared" si="5"/>
        <v>-43431002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283220</v>
      </c>
      <c r="E23" s="65">
        <v>535027</v>
      </c>
      <c r="F23" s="60">
        <f t="shared" si="6"/>
        <v>0</v>
      </c>
      <c r="G23" s="37">
        <f t="shared" si="6"/>
        <v>0</v>
      </c>
      <c r="H23" s="65">
        <f t="shared" si="4"/>
        <v>283220</v>
      </c>
      <c r="I23" s="66">
        <f t="shared" si="4"/>
        <v>535027</v>
      </c>
      <c r="J23" s="60"/>
      <c r="K23" s="38"/>
      <c r="L23" s="60">
        <f t="shared" si="5"/>
        <v>283220</v>
      </c>
      <c r="M23" s="38">
        <f t="shared" si="5"/>
        <v>535027</v>
      </c>
    </row>
    <row r="24" spans="1:13" x14ac:dyDescent="0.2">
      <c r="A24" s="9"/>
      <c r="B24" s="7" t="s">
        <v>35</v>
      </c>
      <c r="C24" s="6"/>
      <c r="D24" s="61">
        <v>-51178617</v>
      </c>
      <c r="E24" s="39">
        <v>-91072246</v>
      </c>
      <c r="F24" s="61">
        <f t="shared" ref="F24:M24" si="7">SUM(F19:F23)</f>
        <v>0</v>
      </c>
      <c r="G24" s="39">
        <f t="shared" si="7"/>
        <v>0</v>
      </c>
      <c r="H24" s="61">
        <f>SUM(H19:H23)</f>
        <v>-51178617</v>
      </c>
      <c r="I24" s="39">
        <f>SUM(I19:I23)</f>
        <v>-91072246</v>
      </c>
      <c r="J24" s="61">
        <f t="shared" si="7"/>
        <v>0</v>
      </c>
      <c r="K24" s="39">
        <f t="shared" si="7"/>
        <v>0</v>
      </c>
      <c r="L24" s="61">
        <f t="shared" si="7"/>
        <v>-51178617</v>
      </c>
      <c r="M24" s="39">
        <f t="shared" si="7"/>
        <v>-91072246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46688</v>
      </c>
      <c r="E32" s="65">
        <v>80075</v>
      </c>
      <c r="F32" s="60">
        <f>H32-D32</f>
        <v>0</v>
      </c>
      <c r="G32" s="37">
        <f>I32-E32</f>
        <v>0</v>
      </c>
      <c r="H32" s="65">
        <f t="shared" ref="H32:I35" si="9">D32</f>
        <v>46688</v>
      </c>
      <c r="I32" s="66">
        <f t="shared" si="9"/>
        <v>80075</v>
      </c>
      <c r="J32" s="60"/>
      <c r="K32" s="38"/>
      <c r="L32" s="60">
        <f t="shared" ref="L32:M35" si="10">H32+J32</f>
        <v>46688</v>
      </c>
      <c r="M32" s="38">
        <f t="shared" si="10"/>
        <v>80075</v>
      </c>
    </row>
    <row r="33" spans="1:13" x14ac:dyDescent="0.2">
      <c r="A33" s="9">
        <v>14</v>
      </c>
      <c r="B33" s="7"/>
      <c r="C33" s="18" t="s">
        <v>42</v>
      </c>
      <c r="D33" s="65">
        <v>-111150</v>
      </c>
      <c r="E33" s="65">
        <v>-197921.45838518758</v>
      </c>
      <c r="F33" s="60">
        <f t="shared" ref="F33:G35" si="11">H33-D33</f>
        <v>0</v>
      </c>
      <c r="G33" s="37">
        <f t="shared" si="11"/>
        <v>0</v>
      </c>
      <c r="H33" s="65">
        <f t="shared" si="9"/>
        <v>-111150</v>
      </c>
      <c r="I33" s="66">
        <f t="shared" si="9"/>
        <v>-197921.45838518758</v>
      </c>
      <c r="J33" s="60"/>
      <c r="K33" s="38"/>
      <c r="L33" s="60">
        <f t="shared" si="10"/>
        <v>-111150</v>
      </c>
      <c r="M33" s="38">
        <f t="shared" si="10"/>
        <v>-197921.45838518758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-64462</v>
      </c>
      <c r="E36" s="39">
        <v>-117846.45838518758</v>
      </c>
      <c r="F36" s="61">
        <f>SUM(F32:F35)</f>
        <v>0</v>
      </c>
      <c r="G36" s="39">
        <f>SUM(G32:G35)</f>
        <v>0</v>
      </c>
      <c r="H36" s="61">
        <f>SUM(H32:H35)</f>
        <v>-64462</v>
      </c>
      <c r="I36" s="39">
        <f>SUM(I32:I35)</f>
        <v>-117846.45838518758</v>
      </c>
      <c r="J36" s="61">
        <f>SUM(J32:J34)</f>
        <v>0</v>
      </c>
      <c r="K36" s="39">
        <f>SUM(K32:K34)</f>
        <v>0</v>
      </c>
      <c r="L36" s="61">
        <f>SUM(L32:L35)</f>
        <v>-64462</v>
      </c>
      <c r="M36" s="39">
        <f>SUM(M32:M35)</f>
        <v>-117846.45838518758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108106</v>
      </c>
      <c r="E39" s="65">
        <v>207883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108106</v>
      </c>
      <c r="I39" s="66">
        <f t="shared" si="12"/>
        <v>207883</v>
      </c>
      <c r="J39" s="60"/>
      <c r="K39" s="38"/>
      <c r="L39" s="60">
        <f t="shared" ref="L39:M41" si="14">H39+J39</f>
        <v>108106</v>
      </c>
      <c r="M39" s="38">
        <f t="shared" si="14"/>
        <v>207883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-36847</v>
      </c>
      <c r="E40" s="65">
        <v>-69472</v>
      </c>
      <c r="F40" s="60">
        <f t="shared" si="13"/>
        <v>0</v>
      </c>
      <c r="G40" s="37">
        <f t="shared" si="13"/>
        <v>0</v>
      </c>
      <c r="H40" s="65">
        <f t="shared" si="12"/>
        <v>-36847</v>
      </c>
      <c r="I40" s="66">
        <f t="shared" si="12"/>
        <v>-69472</v>
      </c>
      <c r="J40" s="60"/>
      <c r="K40" s="38"/>
      <c r="L40" s="60">
        <f t="shared" si="14"/>
        <v>-36847</v>
      </c>
      <c r="M40" s="38">
        <f t="shared" si="14"/>
        <v>-69472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-36847</v>
      </c>
      <c r="E42" s="39">
        <v>-69472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-36847</v>
      </c>
      <c r="I42" s="39">
        <f>SUM(I40:I41)</f>
        <v>-69472</v>
      </c>
      <c r="J42" s="61">
        <f t="shared" si="15"/>
        <v>0</v>
      </c>
      <c r="K42" s="39">
        <f t="shared" si="15"/>
        <v>0</v>
      </c>
      <c r="L42" s="61">
        <f t="shared" si="15"/>
        <v>-36847</v>
      </c>
      <c r="M42" s="39">
        <f t="shared" si="15"/>
        <v>-69472</v>
      </c>
    </row>
    <row r="43" spans="1:13" ht="21" customHeight="1" x14ac:dyDescent="0.2">
      <c r="A43" s="9"/>
      <c r="B43" s="7" t="s">
        <v>51</v>
      </c>
      <c r="C43" s="6"/>
      <c r="D43" s="61">
        <v>71259</v>
      </c>
      <c r="E43" s="39">
        <v>138411</v>
      </c>
      <c r="F43" s="61">
        <f t="shared" ref="F43:M43" si="16">F42+F39</f>
        <v>0</v>
      </c>
      <c r="G43" s="39">
        <f t="shared" si="16"/>
        <v>0</v>
      </c>
      <c r="H43" s="61">
        <f>H42+H39</f>
        <v>71259</v>
      </c>
      <c r="I43" s="39">
        <f>I42+I39</f>
        <v>138411</v>
      </c>
      <c r="J43" s="61">
        <f t="shared" si="16"/>
        <v>0</v>
      </c>
      <c r="K43" s="39">
        <f t="shared" si="16"/>
        <v>0</v>
      </c>
      <c r="L43" s="61">
        <f t="shared" si="16"/>
        <v>71259</v>
      </c>
      <c r="M43" s="39">
        <f t="shared" si="16"/>
        <v>138411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-283220</v>
      </c>
      <c r="E51" s="65">
        <v>-535027</v>
      </c>
      <c r="F51" s="60">
        <f>H51-D51</f>
        <v>0</v>
      </c>
      <c r="G51" s="37">
        <f>I51-E51</f>
        <v>0</v>
      </c>
      <c r="H51" s="65">
        <f>D51</f>
        <v>-283220</v>
      </c>
      <c r="I51" s="66">
        <f>E51</f>
        <v>-535027</v>
      </c>
      <c r="J51" s="60"/>
      <c r="K51" s="38"/>
      <c r="L51" s="60">
        <f>H51+J51</f>
        <v>-283220</v>
      </c>
      <c r="M51" s="38">
        <f>I51+K51</f>
        <v>-535027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-290641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-290641</v>
      </c>
      <c r="J54" s="60"/>
      <c r="K54" s="38"/>
      <c r="L54" s="60">
        <f>H54+J54</f>
        <v>0</v>
      </c>
      <c r="M54" s="38">
        <f>I54+K54</f>
        <v>-290641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-2803921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-2803921</v>
      </c>
      <c r="J55" s="60"/>
      <c r="K55" s="38"/>
      <c r="L55" s="60">
        <f>H55+J55</f>
        <v>0</v>
      </c>
      <c r="M55" s="38">
        <f>I55+K55</f>
        <v>-2803921</v>
      </c>
    </row>
    <row r="56" spans="1:15" x14ac:dyDescent="0.2">
      <c r="A56" s="9"/>
      <c r="B56" s="7" t="s">
        <v>59</v>
      </c>
      <c r="C56" s="6"/>
      <c r="D56" s="61">
        <v>0</v>
      </c>
      <c r="E56" s="39">
        <v>-3094562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-3094562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-3094562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709561.76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709561.76</v>
      </c>
      <c r="J70" s="60"/>
      <c r="K70" s="38"/>
      <c r="L70" s="60">
        <f>H70+J70</f>
        <v>0</v>
      </c>
      <c r="M70" s="38">
        <f>I70+K70</f>
        <v>709561.76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-559245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-559245</v>
      </c>
      <c r="J71" s="60"/>
      <c r="K71" s="38"/>
      <c r="L71" s="60">
        <f>H71+J71</f>
        <v>0</v>
      </c>
      <c r="M71" s="38">
        <f>I71+K71</f>
        <v>-559245</v>
      </c>
    </row>
    <row r="72" spans="1:13" x14ac:dyDescent="0.2">
      <c r="A72" s="9"/>
      <c r="B72" s="3"/>
      <c r="C72" s="55" t="s">
        <v>71</v>
      </c>
      <c r="D72" s="61">
        <v>0</v>
      </c>
      <c r="E72" s="39">
        <v>150316.76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150316.76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150316.76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758727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758727</v>
      </c>
      <c r="J74" s="60"/>
      <c r="K74" s="38"/>
      <c r="L74" s="60">
        <f t="shared" si="22"/>
        <v>0</v>
      </c>
      <c r="M74" s="38">
        <f t="shared" si="22"/>
        <v>758727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13255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13255</v>
      </c>
      <c r="J75" s="60"/>
      <c r="K75" s="38"/>
      <c r="L75" s="60">
        <f t="shared" si="22"/>
        <v>0</v>
      </c>
      <c r="M75" s="38">
        <f t="shared" si="22"/>
        <v>13255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-10585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-10585</v>
      </c>
      <c r="J76" s="60"/>
      <c r="K76" s="38"/>
      <c r="L76" s="60">
        <f t="shared" si="22"/>
        <v>0</v>
      </c>
      <c r="M76" s="38">
        <f t="shared" si="22"/>
        <v>-10585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1527767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1527767</v>
      </c>
      <c r="J79" s="60"/>
      <c r="K79" s="38"/>
      <c r="L79" s="60">
        <f t="shared" si="22"/>
        <v>0</v>
      </c>
      <c r="M79" s="38">
        <f t="shared" si="22"/>
        <v>1527767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10564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10564</v>
      </c>
      <c r="J81" s="60"/>
      <c r="K81" s="38"/>
      <c r="L81" s="60">
        <f t="shared" si="22"/>
        <v>0</v>
      </c>
      <c r="M81" s="38">
        <f t="shared" si="22"/>
        <v>10564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867666.30161481816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867666.30161481816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867666.30161481816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186</v>
      </c>
      <c r="B85" s="3"/>
    </row>
    <row r="86" spans="1:67" s="3" customFormat="1" x14ac:dyDescent="0.2">
      <c r="A86" s="177"/>
      <c r="C86" s="10" t="s">
        <v>181</v>
      </c>
      <c r="D86" s="178">
        <v>0</v>
      </c>
      <c r="E86" s="178">
        <v>0</v>
      </c>
      <c r="F86" s="178">
        <v>0</v>
      </c>
      <c r="G86" s="178">
        <v>0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</row>
    <row r="87" spans="1:67" s="3" customFormat="1" x14ac:dyDescent="0.2">
      <c r="A87" s="177"/>
      <c r="C87" s="10" t="s">
        <v>73</v>
      </c>
      <c r="D87" s="179">
        <v>0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</row>
    <row r="88" spans="1:67" s="3" customFormat="1" x14ac:dyDescent="0.2">
      <c r="A88" s="177"/>
      <c r="C88" s="10" t="s">
        <v>74</v>
      </c>
      <c r="D88" s="180">
        <v>0</v>
      </c>
      <c r="E88" s="180">
        <v>0</v>
      </c>
      <c r="F88" s="180">
        <v>0</v>
      </c>
      <c r="G88" s="180"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</row>
    <row r="89" spans="1:67" s="44" customFormat="1" ht="20.25" customHeight="1" x14ac:dyDescent="0.2">
      <c r="A89" s="184"/>
      <c r="B89" s="185"/>
      <c r="C89" s="186" t="s">
        <v>184</v>
      </c>
      <c r="D89" s="188">
        <f>SUM(D86:D88)</f>
        <v>0</v>
      </c>
      <c r="E89" s="188">
        <f t="shared" ref="E89:M89" si="24">SUM(E86:E88)</f>
        <v>0</v>
      </c>
      <c r="F89" s="188">
        <f t="shared" si="24"/>
        <v>0</v>
      </c>
      <c r="G89" s="188">
        <f t="shared" si="24"/>
        <v>0</v>
      </c>
      <c r="H89" s="188">
        <f t="shared" si="24"/>
        <v>0</v>
      </c>
      <c r="I89" s="188">
        <f t="shared" si="24"/>
        <v>0</v>
      </c>
      <c r="J89" s="188">
        <f t="shared" si="24"/>
        <v>0</v>
      </c>
      <c r="K89" s="188">
        <f t="shared" si="24"/>
        <v>0</v>
      </c>
      <c r="L89" s="188">
        <f t="shared" si="24"/>
        <v>0</v>
      </c>
      <c r="M89" s="188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4"/>
      <c r="B91" s="185"/>
      <c r="C91" s="186" t="s">
        <v>182</v>
      </c>
      <c r="D91" s="188">
        <f>+D82+D89</f>
        <v>0</v>
      </c>
      <c r="E91" s="188">
        <f t="shared" ref="E91:M91" si="25">+E82+E89</f>
        <v>867666.30161481816</v>
      </c>
      <c r="F91" s="188">
        <f t="shared" si="25"/>
        <v>0</v>
      </c>
      <c r="G91" s="188">
        <f t="shared" si="25"/>
        <v>0</v>
      </c>
      <c r="H91" s="188">
        <f t="shared" si="25"/>
        <v>0</v>
      </c>
      <c r="I91" s="188">
        <f t="shared" si="25"/>
        <v>867666.30161481816</v>
      </c>
      <c r="J91" s="188">
        <f t="shared" si="25"/>
        <v>0</v>
      </c>
      <c r="K91" s="188">
        <f t="shared" si="25"/>
        <v>0</v>
      </c>
      <c r="L91" s="188">
        <f t="shared" si="25"/>
        <v>0</v>
      </c>
      <c r="M91" s="188">
        <f t="shared" si="25"/>
        <v>867666.30161481816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83" activePane="bottomRight" state="frozen"/>
      <selection activeCell="A91" sqref="A91"/>
      <selection pane="topRight" activeCell="A91" sqref="A91"/>
      <selection pane="bottomLeft" activeCell="A91" sqref="A91"/>
      <selection pane="bottomRight" activeCell="C89" sqref="C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/>
      <c r="E70" s="38">
        <v>2908601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2908601</v>
      </c>
      <c r="J70" s="65"/>
      <c r="K70" s="38"/>
      <c r="L70" s="60">
        <f t="shared" si="21"/>
        <v>0</v>
      </c>
      <c r="M70" s="38">
        <f t="shared" si="21"/>
        <v>2908601</v>
      </c>
    </row>
    <row r="71" spans="1:13" x14ac:dyDescent="0.2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2908601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2908601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2908601</v>
      </c>
    </row>
    <row r="73" spans="1:13" x14ac:dyDescent="0.2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0"/>
      <c r="E81" s="38">
        <f>305000-2908601</f>
        <v>-2603601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4">
        <f t="shared" si="23"/>
        <v>-2603601</v>
      </c>
      <c r="J81" s="60"/>
      <c r="K81" s="38"/>
      <c r="L81" s="60">
        <f t="shared" si="24"/>
        <v>0</v>
      </c>
      <c r="M81" s="38">
        <f t="shared" si="24"/>
        <v>-2603601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305000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305000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305000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6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14138075</v>
      </c>
      <c r="E11" s="38">
        <v>29111855</v>
      </c>
      <c r="F11" s="60">
        <f>H11-D11</f>
        <v>0</v>
      </c>
      <c r="G11" s="37">
        <f>I11-E11</f>
        <v>0</v>
      </c>
      <c r="H11" s="65">
        <f>D11</f>
        <v>14138075</v>
      </c>
      <c r="I11" s="66">
        <f>E11</f>
        <v>29111855</v>
      </c>
      <c r="J11" s="60"/>
      <c r="K11" s="38"/>
      <c r="L11" s="60">
        <f t="shared" ref="L11:M15" si="0">H11+J11</f>
        <v>14138075</v>
      </c>
      <c r="M11" s="38">
        <f t="shared" si="0"/>
        <v>29111855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3853953</v>
      </c>
      <c r="E13" s="38">
        <v>7878186</v>
      </c>
      <c r="F13" s="60">
        <f t="shared" si="1"/>
        <v>0</v>
      </c>
      <c r="G13" s="37">
        <f t="shared" si="1"/>
        <v>0</v>
      </c>
      <c r="H13" s="65">
        <f t="shared" si="2"/>
        <v>3853953</v>
      </c>
      <c r="I13" s="66">
        <f t="shared" si="2"/>
        <v>7878186</v>
      </c>
      <c r="J13" s="60"/>
      <c r="K13" s="38"/>
      <c r="L13" s="60">
        <f t="shared" si="0"/>
        <v>3853953</v>
      </c>
      <c r="M13" s="38">
        <f t="shared" si="0"/>
        <v>7878186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17992028</v>
      </c>
      <c r="E16" s="39">
        <v>36990041</v>
      </c>
      <c r="F16" s="61">
        <f t="shared" ref="F16:M16" si="3">SUM(F11:F15)</f>
        <v>0</v>
      </c>
      <c r="G16" s="39">
        <f t="shared" si="3"/>
        <v>0</v>
      </c>
      <c r="H16" s="61">
        <f>SUM(H11:H15)</f>
        <v>17992028</v>
      </c>
      <c r="I16" s="39">
        <f>SUM(I11:I15)</f>
        <v>36990041</v>
      </c>
      <c r="J16" s="61">
        <f t="shared" si="3"/>
        <v>0</v>
      </c>
      <c r="K16" s="39">
        <f t="shared" si="3"/>
        <v>0</v>
      </c>
      <c r="L16" s="61">
        <f t="shared" si="3"/>
        <v>17992028</v>
      </c>
      <c r="M16" s="39">
        <f t="shared" si="3"/>
        <v>36990041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-15378931</v>
      </c>
      <c r="E19" s="38">
        <v>-31433692</v>
      </c>
      <c r="F19" s="60">
        <f>H19-D19</f>
        <v>0</v>
      </c>
      <c r="G19" s="37">
        <f>I19-E19</f>
        <v>0</v>
      </c>
      <c r="H19" s="65">
        <f t="shared" si="4"/>
        <v>-15378931</v>
      </c>
      <c r="I19" s="66">
        <f t="shared" si="4"/>
        <v>-31433692</v>
      </c>
      <c r="J19" s="60"/>
      <c r="K19" s="38"/>
      <c r="L19" s="60">
        <f t="shared" ref="L19:M23" si="5">H19+J19</f>
        <v>-15378931</v>
      </c>
      <c r="M19" s="38">
        <f t="shared" si="5"/>
        <v>-31433692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-2398202</v>
      </c>
      <c r="E21" s="38">
        <v>-4915768</v>
      </c>
      <c r="F21" s="60">
        <f t="shared" si="6"/>
        <v>0</v>
      </c>
      <c r="G21" s="37">
        <f t="shared" si="6"/>
        <v>0</v>
      </c>
      <c r="H21" s="65">
        <f t="shared" si="4"/>
        <v>-2398202</v>
      </c>
      <c r="I21" s="66">
        <f t="shared" si="4"/>
        <v>-4915768</v>
      </c>
      <c r="J21" s="60"/>
      <c r="K21" s="38"/>
      <c r="L21" s="60">
        <f t="shared" si="5"/>
        <v>-2398202</v>
      </c>
      <c r="M21" s="38">
        <f t="shared" si="5"/>
        <v>-4915768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-17777133</v>
      </c>
      <c r="E24" s="39">
        <v>-36349460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-17777133</v>
      </c>
      <c r="I24" s="39">
        <f>SUM(I19:I23)</f>
        <v>-36349460</v>
      </c>
      <c r="J24" s="61">
        <f t="shared" si="7"/>
        <v>0</v>
      </c>
      <c r="K24" s="39">
        <f t="shared" si="7"/>
        <v>0</v>
      </c>
      <c r="L24" s="61">
        <f t="shared" si="7"/>
        <v>-17777133</v>
      </c>
      <c r="M24" s="39">
        <f t="shared" si="7"/>
        <v>-36349460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-214895</v>
      </c>
      <c r="E33" s="38">
        <v>-517896.95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-214895</v>
      </c>
      <c r="I33" s="66">
        <f t="shared" si="9"/>
        <v>-517896.95</v>
      </c>
      <c r="J33" s="60"/>
      <c r="K33" s="38"/>
      <c r="L33" s="60">
        <f t="shared" si="10"/>
        <v>-214895</v>
      </c>
      <c r="M33" s="38">
        <f t="shared" si="10"/>
        <v>-517896.95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-214895</v>
      </c>
      <c r="E36" s="39">
        <v>-517896.95</v>
      </c>
      <c r="F36" s="61">
        <f>SUM(F32:F35)</f>
        <v>0</v>
      </c>
      <c r="G36" s="39">
        <f>SUM(G32:G35)</f>
        <v>0</v>
      </c>
      <c r="H36" s="61">
        <f>SUM(H32:H35)</f>
        <v>-214895</v>
      </c>
      <c r="I36" s="39">
        <f>SUM(I32:I35)</f>
        <v>-517896.95</v>
      </c>
      <c r="J36" s="61">
        <f>SUM(J32:J34)</f>
        <v>0</v>
      </c>
      <c r="K36" s="39">
        <f>SUM(K32:K34)</f>
        <v>0</v>
      </c>
      <c r="L36" s="61">
        <f>SUM(L32:L35)</f>
        <v>-214895</v>
      </c>
      <c r="M36" s="39">
        <f>SUM(M32:M35)</f>
        <v>-517896.95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-420951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-420951</v>
      </c>
      <c r="J70" s="65"/>
      <c r="K70" s="38"/>
      <c r="L70" s="60">
        <f t="shared" si="20"/>
        <v>0</v>
      </c>
      <c r="M70" s="38">
        <f t="shared" si="20"/>
        <v>-420951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207749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207749</v>
      </c>
      <c r="J71" s="65"/>
      <c r="K71" s="38"/>
      <c r="L71" s="60">
        <f t="shared" si="20"/>
        <v>0</v>
      </c>
      <c r="M71" s="38">
        <f t="shared" si="20"/>
        <v>207749</v>
      </c>
    </row>
    <row r="72" spans="1:13" x14ac:dyDescent="0.2">
      <c r="A72" s="9"/>
      <c r="B72" s="3"/>
      <c r="C72" s="55" t="s">
        <v>71</v>
      </c>
      <c r="D72" s="61">
        <v>0</v>
      </c>
      <c r="E72" s="39">
        <v>-213202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-213202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-213202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-646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-646</v>
      </c>
      <c r="J76" s="60"/>
      <c r="K76" s="38"/>
      <c r="L76" s="60">
        <f t="shared" si="23"/>
        <v>0</v>
      </c>
      <c r="M76" s="38">
        <f t="shared" si="23"/>
        <v>-646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183</v>
      </c>
      <c r="D82" s="73">
        <f>D16+D24+D29+D36+D43+D45+D47+D49</f>
        <v>0</v>
      </c>
      <c r="E82" s="74">
        <f>SUM(E72:E81)+E16+E24+E29+E36+E43+E45+E47+E49+E51+E56+E61+E66</f>
        <v>-91163.950000000012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-91163.950000000012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-91163.950000000012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177</v>
      </c>
      <c r="B85" s="3"/>
      <c r="L85" s="45"/>
    </row>
    <row r="86" spans="1:13" s="3" customFormat="1" x14ac:dyDescent="0.2">
      <c r="A86" s="177"/>
      <c r="C86" s="10" t="s">
        <v>181</v>
      </c>
      <c r="D86" s="181">
        <v>0</v>
      </c>
      <c r="E86" s="181">
        <v>-29526</v>
      </c>
      <c r="F86" s="181">
        <f t="shared" ref="F86:G88" si="25">H86-D86</f>
        <v>0</v>
      </c>
      <c r="G86" s="181">
        <f t="shared" si="25"/>
        <v>0</v>
      </c>
      <c r="H86" s="181">
        <f t="shared" ref="H86:I88" si="26">D86</f>
        <v>0</v>
      </c>
      <c r="I86" s="181">
        <f t="shared" si="26"/>
        <v>-29526</v>
      </c>
      <c r="J86" s="181"/>
      <c r="K86" s="181"/>
      <c r="L86" s="181">
        <f t="shared" ref="L86:M88" si="27">H86+J86</f>
        <v>0</v>
      </c>
      <c r="M86" s="181">
        <f t="shared" si="27"/>
        <v>-29526</v>
      </c>
    </row>
    <row r="87" spans="1:13" s="3" customFormat="1" x14ac:dyDescent="0.2">
      <c r="A87" s="177"/>
      <c r="C87" s="10" t="s">
        <v>73</v>
      </c>
      <c r="D87" s="182">
        <v>0</v>
      </c>
      <c r="E87" s="182">
        <v>0</v>
      </c>
      <c r="F87" s="182">
        <f t="shared" si="25"/>
        <v>0</v>
      </c>
      <c r="G87" s="182">
        <f t="shared" si="25"/>
        <v>0</v>
      </c>
      <c r="H87" s="182">
        <f t="shared" si="26"/>
        <v>0</v>
      </c>
      <c r="I87" s="182">
        <f t="shared" si="26"/>
        <v>0</v>
      </c>
      <c r="J87" s="182"/>
      <c r="K87" s="182"/>
      <c r="L87" s="182">
        <f t="shared" si="27"/>
        <v>0</v>
      </c>
      <c r="M87" s="182">
        <f t="shared" si="27"/>
        <v>0</v>
      </c>
    </row>
    <row r="88" spans="1:13" s="3" customFormat="1" x14ac:dyDescent="0.2">
      <c r="A88" s="177"/>
      <c r="C88" s="10" t="s">
        <v>74</v>
      </c>
      <c r="D88" s="183">
        <v>0</v>
      </c>
      <c r="E88" s="183">
        <v>0</v>
      </c>
      <c r="F88" s="183">
        <f t="shared" si="25"/>
        <v>0</v>
      </c>
      <c r="G88" s="183">
        <f t="shared" si="25"/>
        <v>0</v>
      </c>
      <c r="H88" s="183">
        <f t="shared" si="26"/>
        <v>0</v>
      </c>
      <c r="I88" s="183">
        <f t="shared" si="26"/>
        <v>0</v>
      </c>
      <c r="J88" s="183"/>
      <c r="K88" s="183"/>
      <c r="L88" s="183">
        <f t="shared" si="27"/>
        <v>0</v>
      </c>
      <c r="M88" s="183">
        <f t="shared" si="27"/>
        <v>0</v>
      </c>
    </row>
    <row r="89" spans="1:13" s="2" customFormat="1" ht="20.25" customHeight="1" x14ac:dyDescent="0.2">
      <c r="A89" s="177"/>
      <c r="B89" s="4"/>
      <c r="C89" s="187" t="s">
        <v>184</v>
      </c>
      <c r="D89" s="188">
        <f>SUM(D86:D88)</f>
        <v>0</v>
      </c>
      <c r="E89" s="188">
        <f t="shared" ref="E89:M89" si="28">SUM(E86:E88)</f>
        <v>-29526</v>
      </c>
      <c r="F89" s="188">
        <f t="shared" si="28"/>
        <v>0</v>
      </c>
      <c r="G89" s="188">
        <f t="shared" si="28"/>
        <v>0</v>
      </c>
      <c r="H89" s="188">
        <f t="shared" si="28"/>
        <v>0</v>
      </c>
      <c r="I89" s="188">
        <f t="shared" si="28"/>
        <v>-29526</v>
      </c>
      <c r="J89" s="188">
        <f t="shared" si="28"/>
        <v>0</v>
      </c>
      <c r="K89" s="188">
        <f t="shared" si="28"/>
        <v>0</v>
      </c>
      <c r="L89" s="188">
        <f t="shared" si="28"/>
        <v>0</v>
      </c>
      <c r="M89" s="188">
        <f t="shared" si="28"/>
        <v>-29526</v>
      </c>
    </row>
    <row r="90" spans="1:13" x14ac:dyDescent="0.2">
      <c r="A90" s="4"/>
      <c r="B90" s="3"/>
    </row>
    <row r="91" spans="1:13" s="2" customFormat="1" ht="20.25" customHeight="1" x14ac:dyDescent="0.2">
      <c r="A91" s="177"/>
      <c r="B91" s="4"/>
      <c r="C91" s="187" t="s">
        <v>182</v>
      </c>
      <c r="D91" s="188">
        <f>+D82+D89</f>
        <v>0</v>
      </c>
      <c r="E91" s="188">
        <f t="shared" ref="E91:M91" si="29">+E82+E89</f>
        <v>-120689.95000000001</v>
      </c>
      <c r="F91" s="188">
        <f t="shared" si="29"/>
        <v>0</v>
      </c>
      <c r="G91" s="188">
        <f t="shared" si="29"/>
        <v>0</v>
      </c>
      <c r="H91" s="188">
        <f t="shared" si="29"/>
        <v>0</v>
      </c>
      <c r="I91" s="188">
        <f t="shared" si="29"/>
        <v>-120689.95000000001</v>
      </c>
      <c r="J91" s="188">
        <f t="shared" si="29"/>
        <v>0</v>
      </c>
      <c r="K91" s="188">
        <f t="shared" si="29"/>
        <v>0</v>
      </c>
      <c r="L91" s="188">
        <f t="shared" si="29"/>
        <v>0</v>
      </c>
      <c r="M91" s="188">
        <f t="shared" si="29"/>
        <v>-120689.95000000001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6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9447220</v>
      </c>
      <c r="E11" s="65">
        <v>17074744</v>
      </c>
      <c r="F11" s="60">
        <f>H11-D11</f>
        <v>0</v>
      </c>
      <c r="G11" s="37">
        <f>I11-E11</f>
        <v>0</v>
      </c>
      <c r="H11" s="65">
        <f>D11</f>
        <v>9447220</v>
      </c>
      <c r="I11" s="66">
        <f>E11</f>
        <v>17074744</v>
      </c>
      <c r="J11" s="60"/>
      <c r="K11" s="38"/>
      <c r="L11" s="60">
        <f t="shared" ref="L11:M15" si="0">H11+J11</f>
        <v>9447220</v>
      </c>
      <c r="M11" s="38">
        <f t="shared" si="0"/>
        <v>17074744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23121045</v>
      </c>
      <c r="E13" s="65">
        <v>52596143</v>
      </c>
      <c r="F13" s="60">
        <f t="shared" si="1"/>
        <v>0</v>
      </c>
      <c r="G13" s="37">
        <f t="shared" si="1"/>
        <v>0</v>
      </c>
      <c r="H13" s="65">
        <f t="shared" si="2"/>
        <v>23121045</v>
      </c>
      <c r="I13" s="66">
        <f t="shared" si="2"/>
        <v>52596143</v>
      </c>
      <c r="J13" s="60"/>
      <c r="K13" s="38"/>
      <c r="L13" s="60">
        <f t="shared" si="0"/>
        <v>23121045</v>
      </c>
      <c r="M13" s="38">
        <f t="shared" si="0"/>
        <v>52596143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32568265</v>
      </c>
      <c r="E16" s="39">
        <v>69670887</v>
      </c>
      <c r="F16" s="61">
        <f t="shared" ref="F16:M16" si="3">SUM(F11:F15)</f>
        <v>0</v>
      </c>
      <c r="G16" s="39">
        <f t="shared" si="3"/>
        <v>0</v>
      </c>
      <c r="H16" s="61">
        <f>SUM(H11:H15)</f>
        <v>32568265</v>
      </c>
      <c r="I16" s="39">
        <f>SUM(I11:I15)</f>
        <v>69670887</v>
      </c>
      <c r="J16" s="61">
        <f t="shared" si="3"/>
        <v>0</v>
      </c>
      <c r="K16" s="39">
        <f t="shared" si="3"/>
        <v>0</v>
      </c>
      <c r="L16" s="61">
        <f t="shared" si="3"/>
        <v>32568265</v>
      </c>
      <c r="M16" s="39">
        <f t="shared" si="3"/>
        <v>69670887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-5972484</v>
      </c>
      <c r="E19" s="65">
        <v>-9619123</v>
      </c>
      <c r="F19" s="60">
        <f>H19-D19</f>
        <v>0</v>
      </c>
      <c r="G19" s="37">
        <f>I19-E19</f>
        <v>0</v>
      </c>
      <c r="H19" s="65">
        <f t="shared" si="4"/>
        <v>-5972484</v>
      </c>
      <c r="I19" s="66">
        <f t="shared" si="4"/>
        <v>-9619123</v>
      </c>
      <c r="J19" s="60"/>
      <c r="K19" s="38"/>
      <c r="L19" s="60">
        <f t="shared" ref="L19:M23" si="5">H19+J19</f>
        <v>-5972484</v>
      </c>
      <c r="M19" s="38">
        <f t="shared" si="5"/>
        <v>-9619123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-33399273</v>
      </c>
      <c r="E21" s="65">
        <v>-71707408</v>
      </c>
      <c r="F21" s="60">
        <f t="shared" si="6"/>
        <v>0</v>
      </c>
      <c r="G21" s="37">
        <f t="shared" si="6"/>
        <v>0</v>
      </c>
      <c r="H21" s="65">
        <f t="shared" si="4"/>
        <v>-33399273</v>
      </c>
      <c r="I21" s="66">
        <f t="shared" si="4"/>
        <v>-71707408</v>
      </c>
      <c r="J21" s="60"/>
      <c r="K21" s="38"/>
      <c r="L21" s="60">
        <f t="shared" si="5"/>
        <v>-33399273</v>
      </c>
      <c r="M21" s="38">
        <f t="shared" si="5"/>
        <v>-71707408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668984</v>
      </c>
      <c r="E23" s="65">
        <v>1421722</v>
      </c>
      <c r="F23" s="60">
        <f t="shared" si="6"/>
        <v>0</v>
      </c>
      <c r="G23" s="37">
        <f t="shared" si="6"/>
        <v>0</v>
      </c>
      <c r="H23" s="65">
        <f t="shared" si="4"/>
        <v>668984</v>
      </c>
      <c r="I23" s="66">
        <f t="shared" si="4"/>
        <v>1421722</v>
      </c>
      <c r="J23" s="60"/>
      <c r="K23" s="38"/>
      <c r="L23" s="60">
        <f t="shared" si="5"/>
        <v>668984</v>
      </c>
      <c r="M23" s="38">
        <f t="shared" si="5"/>
        <v>1421722</v>
      </c>
    </row>
    <row r="24" spans="1:13" x14ac:dyDescent="0.2">
      <c r="A24" s="9"/>
      <c r="B24" s="7" t="s">
        <v>35</v>
      </c>
      <c r="C24" s="6"/>
      <c r="D24" s="61">
        <v>-38702773</v>
      </c>
      <c r="E24" s="39">
        <v>-79904809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-38702773</v>
      </c>
      <c r="I24" s="39">
        <f>SUM(I19:I23)</f>
        <v>-79904809</v>
      </c>
      <c r="J24" s="61">
        <f t="shared" si="7"/>
        <v>0</v>
      </c>
      <c r="K24" s="39">
        <f t="shared" si="7"/>
        <v>0</v>
      </c>
      <c r="L24" s="61">
        <f t="shared" si="7"/>
        <v>-38702773</v>
      </c>
      <c r="M24" s="39">
        <f t="shared" si="7"/>
        <v>-79904809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5">
        <v>35969</v>
      </c>
      <c r="E33" s="65">
        <v>56524.367640870878</v>
      </c>
      <c r="F33" s="60">
        <f t="shared" ref="F33:G35" si="11">H33-D33</f>
        <v>0</v>
      </c>
      <c r="G33" s="37">
        <f t="shared" si="11"/>
        <v>0</v>
      </c>
      <c r="H33" s="65">
        <f t="shared" si="9"/>
        <v>35969</v>
      </c>
      <c r="I33" s="66">
        <f t="shared" si="9"/>
        <v>56524.367640870878</v>
      </c>
      <c r="J33" s="60"/>
      <c r="K33" s="38"/>
      <c r="L33" s="60">
        <f t="shared" si="10"/>
        <v>35969</v>
      </c>
      <c r="M33" s="38">
        <f t="shared" si="10"/>
        <v>56524.367640870878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-16325</v>
      </c>
      <c r="E35" s="65">
        <v>-39098</v>
      </c>
      <c r="F35" s="60">
        <f t="shared" si="11"/>
        <v>0</v>
      </c>
      <c r="G35" s="37">
        <f t="shared" si="11"/>
        <v>0</v>
      </c>
      <c r="H35" s="65">
        <f t="shared" si="9"/>
        <v>-16325</v>
      </c>
      <c r="I35" s="66">
        <f t="shared" si="9"/>
        <v>-39098</v>
      </c>
      <c r="J35" s="60"/>
      <c r="K35" s="38"/>
      <c r="L35" s="60">
        <f t="shared" si="10"/>
        <v>-16325</v>
      </c>
      <c r="M35" s="38">
        <f t="shared" si="10"/>
        <v>-39098</v>
      </c>
    </row>
    <row r="36" spans="1:13" x14ac:dyDescent="0.2">
      <c r="A36" s="9"/>
      <c r="B36" s="7" t="s">
        <v>45</v>
      </c>
      <c r="C36" s="6"/>
      <c r="D36" s="61">
        <v>19644</v>
      </c>
      <c r="E36" s="39">
        <v>17426.367640870878</v>
      </c>
      <c r="F36" s="61">
        <f>SUM(F32:F35)</f>
        <v>0</v>
      </c>
      <c r="G36" s="39">
        <f>SUM(G32:G35)</f>
        <v>0</v>
      </c>
      <c r="H36" s="61">
        <f>SUM(H32:H35)</f>
        <v>19644</v>
      </c>
      <c r="I36" s="39">
        <f>SUM(I32:I35)</f>
        <v>17426.367640870878</v>
      </c>
      <c r="J36" s="61">
        <f>SUM(J32:J34)</f>
        <v>0</v>
      </c>
      <c r="K36" s="39">
        <f>SUM(K32:K34)</f>
        <v>0</v>
      </c>
      <c r="L36" s="61">
        <f>SUM(L32:L35)</f>
        <v>19644</v>
      </c>
      <c r="M36" s="39">
        <f>SUM(M32:M35)</f>
        <v>17426.367640870878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6114864</v>
      </c>
      <c r="E39" s="65">
        <v>12461712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6114864</v>
      </c>
      <c r="I39" s="66">
        <f t="shared" si="12"/>
        <v>12461712</v>
      </c>
      <c r="J39" s="60"/>
      <c r="K39" s="38"/>
      <c r="L39" s="60">
        <f t="shared" ref="L39:M41" si="14">H39+J39</f>
        <v>6114864</v>
      </c>
      <c r="M39" s="38">
        <f t="shared" si="14"/>
        <v>12461712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6114864</v>
      </c>
      <c r="E43" s="39">
        <v>12461712</v>
      </c>
      <c r="F43" s="61">
        <f t="shared" ref="F43:M43" si="16">F42+F39</f>
        <v>0</v>
      </c>
      <c r="G43" s="39">
        <f t="shared" si="16"/>
        <v>0</v>
      </c>
      <c r="H43" s="61">
        <f>H42+H39</f>
        <v>6114864</v>
      </c>
      <c r="I43" s="39">
        <f>I42+I39</f>
        <v>12461712</v>
      </c>
      <c r="J43" s="61">
        <f t="shared" si="16"/>
        <v>0</v>
      </c>
      <c r="K43" s="39">
        <f t="shared" si="16"/>
        <v>0</v>
      </c>
      <c r="L43" s="61">
        <f t="shared" si="16"/>
        <v>6114864</v>
      </c>
      <c r="M43" s="39">
        <f t="shared" si="16"/>
        <v>12461712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-668984</v>
      </c>
      <c r="E51" s="65">
        <v>-1421722</v>
      </c>
      <c r="F51" s="60">
        <f>H51-D51</f>
        <v>0</v>
      </c>
      <c r="G51" s="37">
        <f>I51-E51</f>
        <v>0</v>
      </c>
      <c r="H51" s="65">
        <f>D51</f>
        <v>-668984</v>
      </c>
      <c r="I51" s="66">
        <f>E51</f>
        <v>-1421722</v>
      </c>
      <c r="J51" s="60"/>
      <c r="K51" s="38"/>
      <c r="L51" s="60">
        <f>H51+J51</f>
        <v>-668984</v>
      </c>
      <c r="M51" s="38">
        <f>I51+K51</f>
        <v>-1421722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-699134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-699134</v>
      </c>
      <c r="J54" s="60"/>
      <c r="K54" s="38"/>
      <c r="L54" s="60">
        <f>H54+J54</f>
        <v>0</v>
      </c>
      <c r="M54" s="38">
        <f>I54+K54</f>
        <v>-699134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-10497261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-10497261</v>
      </c>
      <c r="J55" s="60"/>
      <c r="K55" s="38"/>
      <c r="L55" s="60">
        <f>H55+J55</f>
        <v>0</v>
      </c>
      <c r="M55" s="38">
        <f>I55+K55</f>
        <v>-10497261</v>
      </c>
    </row>
    <row r="56" spans="1:15" x14ac:dyDescent="0.2">
      <c r="A56" s="9"/>
      <c r="B56" s="7" t="s">
        <v>59</v>
      </c>
      <c r="C56" s="6"/>
      <c r="D56" s="61">
        <v>0</v>
      </c>
      <c r="E56" s="39">
        <v>-11196395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-11196395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-11196395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8150968.7333007976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8150968.7333007976</v>
      </c>
      <c r="J70" s="65"/>
      <c r="K70" s="38"/>
      <c r="L70" s="60">
        <f t="shared" si="20"/>
        <v>0</v>
      </c>
      <c r="M70" s="38">
        <f t="shared" si="20"/>
        <v>8150968.7333007976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-8009830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-8009830</v>
      </c>
      <c r="J71" s="65"/>
      <c r="K71" s="38"/>
      <c r="L71" s="60">
        <f t="shared" si="20"/>
        <v>0</v>
      </c>
      <c r="M71" s="38">
        <f t="shared" si="20"/>
        <v>-8009830</v>
      </c>
    </row>
    <row r="72" spans="1:13" x14ac:dyDescent="0.2">
      <c r="A72" s="9"/>
      <c r="B72" s="3"/>
      <c r="C72" s="55" t="s">
        <v>71</v>
      </c>
      <c r="D72" s="61">
        <v>0</v>
      </c>
      <c r="E72" s="39">
        <v>141138.73330079764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141138.73330079764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141138.73330079764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-380393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-380393</v>
      </c>
      <c r="J74" s="60"/>
      <c r="K74" s="38"/>
      <c r="L74" s="60">
        <f t="shared" si="23"/>
        <v>0</v>
      </c>
      <c r="M74" s="38">
        <f t="shared" si="23"/>
        <v>-380393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10497261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10497261</v>
      </c>
      <c r="J79" s="60"/>
      <c r="K79" s="38"/>
      <c r="L79" s="60">
        <f t="shared" si="23"/>
        <v>0</v>
      </c>
      <c r="M79" s="38">
        <f t="shared" si="23"/>
        <v>10497261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-114893.89905832335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-114893.89905832335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-114893.89905832335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Q179"/>
  <sheetViews>
    <sheetView zoomScale="75" workbookViewId="0">
      <pane xSplit="3" ySplit="9" topLeftCell="D54" activePane="bottomRight" state="frozen"/>
      <selection activeCell="Z628" sqref="Z628"/>
      <selection pane="topRight" activeCell="Z628" sqref="Z628"/>
      <selection pane="bottomLeft" activeCell="Z628" sqref="Z628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169</v>
      </c>
      <c r="I8" s="27"/>
      <c r="J8" s="26" t="s">
        <v>172</v>
      </c>
      <c r="K8" s="27"/>
      <c r="L8" s="26" t="s">
        <v>192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">
        <v>103</v>
      </c>
      <c r="AI8" s="27"/>
      <c r="AJ8" s="26" t="s">
        <v>103</v>
      </c>
      <c r="AK8" s="27"/>
      <c r="AL8" s="26" t="s">
        <v>103</v>
      </c>
      <c r="AM8" s="27"/>
      <c r="AN8" s="26" t="s">
        <v>103</v>
      </c>
      <c r="AO8" s="27"/>
      <c r="AP8" s="26" t="s">
        <v>103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46285172</v>
      </c>
      <c r="E11" s="38">
        <f t="shared" si="0"/>
        <v>96928900.129999995</v>
      </c>
      <c r="F11" s="60">
        <f>'TIE-OUT'!F11+RECLASS!F11</f>
        <v>0</v>
      </c>
      <c r="G11" s="38">
        <f>'TIE-OUT'!G11+RECLASS!G11</f>
        <v>0</v>
      </c>
      <c r="H11" s="127">
        <f>+Actuals!E124</f>
        <v>46360657</v>
      </c>
      <c r="I11" s="128">
        <f>+Actuals!F124</f>
        <v>97143887.840000004</v>
      </c>
      <c r="J11" s="127">
        <f>+Actuals!G124</f>
        <v>-446880</v>
      </c>
      <c r="K11" s="128">
        <f>+Actuals!H124</f>
        <v>-1060390.06</v>
      </c>
      <c r="L11" s="127">
        <f>+Actuals!I124</f>
        <v>301298</v>
      </c>
      <c r="M11" s="128">
        <f>+Actuals!J124</f>
        <v>390324.18</v>
      </c>
      <c r="N11" s="127">
        <f>+Actuals!K124</f>
        <v>80565</v>
      </c>
      <c r="O11" s="128">
        <f>+Actuals!L124</f>
        <v>71994</v>
      </c>
      <c r="P11" s="127">
        <f>+Actuals!M124</f>
        <v>-52283</v>
      </c>
      <c r="Q11" s="128">
        <f>+Actuals!N124</f>
        <v>415245</v>
      </c>
      <c r="R11" s="127">
        <f>+Actuals!O124</f>
        <v>-15252</v>
      </c>
      <c r="S11" s="128">
        <f>+Actuals!P124</f>
        <v>-33364.639999999999</v>
      </c>
      <c r="T11" s="127">
        <f>+Actuals!Q124</f>
        <v>33</v>
      </c>
      <c r="U11" s="128">
        <f>+Actuals!R124</f>
        <v>-71790.33</v>
      </c>
      <c r="V11" s="127">
        <f>+Actuals!S124</f>
        <v>45920</v>
      </c>
      <c r="W11" s="128">
        <f>+Actuals!T124</f>
        <v>74900.070000000007</v>
      </c>
      <c r="X11" s="127">
        <f>+Actuals!U124</f>
        <v>0</v>
      </c>
      <c r="Y11" s="128">
        <f>+Actuals!V124</f>
        <v>-375</v>
      </c>
      <c r="Z11" s="127">
        <f>+Actuals!W164</f>
        <v>-2926</v>
      </c>
      <c r="AA11" s="128">
        <f>+Actuals!X164</f>
        <v>-36085.03</v>
      </c>
      <c r="AB11" s="127">
        <f>+Actuals!Y164</f>
        <v>932</v>
      </c>
      <c r="AC11" s="128">
        <f>+Actuals!Z164</f>
        <v>13035.27</v>
      </c>
      <c r="AD11" s="127">
        <f>+Actuals!AA164</f>
        <v>-1038</v>
      </c>
      <c r="AE11" s="128">
        <f>+Actuals!AB164</f>
        <v>-5037.66</v>
      </c>
      <c r="AF11" s="127">
        <f>+Actuals!AC164</f>
        <v>14146</v>
      </c>
      <c r="AG11" s="128">
        <f>+Actuals!AD164</f>
        <v>26556.49</v>
      </c>
      <c r="AH11" s="127">
        <f>+Actuals!AE124</f>
        <v>0</v>
      </c>
      <c r="AI11" s="128">
        <f>+Actuals!AF124</f>
        <v>0</v>
      </c>
      <c r="AJ11" s="127">
        <f>+Actuals!AG124</f>
        <v>0</v>
      </c>
      <c r="AK11" s="128">
        <f>+Actuals!AH124</f>
        <v>0</v>
      </c>
      <c r="AL11" s="127">
        <f>+Actuals!AI124</f>
        <v>0</v>
      </c>
      <c r="AM11" s="128">
        <f>+Actuals!AJ124</f>
        <v>0</v>
      </c>
      <c r="AN11" s="127">
        <f>+Actuals!AK124</f>
        <v>0</v>
      </c>
      <c r="AO11" s="128">
        <f>+Actuals!AL124</f>
        <v>0</v>
      </c>
      <c r="AP11" s="127">
        <f>+Actuals!AM124</f>
        <v>0</v>
      </c>
      <c r="AQ11" s="128">
        <f>+Actuals!AN124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-8520140.129999999</v>
      </c>
      <c r="F12" s="60">
        <f>'TIE-OUT'!F12+RECLASS!F12</f>
        <v>0</v>
      </c>
      <c r="G12" s="38">
        <f>'TIE-OUT'!G12+RECLASS!G12</f>
        <v>-8270803.1299999999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60">
        <f>+Actuals!J125-249337</f>
        <v>-249337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+Actuals!AE125</f>
        <v>0</v>
      </c>
      <c r="AI12" s="128">
        <f>+Actuals!AF125</f>
        <v>0</v>
      </c>
      <c r="AJ12" s="127">
        <f>+Actuals!AG125</f>
        <v>0</v>
      </c>
      <c r="AK12" s="128">
        <f>+Actuals!AH125</f>
        <v>0</v>
      </c>
      <c r="AL12" s="127">
        <f>+Actuals!AI125</f>
        <v>0</v>
      </c>
      <c r="AM12" s="128">
        <f>+Actuals!AJ125</f>
        <v>0</v>
      </c>
      <c r="AN12" s="127">
        <f>+Actuals!AK125</f>
        <v>0</v>
      </c>
      <c r="AO12" s="128">
        <f>+Actuals!AL125</f>
        <v>0</v>
      </c>
      <c r="AP12" s="127">
        <f>+Actuals!AM125</f>
        <v>0</v>
      </c>
      <c r="AQ12" s="128">
        <f>+Actuals!AN125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19267397</v>
      </c>
      <c r="E13" s="38">
        <f t="shared" si="0"/>
        <v>40419816</v>
      </c>
      <c r="F13" s="60">
        <f>'TIE-OUT'!F13+RECLASS!F13</f>
        <v>0</v>
      </c>
      <c r="G13" s="38">
        <f>'TIE-OUT'!G13+RECLASS!G13</f>
        <v>0</v>
      </c>
      <c r="H13" s="127">
        <f>+Actuals!E126</f>
        <v>19267397</v>
      </c>
      <c r="I13" s="128">
        <f>+Actuals!F126</f>
        <v>40419816</v>
      </c>
      <c r="J13" s="127">
        <f>+Actuals!G126</f>
        <v>0</v>
      </c>
      <c r="K13" s="128">
        <f>+Actuals!H126</f>
        <v>0</v>
      </c>
      <c r="L13" s="127">
        <f>+Actuals!I126</f>
        <v>0</v>
      </c>
      <c r="M13" s="128">
        <f>+Actuals!J126</f>
        <v>0</v>
      </c>
      <c r="N13" s="127">
        <f>+Actuals!K126</f>
        <v>0</v>
      </c>
      <c r="O13" s="128">
        <f>+Actuals!L126</f>
        <v>0</v>
      </c>
      <c r="P13" s="127">
        <f>+Actuals!M126</f>
        <v>0</v>
      </c>
      <c r="Q13" s="128">
        <f>+Actuals!N126</f>
        <v>0</v>
      </c>
      <c r="R13" s="127">
        <f>+Actuals!O126</f>
        <v>0</v>
      </c>
      <c r="S13" s="128">
        <f>+Actuals!P126</f>
        <v>0</v>
      </c>
      <c r="T13" s="127">
        <f>+Actuals!Q126</f>
        <v>1878778</v>
      </c>
      <c r="U13" s="128">
        <f>+Actuals!R126</f>
        <v>3852752</v>
      </c>
      <c r="V13" s="127">
        <f>+Actuals!S126</f>
        <v>1878778</v>
      </c>
      <c r="W13" s="128">
        <f>+Actuals!T126</f>
        <v>3852752</v>
      </c>
      <c r="X13" s="127">
        <f>+Actuals!U126</f>
        <v>-3757556</v>
      </c>
      <c r="Y13" s="128">
        <f>+Actuals!V126</f>
        <v>-7705504</v>
      </c>
      <c r="Z13" s="127">
        <f>+Actuals!W166</f>
        <v>3757556</v>
      </c>
      <c r="AA13" s="128">
        <f>+Actuals!X166</f>
        <v>7705504</v>
      </c>
      <c r="AB13" s="127">
        <f>+Actuals!Y166</f>
        <v>0</v>
      </c>
      <c r="AC13" s="128">
        <f>+Actuals!Z166</f>
        <v>0</v>
      </c>
      <c r="AD13" s="127">
        <f>+Actuals!AA166</f>
        <v>-3757556</v>
      </c>
      <c r="AE13" s="128">
        <f>+Actuals!AB166</f>
        <v>-7705504</v>
      </c>
      <c r="AF13" s="127">
        <f>+Actuals!AC166</f>
        <v>0</v>
      </c>
      <c r="AG13" s="128">
        <f>+Actuals!AD166</f>
        <v>0</v>
      </c>
      <c r="AH13" s="127">
        <f>+Actuals!AE126</f>
        <v>0</v>
      </c>
      <c r="AI13" s="128">
        <f>+Actuals!AF126</f>
        <v>0</v>
      </c>
      <c r="AJ13" s="127">
        <f>+Actuals!AG126</f>
        <v>0</v>
      </c>
      <c r="AK13" s="128">
        <f>+Actuals!AH126</f>
        <v>0</v>
      </c>
      <c r="AL13" s="127">
        <f>+Actuals!AI126</f>
        <v>0</v>
      </c>
      <c r="AM13" s="128">
        <f>+Actuals!AJ126</f>
        <v>0</v>
      </c>
      <c r="AN13" s="127">
        <f>+Actuals!AK126</f>
        <v>0</v>
      </c>
      <c r="AO13" s="128">
        <f>+Actuals!AL126</f>
        <v>0</v>
      </c>
      <c r="AP13" s="127">
        <f>+Actuals!AM126</f>
        <v>0</v>
      </c>
      <c r="AQ13" s="128">
        <f>+Actuals!AN126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+Actuals!AE127</f>
        <v>0</v>
      </c>
      <c r="AI14" s="128">
        <f>+Actuals!AF127</f>
        <v>0</v>
      </c>
      <c r="AJ14" s="127">
        <f>+Actuals!AG127</f>
        <v>0</v>
      </c>
      <c r="AK14" s="128">
        <f>+Actuals!AH127</f>
        <v>0</v>
      </c>
      <c r="AL14" s="127">
        <f>+Actuals!AI127</f>
        <v>0</v>
      </c>
      <c r="AM14" s="128">
        <f>+Actuals!AJ127</f>
        <v>0</v>
      </c>
      <c r="AN14" s="127">
        <f>+Actuals!AK127</f>
        <v>0</v>
      </c>
      <c r="AO14" s="128">
        <f>+Actuals!AL127</f>
        <v>0</v>
      </c>
      <c r="AP14" s="127">
        <f>+Actuals!AM127</f>
        <v>0</v>
      </c>
      <c r="AQ14" s="128">
        <f>+Actuals!AN127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-2302848</v>
      </c>
      <c r="F15" s="81">
        <f>'TIE-OUT'!F15+RECLASS!F15</f>
        <v>0</v>
      </c>
      <c r="G15" s="82">
        <f>'TIE-OUT'!G15+RECLASS!G15</f>
        <v>-2302848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+Actuals!AE128</f>
        <v>0</v>
      </c>
      <c r="AI15" s="129">
        <f>+Actuals!AF128</f>
        <v>0</v>
      </c>
      <c r="AJ15" s="127">
        <f>+Actuals!AG128</f>
        <v>0</v>
      </c>
      <c r="AK15" s="129">
        <f>+Actuals!AH128</f>
        <v>0</v>
      </c>
      <c r="AL15" s="127">
        <f>+Actuals!AI128</f>
        <v>0</v>
      </c>
      <c r="AM15" s="129">
        <f>+Actuals!AJ128</f>
        <v>0</v>
      </c>
      <c r="AN15" s="127">
        <f>+Actuals!AK128</f>
        <v>0</v>
      </c>
      <c r="AO15" s="129">
        <f>+Actuals!AL128</f>
        <v>0</v>
      </c>
      <c r="AP15" s="127">
        <f>+Actuals!AM128</f>
        <v>0</v>
      </c>
      <c r="AQ15" s="129">
        <f>+Actuals!AN128</f>
        <v>0</v>
      </c>
    </row>
    <row r="16" spans="1:43" x14ac:dyDescent="0.2">
      <c r="A16" s="9"/>
      <c r="B16" s="7" t="s">
        <v>32</v>
      </c>
      <c r="C16" s="6"/>
      <c r="D16" s="61">
        <f t="shared" ref="D16:I16" si="1">SUM(D11:D15)</f>
        <v>65552569</v>
      </c>
      <c r="E16" s="39">
        <f t="shared" si="1"/>
        <v>126525728</v>
      </c>
      <c r="F16" s="61">
        <f t="shared" si="1"/>
        <v>0</v>
      </c>
      <c r="G16" s="39">
        <f t="shared" si="1"/>
        <v>-10573651.129999999</v>
      </c>
      <c r="H16" s="61">
        <f t="shared" si="1"/>
        <v>65628054</v>
      </c>
      <c r="I16" s="82">
        <f t="shared" si="1"/>
        <v>137563703.84</v>
      </c>
      <c r="J16" s="61">
        <f t="shared" ref="J16:AA16" si="2">SUM(J11:J15)</f>
        <v>-446880</v>
      </c>
      <c r="K16" s="82">
        <f t="shared" si="2"/>
        <v>-1060390.06</v>
      </c>
      <c r="L16" s="61">
        <f t="shared" si="2"/>
        <v>301298</v>
      </c>
      <c r="M16" s="82">
        <f t="shared" si="2"/>
        <v>140987.18</v>
      </c>
      <c r="N16" s="61">
        <f t="shared" si="2"/>
        <v>80565</v>
      </c>
      <c r="O16" s="82">
        <f t="shared" si="2"/>
        <v>71994</v>
      </c>
      <c r="P16" s="61">
        <f t="shared" si="2"/>
        <v>-52283</v>
      </c>
      <c r="Q16" s="82">
        <f t="shared" si="2"/>
        <v>415245</v>
      </c>
      <c r="R16" s="61">
        <f t="shared" si="2"/>
        <v>-15252</v>
      </c>
      <c r="S16" s="82">
        <f t="shared" si="2"/>
        <v>-33364.639999999999</v>
      </c>
      <c r="T16" s="61">
        <f t="shared" si="2"/>
        <v>1878811</v>
      </c>
      <c r="U16" s="82">
        <f t="shared" si="2"/>
        <v>3780961.67</v>
      </c>
      <c r="V16" s="61">
        <f t="shared" si="2"/>
        <v>1924698</v>
      </c>
      <c r="W16" s="82">
        <f t="shared" si="2"/>
        <v>3927652.07</v>
      </c>
      <c r="X16" s="61">
        <f t="shared" si="2"/>
        <v>-3757556</v>
      </c>
      <c r="Y16" s="82">
        <f t="shared" si="2"/>
        <v>-7705879</v>
      </c>
      <c r="Z16" s="61">
        <f t="shared" si="2"/>
        <v>3754630</v>
      </c>
      <c r="AA16" s="39">
        <f t="shared" si="2"/>
        <v>7669418.9699999997</v>
      </c>
      <c r="AB16" s="61">
        <f t="shared" ref="AB16:AQ16" si="3">SUM(AB11:AB15)</f>
        <v>932</v>
      </c>
      <c r="AC16" s="82">
        <f t="shared" si="3"/>
        <v>13035.27</v>
      </c>
      <c r="AD16" s="61">
        <f t="shared" si="3"/>
        <v>-3758594</v>
      </c>
      <c r="AE16" s="82">
        <f t="shared" si="3"/>
        <v>-7710541.6600000001</v>
      </c>
      <c r="AF16" s="61">
        <f>SUM(AF11:AF15)</f>
        <v>14146</v>
      </c>
      <c r="AG16" s="82">
        <f>SUM(AG11:AG15)</f>
        <v>26556.49</v>
      </c>
      <c r="AH16" s="61">
        <f t="shared" si="3"/>
        <v>0</v>
      </c>
      <c r="AI16" s="82">
        <f t="shared" si="3"/>
        <v>0</v>
      </c>
      <c r="AJ16" s="61">
        <f t="shared" si="3"/>
        <v>0</v>
      </c>
      <c r="AK16" s="82">
        <f t="shared" si="3"/>
        <v>0</v>
      </c>
      <c r="AL16" s="61">
        <f t="shared" si="3"/>
        <v>0</v>
      </c>
      <c r="AM16" s="82">
        <f t="shared" si="3"/>
        <v>0</v>
      </c>
      <c r="AN16" s="61">
        <f t="shared" si="3"/>
        <v>0</v>
      </c>
      <c r="AO16" s="82">
        <f t="shared" si="3"/>
        <v>0</v>
      </c>
      <c r="AP16" s="61">
        <f t="shared" si="3"/>
        <v>0</v>
      </c>
      <c r="AQ16" s="82">
        <f t="shared" si="3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SUM(F19,H19,J19,L19,N19,P19,R19,T19,V19,X19,Z19,AB19,AD19,AF19)</f>
        <v>-44465044</v>
      </c>
      <c r="E19" s="38">
        <f t="shared" si="4"/>
        <v>-83163514.590000004</v>
      </c>
      <c r="F19" s="64">
        <f>'TIE-OUT'!F19+RECLASS!F19</f>
        <v>0</v>
      </c>
      <c r="G19" s="68">
        <f>'TIE-OUT'!G19+RECLASS!G19</f>
        <v>19344</v>
      </c>
      <c r="H19" s="127">
        <f>+Actuals!E129</f>
        <v>-44374767</v>
      </c>
      <c r="I19" s="128">
        <f>+Actuals!F129</f>
        <v>-83443360.24000001</v>
      </c>
      <c r="J19" s="127">
        <f>+Actuals!G129</f>
        <v>44071</v>
      </c>
      <c r="K19" s="128">
        <f>+Actuals!H129</f>
        <v>567450.30000000005</v>
      </c>
      <c r="L19" s="127">
        <f>+Actuals!I129</f>
        <v>-182418</v>
      </c>
      <c r="M19" s="128">
        <f>+Actuals!J129</f>
        <v>-373335.58</v>
      </c>
      <c r="N19" s="127">
        <f>+Actuals!K129</f>
        <v>-100837</v>
      </c>
      <c r="O19" s="128">
        <f>+Actuals!L129</f>
        <v>-101924</v>
      </c>
      <c r="P19" s="127">
        <f>+Actuals!M129</f>
        <v>39978</v>
      </c>
      <c r="Q19" s="128">
        <f>+Actuals!N129</f>
        <v>-16000</v>
      </c>
      <c r="R19" s="127">
        <f>+Actuals!O129</f>
        <v>34805</v>
      </c>
      <c r="S19" s="128">
        <f>+Actuals!P129</f>
        <v>399645.54</v>
      </c>
      <c r="T19" s="127">
        <f>+Actuals!Q129</f>
        <v>-25629</v>
      </c>
      <c r="U19" s="128">
        <f>+Actuals!R129</f>
        <v>1450.03</v>
      </c>
      <c r="V19" s="127">
        <f>+Actuals!S129</f>
        <v>-118127</v>
      </c>
      <c r="W19" s="128">
        <f>+Actuals!T129</f>
        <v>-202623.77</v>
      </c>
      <c r="X19" s="127">
        <f>+Actuals!U129</f>
        <v>0</v>
      </c>
      <c r="Y19" s="128">
        <f>+Actuals!V129</f>
        <v>-272852.2</v>
      </c>
      <c r="Z19" s="127">
        <f>+Actuals!W169</f>
        <v>-151170</v>
      </c>
      <c r="AA19" s="128">
        <f>+Actuals!X169</f>
        <v>-419930.56</v>
      </c>
      <c r="AB19" s="127">
        <f>+Actuals!Y169</f>
        <v>10</v>
      </c>
      <c r="AC19" s="128">
        <f>+Actuals!Z169</f>
        <v>25</v>
      </c>
      <c r="AD19" s="127">
        <f>+Actuals!AA169</f>
        <v>149702</v>
      </c>
      <c r="AE19" s="128">
        <f>+Actuals!AB169</f>
        <v>294592.68</v>
      </c>
      <c r="AF19" s="127">
        <f>+Actuals!AC169</f>
        <v>219338</v>
      </c>
      <c r="AG19" s="128">
        <f>+Actuals!AD169</f>
        <v>384004.21</v>
      </c>
      <c r="AH19" s="127">
        <f>+Actuals!AE129</f>
        <v>0</v>
      </c>
      <c r="AI19" s="128">
        <f>+Actuals!AF129</f>
        <v>0</v>
      </c>
      <c r="AJ19" s="127">
        <f>+Actuals!AG129</f>
        <v>0</v>
      </c>
      <c r="AK19" s="128">
        <f>+Actuals!AH129</f>
        <v>0</v>
      </c>
      <c r="AL19" s="127">
        <f>+Actuals!AI129</f>
        <v>0</v>
      </c>
      <c r="AM19" s="128">
        <f>+Actuals!AJ129</f>
        <v>0</v>
      </c>
      <c r="AN19" s="127">
        <f>+Actuals!AK129</f>
        <v>0</v>
      </c>
      <c r="AO19" s="128">
        <f>+Actuals!AL129</f>
        <v>0</v>
      </c>
      <c r="AP19" s="127">
        <f>+Actuals!AM129</f>
        <v>0</v>
      </c>
      <c r="AQ19" s="128">
        <f>+Actuals!AN129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566995.99</v>
      </c>
      <c r="F20" s="60">
        <f>'TIE-OUT'!F20+RECLASS!F20</f>
        <v>0</v>
      </c>
      <c r="G20" s="38">
        <f>'TIE-OUT'!G20+RECLASS!G20</f>
        <v>566995.99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+Actuals!AE130</f>
        <v>0</v>
      </c>
      <c r="AI20" s="128">
        <f>+Actuals!AF130</f>
        <v>0</v>
      </c>
      <c r="AJ20" s="127">
        <f>+Actuals!AG130</f>
        <v>0</v>
      </c>
      <c r="AK20" s="128">
        <f>+Actuals!AH130</f>
        <v>0</v>
      </c>
      <c r="AL20" s="127">
        <f>+Actuals!AI130</f>
        <v>0</v>
      </c>
      <c r="AM20" s="128">
        <f>+Actuals!AJ130</f>
        <v>0</v>
      </c>
      <c r="AN20" s="127">
        <f>+Actuals!AK130</f>
        <v>0</v>
      </c>
      <c r="AO20" s="128">
        <f>+Actuals!AL130</f>
        <v>0</v>
      </c>
      <c r="AP20" s="127">
        <f>+Actuals!AM130</f>
        <v>0</v>
      </c>
      <c r="AQ20" s="128">
        <f>+Actuals!AN130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4"/>
        <v>-20710869</v>
      </c>
      <c r="E21" s="38">
        <f t="shared" si="4"/>
        <v>-43021113</v>
      </c>
      <c r="F21" s="60">
        <f>'TIE-OUT'!F21+RECLASS!F21</f>
        <v>0</v>
      </c>
      <c r="G21" s="38">
        <f>'TIE-OUT'!G21+RECLASS!G21</f>
        <v>0</v>
      </c>
      <c r="H21" s="127">
        <f>+Actuals!E131</f>
        <v>-20710869</v>
      </c>
      <c r="I21" s="128">
        <f>+Actuals!F131</f>
        <v>-43021113</v>
      </c>
      <c r="J21" s="127">
        <f>+Actuals!G131</f>
        <v>0</v>
      </c>
      <c r="K21" s="128">
        <f>+Actuals!H131</f>
        <v>0</v>
      </c>
      <c r="L21" s="127">
        <f>+Actuals!I131</f>
        <v>0</v>
      </c>
      <c r="M21" s="128">
        <f>+Actuals!J131</f>
        <v>0</v>
      </c>
      <c r="N21" s="127">
        <f>+Actuals!K131</f>
        <v>0</v>
      </c>
      <c r="O21" s="128">
        <f>+Actuals!L131</f>
        <v>0</v>
      </c>
      <c r="P21" s="127">
        <f>+Actuals!M131</f>
        <v>1116</v>
      </c>
      <c r="Q21" s="128">
        <f>+Actuals!N131</f>
        <v>2691</v>
      </c>
      <c r="R21" s="127">
        <f>+Actuals!O131</f>
        <v>0</v>
      </c>
      <c r="S21" s="128">
        <f>+Actuals!P131</f>
        <v>0</v>
      </c>
      <c r="T21" s="127">
        <f>+Actuals!Q131</f>
        <v>-1878778</v>
      </c>
      <c r="U21" s="128">
        <f>+Actuals!R131</f>
        <v>-3852752</v>
      </c>
      <c r="V21" s="127">
        <f>+Actuals!S131</f>
        <v>-1878778</v>
      </c>
      <c r="W21" s="128">
        <f>+Actuals!T131</f>
        <v>-3852752</v>
      </c>
      <c r="X21" s="127">
        <f>+Actuals!U131</f>
        <v>3756440</v>
      </c>
      <c r="Y21" s="128">
        <f>+Actuals!V131</f>
        <v>7702813</v>
      </c>
      <c r="Z21" s="127">
        <f>+Actuals!W171</f>
        <v>-3756440</v>
      </c>
      <c r="AA21" s="128">
        <f>+Actuals!X171</f>
        <v>-7702813</v>
      </c>
      <c r="AB21" s="127">
        <f>+Actuals!Y171</f>
        <v>0</v>
      </c>
      <c r="AC21" s="128">
        <f>+Actuals!Z171</f>
        <v>0</v>
      </c>
      <c r="AD21" s="127">
        <f>+Actuals!AA171</f>
        <v>3756440</v>
      </c>
      <c r="AE21" s="128">
        <f>+Actuals!AB171</f>
        <v>7702813</v>
      </c>
      <c r="AF21" s="127">
        <f>+Actuals!AC171</f>
        <v>0</v>
      </c>
      <c r="AG21" s="128">
        <f>+Actuals!AD171</f>
        <v>0</v>
      </c>
      <c r="AH21" s="127">
        <f>+Actuals!AE131</f>
        <v>0</v>
      </c>
      <c r="AI21" s="128">
        <f>+Actuals!AF131</f>
        <v>0</v>
      </c>
      <c r="AJ21" s="127">
        <f>+Actuals!AG131</f>
        <v>0</v>
      </c>
      <c r="AK21" s="128">
        <f>+Actuals!AH131</f>
        <v>0</v>
      </c>
      <c r="AL21" s="127">
        <f>+Actuals!AI131</f>
        <v>0</v>
      </c>
      <c r="AM21" s="128">
        <f>+Actuals!AJ131</f>
        <v>0</v>
      </c>
      <c r="AN21" s="127">
        <f>+Actuals!AK131</f>
        <v>0</v>
      </c>
      <c r="AO21" s="128">
        <f>+Actuals!AL131</f>
        <v>0</v>
      </c>
      <c r="AP21" s="127">
        <f>+Actuals!AM131</f>
        <v>0</v>
      </c>
      <c r="AQ21" s="128">
        <f>+Actuals!AN131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+Actuals!AE132</f>
        <v>0</v>
      </c>
      <c r="AI22" s="128">
        <f>+Actuals!AF132</f>
        <v>0</v>
      </c>
      <c r="AJ22" s="127">
        <f>+Actuals!AG132</f>
        <v>0</v>
      </c>
      <c r="AK22" s="128">
        <f>+Actuals!AH132</f>
        <v>0</v>
      </c>
      <c r="AL22" s="127">
        <f>+Actuals!AI132</f>
        <v>0</v>
      </c>
      <c r="AM22" s="128">
        <f>+Actuals!AJ132</f>
        <v>0</v>
      </c>
      <c r="AN22" s="127">
        <f>+Actuals!AK132</f>
        <v>0</v>
      </c>
      <c r="AO22" s="128">
        <f>+Actuals!AL132</f>
        <v>0</v>
      </c>
      <c r="AP22" s="127">
        <f>+Actuals!AM132</f>
        <v>0</v>
      </c>
      <c r="AQ22" s="128">
        <f>+Actuals!AN132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4"/>
        <v>633355</v>
      </c>
      <c r="E23" s="38">
        <f t="shared" si="4"/>
        <v>1131805.3859999997</v>
      </c>
      <c r="F23" s="81">
        <f>'TIE-OUT'!F23+RECLASS!F23</f>
        <v>0</v>
      </c>
      <c r="G23" s="82">
        <f>'TIE-OUT'!G23+RECLASS!G23</f>
        <v>0</v>
      </c>
      <c r="H23" s="127">
        <f>+Actuals!E133</f>
        <v>512171</v>
      </c>
      <c r="I23" s="129">
        <f>+Actuals!F133</f>
        <v>915249.58</v>
      </c>
      <c r="J23" s="127">
        <f>+Actuals!G133</f>
        <v>-33556</v>
      </c>
      <c r="K23" s="129">
        <f>+Actuals!H133</f>
        <v>-59964.576000000001</v>
      </c>
      <c r="L23" s="127">
        <f>+Actuals!I133</f>
        <v>147879</v>
      </c>
      <c r="M23" s="129">
        <f>+Actuals!J133</f>
        <v>264259.77500000002</v>
      </c>
      <c r="N23" s="127">
        <f>+Actuals!K133</f>
        <v>0</v>
      </c>
      <c r="O23" s="129">
        <f>+Actuals!L133</f>
        <v>0</v>
      </c>
      <c r="P23" s="127">
        <f>+Actuals!M133</f>
        <v>94</v>
      </c>
      <c r="Q23" s="129">
        <f>+Actuals!N133</f>
        <v>167.97800000000001</v>
      </c>
      <c r="R23" s="127">
        <f>+Actuals!O133</f>
        <v>0</v>
      </c>
      <c r="S23" s="129">
        <f>+Actuals!P133</f>
        <v>0</v>
      </c>
      <c r="T23" s="127">
        <f>+Actuals!Q133</f>
        <v>0</v>
      </c>
      <c r="U23" s="129">
        <f>+Actuals!R133</f>
        <v>0</v>
      </c>
      <c r="V23" s="127">
        <f>+Actuals!S133</f>
        <v>6699</v>
      </c>
      <c r="W23" s="129">
        <f>+Actuals!T133</f>
        <v>11971.112999999999</v>
      </c>
      <c r="X23" s="127">
        <f>+Actuals!U133</f>
        <v>0</v>
      </c>
      <c r="Y23" s="129">
        <f>+Actuals!V133</f>
        <v>0</v>
      </c>
      <c r="Z23" s="127">
        <f>+Actuals!W173</f>
        <v>0</v>
      </c>
      <c r="AA23" s="128">
        <f>+Actuals!X173</f>
        <v>0</v>
      </c>
      <c r="AB23" s="127">
        <f>+Actuals!Y173</f>
        <v>-90</v>
      </c>
      <c r="AC23" s="129">
        <f>+Actuals!Z173</f>
        <v>-160.83000000000001</v>
      </c>
      <c r="AD23" s="127">
        <f>+Actuals!AA173</f>
        <v>14</v>
      </c>
      <c r="AE23" s="129">
        <f>+Actuals!AB173</f>
        <v>25.018000000000001</v>
      </c>
      <c r="AF23" s="127">
        <f>+Actuals!AC173</f>
        <v>144</v>
      </c>
      <c r="AG23" s="129">
        <f>+Actuals!AD173</f>
        <v>257.32799999999997</v>
      </c>
      <c r="AH23" s="127">
        <f>+Actuals!AE133</f>
        <v>0</v>
      </c>
      <c r="AI23" s="129">
        <f>+Actuals!AF133</f>
        <v>0</v>
      </c>
      <c r="AJ23" s="127">
        <f>+Actuals!AG133</f>
        <v>0</v>
      </c>
      <c r="AK23" s="129">
        <f>+Actuals!AH133</f>
        <v>0</v>
      </c>
      <c r="AL23" s="127">
        <f>+Actuals!AI133</f>
        <v>0</v>
      </c>
      <c r="AM23" s="129">
        <f>+Actuals!AJ133</f>
        <v>0</v>
      </c>
      <c r="AN23" s="127">
        <f>+Actuals!AK133</f>
        <v>0</v>
      </c>
      <c r="AO23" s="129">
        <f>+Actuals!AL133</f>
        <v>0</v>
      </c>
      <c r="AP23" s="127">
        <f>+Actuals!AM133</f>
        <v>0</v>
      </c>
      <c r="AQ23" s="129">
        <f>+Actuals!AN133</f>
        <v>0</v>
      </c>
    </row>
    <row r="24" spans="1:43" x14ac:dyDescent="0.2">
      <c r="A24" s="9"/>
      <c r="B24" s="7" t="s">
        <v>35</v>
      </c>
      <c r="C24" s="6"/>
      <c r="D24" s="61">
        <f t="shared" ref="D24:I24" si="5">SUM(D19:D23)</f>
        <v>-64542558</v>
      </c>
      <c r="E24" s="39">
        <f t="shared" si="5"/>
        <v>-124485826.21400002</v>
      </c>
      <c r="F24" s="61">
        <f t="shared" si="5"/>
        <v>0</v>
      </c>
      <c r="G24" s="39">
        <f t="shared" si="5"/>
        <v>586339.99</v>
      </c>
      <c r="H24" s="61">
        <f t="shared" si="5"/>
        <v>-64573465</v>
      </c>
      <c r="I24" s="39">
        <f t="shared" si="5"/>
        <v>-125549223.66000001</v>
      </c>
      <c r="J24" s="61">
        <f t="shared" ref="J24:AA24" si="6">SUM(J19:J23)</f>
        <v>10515</v>
      </c>
      <c r="K24" s="39">
        <f t="shared" si="6"/>
        <v>507485.72400000005</v>
      </c>
      <c r="L24" s="61">
        <f t="shared" si="6"/>
        <v>-34539</v>
      </c>
      <c r="M24" s="39">
        <f t="shared" si="6"/>
        <v>-109075.80499999999</v>
      </c>
      <c r="N24" s="61">
        <f t="shared" si="6"/>
        <v>-100837</v>
      </c>
      <c r="O24" s="39">
        <f t="shared" si="6"/>
        <v>-101924</v>
      </c>
      <c r="P24" s="61">
        <f t="shared" si="6"/>
        <v>41188</v>
      </c>
      <c r="Q24" s="39">
        <f t="shared" si="6"/>
        <v>-13141.022000000001</v>
      </c>
      <c r="R24" s="61">
        <f t="shared" si="6"/>
        <v>34805</v>
      </c>
      <c r="S24" s="39">
        <f t="shared" si="6"/>
        <v>399645.54</v>
      </c>
      <c r="T24" s="61">
        <f t="shared" si="6"/>
        <v>-1904407</v>
      </c>
      <c r="U24" s="39">
        <f t="shared" si="6"/>
        <v>-3851301.97</v>
      </c>
      <c r="V24" s="61">
        <f t="shared" si="6"/>
        <v>-1990206</v>
      </c>
      <c r="W24" s="39">
        <f t="shared" si="6"/>
        <v>-4043404.6570000001</v>
      </c>
      <c r="X24" s="61">
        <f t="shared" si="6"/>
        <v>3756440</v>
      </c>
      <c r="Y24" s="39">
        <f t="shared" si="6"/>
        <v>7429960.7999999998</v>
      </c>
      <c r="Z24" s="61">
        <f t="shared" si="6"/>
        <v>-3907610</v>
      </c>
      <c r="AA24" s="39">
        <f t="shared" si="6"/>
        <v>-8122743.5599999996</v>
      </c>
      <c r="AB24" s="61">
        <f t="shared" ref="AB24:AQ24" si="7">SUM(AB19:AB23)</f>
        <v>-80</v>
      </c>
      <c r="AC24" s="39">
        <f t="shared" si="7"/>
        <v>-135.83000000000001</v>
      </c>
      <c r="AD24" s="61">
        <f t="shared" si="7"/>
        <v>3906156</v>
      </c>
      <c r="AE24" s="39">
        <f t="shared" si="7"/>
        <v>7997430.6979999999</v>
      </c>
      <c r="AF24" s="61">
        <f>SUM(AF19:AF23)</f>
        <v>219482</v>
      </c>
      <c r="AG24" s="39">
        <f>SUM(AG19:AG23)</f>
        <v>384261.538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126060</v>
      </c>
      <c r="E27" s="38">
        <f>SUM(G27,I27,K27,M27,O27,Q27,S27,U27,W27,Y27,AA27,AC27,AE27,AG27)</f>
        <v>268198.36</v>
      </c>
      <c r="F27" s="64">
        <f>'TIE-OUT'!F27+RECLASS!F27</f>
        <v>0</v>
      </c>
      <c r="G27" s="68">
        <f>'TIE-OUT'!G27+RECLASS!G27</f>
        <v>0</v>
      </c>
      <c r="H27" s="127">
        <f>+Actuals!E134</f>
        <v>126060</v>
      </c>
      <c r="I27" s="128">
        <f>+Actuals!F134</f>
        <v>268198.36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+Actuals!AE134</f>
        <v>0</v>
      </c>
      <c r="AI27" s="128">
        <f>+Actuals!AF134</f>
        <v>0</v>
      </c>
      <c r="AJ27" s="127">
        <f>+Actuals!AG134</f>
        <v>0</v>
      </c>
      <c r="AK27" s="128">
        <f>+Actuals!AH134</f>
        <v>0</v>
      </c>
      <c r="AL27" s="127">
        <f>+Actuals!AI134</f>
        <v>0</v>
      </c>
      <c r="AM27" s="128">
        <f>+Actuals!AJ134</f>
        <v>0</v>
      </c>
      <c r="AN27" s="127">
        <f>+Actuals!AK134</f>
        <v>0</v>
      </c>
      <c r="AO27" s="128">
        <f>+Actuals!AL134</f>
        <v>0</v>
      </c>
      <c r="AP27" s="127">
        <f>+Actuals!AM134</f>
        <v>0</v>
      </c>
      <c r="AQ27" s="128">
        <f>+Actuals!AN134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-18000</v>
      </c>
      <c r="E28" s="38">
        <f>SUM(G28,I28,K28,M28,O28,Q28,S28,U28,W28,Y28,AA28,AC28,AE28,AG28)</f>
        <v>-32308.2</v>
      </c>
      <c r="F28" s="81">
        <f>'TIE-OUT'!F28+RECLASS!F28</f>
        <v>0</v>
      </c>
      <c r="G28" s="82">
        <f>'TIE-OUT'!G28+RECLASS!G28</f>
        <v>0</v>
      </c>
      <c r="H28" s="127">
        <f>+Actuals!E135</f>
        <v>-18000</v>
      </c>
      <c r="I28" s="128">
        <f>+Actuals!F135</f>
        <v>-32308.2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+Actuals!AE135</f>
        <v>0</v>
      </c>
      <c r="AI28" s="128">
        <f>+Actuals!AF135</f>
        <v>0</v>
      </c>
      <c r="AJ28" s="127">
        <f>+Actuals!AG135</f>
        <v>0</v>
      </c>
      <c r="AK28" s="128">
        <f>+Actuals!AH135</f>
        <v>0</v>
      </c>
      <c r="AL28" s="127">
        <f>+Actuals!AI135</f>
        <v>0</v>
      </c>
      <c r="AM28" s="128">
        <f>+Actuals!AJ135</f>
        <v>0</v>
      </c>
      <c r="AN28" s="127">
        <f>+Actuals!AK135</f>
        <v>0</v>
      </c>
      <c r="AO28" s="128">
        <f>+Actuals!AL135</f>
        <v>0</v>
      </c>
      <c r="AP28" s="127">
        <f>+Actuals!AM135</f>
        <v>0</v>
      </c>
      <c r="AQ28" s="128">
        <f>+Actuals!AN135</f>
        <v>0</v>
      </c>
    </row>
    <row r="29" spans="1:43" x14ac:dyDescent="0.2">
      <c r="A29" s="9"/>
      <c r="B29" s="7" t="s">
        <v>39</v>
      </c>
      <c r="C29" s="18"/>
      <c r="D29" s="61">
        <f t="shared" ref="D29:I29" si="8">SUM(D27:D28)</f>
        <v>108060</v>
      </c>
      <c r="E29" s="39">
        <f t="shared" si="8"/>
        <v>235890.15999999997</v>
      </c>
      <c r="F29" s="61">
        <f t="shared" si="8"/>
        <v>0</v>
      </c>
      <c r="G29" s="39">
        <f t="shared" si="8"/>
        <v>0</v>
      </c>
      <c r="H29" s="61">
        <f t="shared" si="8"/>
        <v>108060</v>
      </c>
      <c r="I29" s="39">
        <f t="shared" si="8"/>
        <v>235890.15999999997</v>
      </c>
      <c r="J29" s="61">
        <f t="shared" ref="J29:AA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Q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>SUM(AF27:AF28)</f>
        <v>0</v>
      </c>
      <c r="AG29" s="39">
        <f>SUM(AG27:AG28)</f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SUM(F32,H32,J32,L32,N32,P32,R32,T32,V32,X32,Z32,AB32,AD32,AF32)</f>
        <v>-590957</v>
      </c>
      <c r="E32" s="38">
        <f t="shared" si="11"/>
        <v>-1056266.824</v>
      </c>
      <c r="F32" s="64">
        <f>'TIE-OUT'!F32+RECLASS!F32</f>
        <v>0</v>
      </c>
      <c r="G32" s="68">
        <f>'TIE-OUT'!G32+RECLASS!G32</f>
        <v>0</v>
      </c>
      <c r="H32" s="127">
        <f>+Actuals!E136</f>
        <v>12526</v>
      </c>
      <c r="I32" s="128">
        <f>+Actuals!F136</f>
        <v>22383.96</v>
      </c>
      <c r="J32" s="127">
        <f>+Actuals!G136</f>
        <v>-139082</v>
      </c>
      <c r="K32" s="128">
        <f>+Actuals!H136</f>
        <v>-263881.90000000002</v>
      </c>
      <c r="L32" s="127">
        <f>+Actuals!I136</f>
        <v>27480</v>
      </c>
      <c r="M32" s="128">
        <f>+Actuals!J136</f>
        <v>27315.438600000001</v>
      </c>
      <c r="N32" s="127">
        <f>+Actuals!K136</f>
        <v>-31289</v>
      </c>
      <c r="O32" s="128">
        <f>+Actuals!L136</f>
        <v>-69653.996599999999</v>
      </c>
      <c r="P32" s="127">
        <f>+Actuals!M136</f>
        <v>-34633</v>
      </c>
      <c r="Q32" s="128">
        <f>+Actuals!N136</f>
        <v>69368.303</v>
      </c>
      <c r="R32" s="127">
        <f>+Actuals!O136</f>
        <v>79035</v>
      </c>
      <c r="S32" s="128">
        <f>+Actuals!P136</f>
        <v>33891.656999999999</v>
      </c>
      <c r="T32" s="127">
        <f>+Actuals!Q136</f>
        <v>-95338</v>
      </c>
      <c r="U32" s="128">
        <f>+Actuals!R136</f>
        <v>-180513.95300000001</v>
      </c>
      <c r="V32" s="127">
        <f>+Actuals!S136</f>
        <v>-277476</v>
      </c>
      <c r="W32" s="128">
        <f>+Actuals!T136</f>
        <v>-496077.00200000004</v>
      </c>
      <c r="X32" s="127">
        <f>+Actuals!U136</f>
        <v>0</v>
      </c>
      <c r="Y32" s="128">
        <f>+Actuals!V136</f>
        <v>0</v>
      </c>
      <c r="Z32" s="127">
        <f>+Actuals!W176</f>
        <v>1507</v>
      </c>
      <c r="AA32" s="128">
        <f>+Actuals!X176</f>
        <v>2693.009</v>
      </c>
      <c r="AB32" s="127">
        <f>+Actuals!Y176</f>
        <v>99115</v>
      </c>
      <c r="AC32" s="128">
        <f>+Actuals!Z176</f>
        <v>214224.834</v>
      </c>
      <c r="AD32" s="127">
        <f>+Actuals!AA176</f>
        <v>908</v>
      </c>
      <c r="AE32" s="128">
        <f>+Actuals!AB176</f>
        <v>1622.596</v>
      </c>
      <c r="AF32" s="127">
        <f>+Actuals!AC176</f>
        <v>-233710</v>
      </c>
      <c r="AG32" s="128">
        <f>+Actuals!AD176</f>
        <v>-417639.77</v>
      </c>
      <c r="AH32" s="127">
        <f>+Actuals!AE136</f>
        <v>0</v>
      </c>
      <c r="AI32" s="128">
        <f>+Actuals!AF136</f>
        <v>0</v>
      </c>
      <c r="AJ32" s="127">
        <f>+Actuals!AG136</f>
        <v>0</v>
      </c>
      <c r="AK32" s="128">
        <f>+Actuals!AH136</f>
        <v>0</v>
      </c>
      <c r="AL32" s="127">
        <f>+Actuals!AI136</f>
        <v>0</v>
      </c>
      <c r="AM32" s="128">
        <f>+Actuals!AJ136</f>
        <v>0</v>
      </c>
      <c r="AN32" s="127">
        <f>+Actuals!AK136</f>
        <v>0</v>
      </c>
      <c r="AO32" s="128">
        <f>+Actuals!AL136</f>
        <v>0</v>
      </c>
      <c r="AP32" s="127">
        <f>+Actuals!AM136</f>
        <v>0</v>
      </c>
      <c r="AQ32" s="128">
        <f>+Actuals!AN136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11"/>
        <v>-8586</v>
      </c>
      <c r="E33" s="38">
        <f t="shared" si="11"/>
        <v>-18618.55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0</v>
      </c>
      <c r="Q33" s="128">
        <f>+Actuals!N137</f>
        <v>0</v>
      </c>
      <c r="R33" s="127">
        <f>+Actuals!O137</f>
        <v>0</v>
      </c>
      <c r="S33" s="128">
        <f>+Actuals!P137</f>
        <v>0</v>
      </c>
      <c r="T33" s="127">
        <f>+Actuals!Q137</f>
        <v>-6293</v>
      </c>
      <c r="U33" s="128">
        <f>+Actuals!R137</f>
        <v>-14144.23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+Actuals!W177</f>
        <v>-1865</v>
      </c>
      <c r="AA33" s="128">
        <f>+Actuals!X177</f>
        <v>-3718.81</v>
      </c>
      <c r="AB33" s="127">
        <f>+Actuals!Y177</f>
        <v>0</v>
      </c>
      <c r="AC33" s="128">
        <f>+Actuals!Z177</f>
        <v>0</v>
      </c>
      <c r="AD33" s="127">
        <f>+Actuals!AA177</f>
        <v>-428</v>
      </c>
      <c r="AE33" s="128">
        <f>+Actuals!AB177</f>
        <v>-755.51</v>
      </c>
      <c r="AF33" s="127">
        <f>+Actuals!AC177</f>
        <v>0</v>
      </c>
      <c r="AG33" s="128">
        <f>+Actuals!AD177</f>
        <v>0</v>
      </c>
      <c r="AH33" s="127">
        <f>+Actuals!AE137</f>
        <v>0</v>
      </c>
      <c r="AI33" s="128">
        <f>+Actuals!AF137</f>
        <v>0</v>
      </c>
      <c r="AJ33" s="127">
        <f>+Actuals!AG137</f>
        <v>0</v>
      </c>
      <c r="AK33" s="128">
        <f>+Actuals!AH137</f>
        <v>0</v>
      </c>
      <c r="AL33" s="127">
        <f>+Actuals!AI137</f>
        <v>0</v>
      </c>
      <c r="AM33" s="128">
        <f>+Actuals!AJ137</f>
        <v>0</v>
      </c>
      <c r="AN33" s="127">
        <f>+Actuals!AK137</f>
        <v>0</v>
      </c>
      <c r="AO33" s="128">
        <f>+Actuals!AL137</f>
        <v>0</v>
      </c>
      <c r="AP33" s="127">
        <f>+Actuals!AM137</f>
        <v>0</v>
      </c>
      <c r="AQ33" s="128">
        <f>+Actuals!AN137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11"/>
        <v>12862</v>
      </c>
      <c r="E34" s="38">
        <f t="shared" si="11"/>
        <v>32727.170000000002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-2421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11870</v>
      </c>
      <c r="U34" s="128">
        <f>+Actuals!R138</f>
        <v>26378.7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+Actuals!W178</f>
        <v>1641</v>
      </c>
      <c r="AA34" s="128">
        <f>+Actuals!X178</f>
        <v>3272.16</v>
      </c>
      <c r="AB34" s="127">
        <f>+Actuals!Y178</f>
        <v>0</v>
      </c>
      <c r="AC34" s="128">
        <f>+Actuals!Z178</f>
        <v>0</v>
      </c>
      <c r="AD34" s="127">
        <f>+Actuals!AA178</f>
        <v>1772</v>
      </c>
      <c r="AE34" s="128">
        <f>+Actuals!AB178</f>
        <v>3076.31</v>
      </c>
      <c r="AF34" s="127">
        <f>+Actuals!AC178</f>
        <v>0</v>
      </c>
      <c r="AG34" s="128">
        <f>+Actuals!AD178</f>
        <v>0</v>
      </c>
      <c r="AH34" s="127">
        <f>+Actuals!AE138</f>
        <v>0</v>
      </c>
      <c r="AI34" s="128">
        <f>+Actuals!AF138</f>
        <v>0</v>
      </c>
      <c r="AJ34" s="127">
        <f>+Actuals!AG138</f>
        <v>0</v>
      </c>
      <c r="AK34" s="128">
        <f>+Actuals!AH138</f>
        <v>0</v>
      </c>
      <c r="AL34" s="127">
        <f>+Actuals!AI138</f>
        <v>0</v>
      </c>
      <c r="AM34" s="128">
        <f>+Actuals!AJ138</f>
        <v>0</v>
      </c>
      <c r="AN34" s="127">
        <f>+Actuals!AK138</f>
        <v>0</v>
      </c>
      <c r="AO34" s="128">
        <f>+Actuals!AL138</f>
        <v>0</v>
      </c>
      <c r="AP34" s="127">
        <f>+Actuals!AM138</f>
        <v>0</v>
      </c>
      <c r="AQ34" s="128">
        <f>+Actuals!AN138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-0.01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714507</v>
      </c>
      <c r="K35" s="128">
        <f>+Actuals!H139</f>
        <v>0</v>
      </c>
      <c r="L35" s="127">
        <f>+Actuals!I139</f>
        <v>433368</v>
      </c>
      <c r="M35" s="128">
        <f>+Actuals!J139</f>
        <v>0</v>
      </c>
      <c r="N35" s="127">
        <f>+Actuals!K139</f>
        <v>-720</v>
      </c>
      <c r="O35" s="128">
        <f>+Actuals!L139</f>
        <v>0</v>
      </c>
      <c r="P35" s="127">
        <f>+Actuals!M139</f>
        <v>-1147155</v>
      </c>
      <c r="Q35" s="128">
        <f>+Actuals!N139</f>
        <v>-0.01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+Actuals!AE139</f>
        <v>0</v>
      </c>
      <c r="AI35" s="128">
        <f>+Actuals!AF139</f>
        <v>0</v>
      </c>
      <c r="AJ35" s="127">
        <f>+Actuals!AG139</f>
        <v>0</v>
      </c>
      <c r="AK35" s="128">
        <f>+Actuals!AH139</f>
        <v>0</v>
      </c>
      <c r="AL35" s="127">
        <f>+Actuals!AI139</f>
        <v>0</v>
      </c>
      <c r="AM35" s="128">
        <f>+Actuals!AJ139</f>
        <v>0</v>
      </c>
      <c r="AN35" s="127">
        <f>+Actuals!AK139</f>
        <v>0</v>
      </c>
      <c r="AO35" s="128">
        <f>+Actuals!AL139</f>
        <v>0</v>
      </c>
      <c r="AP35" s="127">
        <f>+Actuals!AM139</f>
        <v>0</v>
      </c>
      <c r="AQ35" s="128">
        <f>+Actuals!AN139</f>
        <v>0</v>
      </c>
    </row>
    <row r="36" spans="1:43" x14ac:dyDescent="0.2">
      <c r="A36" s="9"/>
      <c r="B36" s="7" t="s">
        <v>45</v>
      </c>
      <c r="C36" s="6"/>
      <c r="D36" s="61">
        <f t="shared" ref="D36:I36" si="12">SUM(D32:D35)</f>
        <v>-586681</v>
      </c>
      <c r="E36" s="39">
        <f t="shared" si="12"/>
        <v>-1042158.214</v>
      </c>
      <c r="F36" s="61">
        <f t="shared" si="12"/>
        <v>0</v>
      </c>
      <c r="G36" s="39">
        <f t="shared" si="12"/>
        <v>0</v>
      </c>
      <c r="H36" s="61">
        <f t="shared" si="12"/>
        <v>12526</v>
      </c>
      <c r="I36" s="39">
        <f t="shared" si="12"/>
        <v>22383.96</v>
      </c>
      <c r="J36" s="61">
        <f t="shared" ref="J36:AA36" si="13">SUM(J32:J35)</f>
        <v>573004</v>
      </c>
      <c r="K36" s="39">
        <f t="shared" si="13"/>
        <v>-263881.90000000002</v>
      </c>
      <c r="L36" s="61">
        <f t="shared" si="13"/>
        <v>460848</v>
      </c>
      <c r="M36" s="39">
        <f t="shared" si="13"/>
        <v>27315.438600000001</v>
      </c>
      <c r="N36" s="61">
        <f t="shared" si="13"/>
        <v>-32009</v>
      </c>
      <c r="O36" s="39">
        <f t="shared" si="13"/>
        <v>-69653.996599999999</v>
      </c>
      <c r="P36" s="61">
        <f t="shared" si="13"/>
        <v>-1181788</v>
      </c>
      <c r="Q36" s="39">
        <f t="shared" si="13"/>
        <v>69368.293000000005</v>
      </c>
      <c r="R36" s="61">
        <f t="shared" si="13"/>
        <v>79035</v>
      </c>
      <c r="S36" s="39">
        <f t="shared" si="13"/>
        <v>33891.656999999999</v>
      </c>
      <c r="T36" s="61">
        <f t="shared" si="13"/>
        <v>-89761</v>
      </c>
      <c r="U36" s="39">
        <f t="shared" si="13"/>
        <v>-168279.48300000001</v>
      </c>
      <c r="V36" s="61">
        <f t="shared" si="13"/>
        <v>-277476</v>
      </c>
      <c r="W36" s="39">
        <f t="shared" si="13"/>
        <v>-496077.00200000004</v>
      </c>
      <c r="X36" s="61">
        <f t="shared" si="13"/>
        <v>0</v>
      </c>
      <c r="Y36" s="39">
        <f t="shared" si="13"/>
        <v>0</v>
      </c>
      <c r="Z36" s="61">
        <f t="shared" si="13"/>
        <v>1283</v>
      </c>
      <c r="AA36" s="39">
        <f t="shared" si="13"/>
        <v>2246.3589999999999</v>
      </c>
      <c r="AB36" s="61">
        <f t="shared" ref="AB36:AQ36" si="14">SUM(AB32:AB35)</f>
        <v>99115</v>
      </c>
      <c r="AC36" s="39">
        <f t="shared" si="14"/>
        <v>214224.834</v>
      </c>
      <c r="AD36" s="61">
        <f t="shared" si="14"/>
        <v>2252</v>
      </c>
      <c r="AE36" s="39">
        <f t="shared" si="14"/>
        <v>3943.3959999999997</v>
      </c>
      <c r="AF36" s="61">
        <f>SUM(AF32:AF35)</f>
        <v>-233710</v>
      </c>
      <c r="AG36" s="39">
        <f>SUM(AG32:AG35)</f>
        <v>-417639.77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SUM(F39,H39,J39,L39,N39,P39,R39,T39,V39,X39,Z39,AB39,AD39,AF39)</f>
        <v>290000</v>
      </c>
      <c r="E39" s="38">
        <f t="shared" si="15"/>
        <v>518230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0</v>
      </c>
      <c r="K39" s="128">
        <f>+Actuals!H140</f>
        <v>0</v>
      </c>
      <c r="L39" s="127">
        <f>+Actuals!I140</f>
        <v>0</v>
      </c>
      <c r="M39" s="128">
        <f>+Actuals!J140</f>
        <v>0</v>
      </c>
      <c r="N39" s="127">
        <f>+Actuals!K140</f>
        <v>290000</v>
      </c>
      <c r="O39" s="128">
        <f>+Actuals!L140</f>
        <v>518230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+Actuals!AE140</f>
        <v>0</v>
      </c>
      <c r="AI39" s="128">
        <f>+Actuals!AF140</f>
        <v>0</v>
      </c>
      <c r="AJ39" s="127">
        <f>+Actuals!AG140</f>
        <v>0</v>
      </c>
      <c r="AK39" s="128">
        <f>+Actuals!AH140</f>
        <v>0</v>
      </c>
      <c r="AL39" s="127">
        <f>+Actuals!AI140</f>
        <v>0</v>
      </c>
      <c r="AM39" s="128">
        <f>+Actuals!AJ140</f>
        <v>0</v>
      </c>
      <c r="AN39" s="127">
        <f>+Actuals!AK140</f>
        <v>0</v>
      </c>
      <c r="AO39" s="128">
        <f>+Actuals!AL140</f>
        <v>0</v>
      </c>
      <c r="AP39" s="127">
        <f>+Actuals!AM140</f>
        <v>0</v>
      </c>
      <c r="AQ39" s="128">
        <f>+Actuals!AN140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5"/>
        <v>-8</v>
      </c>
      <c r="E40" s="38">
        <f t="shared" si="15"/>
        <v>-30.759999999996797</v>
      </c>
      <c r="F40" s="60">
        <f>'TIE-OUT'!F40+RECLASS!F40</f>
        <v>0</v>
      </c>
      <c r="G40" s="38">
        <f>'TIE-OUT'!G40+RECLASS!G40</f>
        <v>0</v>
      </c>
      <c r="H40" s="127">
        <f>+Actuals!E141</f>
        <v>-55538</v>
      </c>
      <c r="I40" s="128">
        <f>+Actuals!F141</f>
        <v>-62390.28</v>
      </c>
      <c r="J40" s="127">
        <f>+Actuals!G141</f>
        <v>55529</v>
      </c>
      <c r="K40" s="128">
        <f>+Actuals!H141</f>
        <v>62359.51</v>
      </c>
      <c r="L40" s="127">
        <f>+Actuals!I141</f>
        <v>1</v>
      </c>
      <c r="M40" s="128">
        <f>+Actuals!J141</f>
        <v>0.01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+Actuals!AE141</f>
        <v>0</v>
      </c>
      <c r="AI40" s="128">
        <f>+Actuals!AF141</f>
        <v>0</v>
      </c>
      <c r="AJ40" s="127">
        <f>+Actuals!AG141</f>
        <v>0</v>
      </c>
      <c r="AK40" s="128">
        <f>+Actuals!AH141</f>
        <v>0</v>
      </c>
      <c r="AL40" s="127">
        <f>+Actuals!AI141</f>
        <v>0</v>
      </c>
      <c r="AM40" s="128">
        <f>+Actuals!AJ141</f>
        <v>0</v>
      </c>
      <c r="AN40" s="127">
        <f>+Actuals!AK141</f>
        <v>0</v>
      </c>
      <c r="AO40" s="128">
        <f>+Actuals!AL141</f>
        <v>0</v>
      </c>
      <c r="AP40" s="127">
        <f>+Actuals!AM141</f>
        <v>0</v>
      </c>
      <c r="AQ40" s="128">
        <f>+Actuals!AN141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+Actuals!AE142</f>
        <v>0</v>
      </c>
      <c r="AI41" s="128">
        <f>+Actuals!AF142</f>
        <v>0</v>
      </c>
      <c r="AJ41" s="127">
        <f>+Actuals!AG142</f>
        <v>0</v>
      </c>
      <c r="AK41" s="128">
        <f>+Actuals!AH142</f>
        <v>0</v>
      </c>
      <c r="AL41" s="127">
        <f>+Actuals!AI142</f>
        <v>0</v>
      </c>
      <c r="AM41" s="128">
        <f>+Actuals!AJ142</f>
        <v>0</v>
      </c>
      <c r="AN41" s="127">
        <f>+Actuals!AK142</f>
        <v>0</v>
      </c>
      <c r="AO41" s="128">
        <f>+Actuals!AL142</f>
        <v>0</v>
      </c>
      <c r="AP41" s="127">
        <f>+Actuals!AM142</f>
        <v>0</v>
      </c>
      <c r="AQ41" s="128">
        <f>+Actuals!AN142</f>
        <v>0</v>
      </c>
    </row>
    <row r="42" spans="1:43" x14ac:dyDescent="0.2">
      <c r="A42" s="9"/>
      <c r="B42" s="7"/>
      <c r="C42" s="53" t="s">
        <v>50</v>
      </c>
      <c r="D42" s="61">
        <f t="shared" ref="D42:I42" si="16">SUM(D40:D41)</f>
        <v>-8</v>
      </c>
      <c r="E42" s="39">
        <f t="shared" si="16"/>
        <v>-30.759999999996797</v>
      </c>
      <c r="F42" s="61">
        <f t="shared" si="16"/>
        <v>0</v>
      </c>
      <c r="G42" s="39">
        <f t="shared" si="16"/>
        <v>0</v>
      </c>
      <c r="H42" s="61">
        <f t="shared" si="16"/>
        <v>-55538</v>
      </c>
      <c r="I42" s="39">
        <f t="shared" si="16"/>
        <v>-62390.28</v>
      </c>
      <c r="J42" s="61">
        <f t="shared" ref="J42:AA42" si="17">SUM(J40:J41)</f>
        <v>55529</v>
      </c>
      <c r="K42" s="39">
        <f t="shared" si="17"/>
        <v>62359.51</v>
      </c>
      <c r="L42" s="61">
        <f t="shared" si="17"/>
        <v>1</v>
      </c>
      <c r="M42" s="39">
        <f t="shared" si="17"/>
        <v>0.01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Q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>SUM(AF40:AF41)</f>
        <v>0</v>
      </c>
      <c r="AG42" s="39">
        <f>SUM(AG40:AG41)</f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I43" si="19">D42+D39</f>
        <v>289992</v>
      </c>
      <c r="E43" s="39">
        <f t="shared" si="19"/>
        <v>518199.24</v>
      </c>
      <c r="F43" s="61">
        <f t="shared" si="19"/>
        <v>0</v>
      </c>
      <c r="G43" s="39">
        <f t="shared" si="19"/>
        <v>0</v>
      </c>
      <c r="H43" s="61">
        <f t="shared" si="19"/>
        <v>-55538</v>
      </c>
      <c r="I43" s="39">
        <f t="shared" si="19"/>
        <v>-62390.28</v>
      </c>
      <c r="J43" s="61">
        <f t="shared" ref="J43:AA43" si="20">J42+J39</f>
        <v>55529</v>
      </c>
      <c r="K43" s="39">
        <f t="shared" si="20"/>
        <v>62359.51</v>
      </c>
      <c r="L43" s="61">
        <f t="shared" si="20"/>
        <v>1</v>
      </c>
      <c r="M43" s="39">
        <f t="shared" si="20"/>
        <v>0.01</v>
      </c>
      <c r="N43" s="61">
        <f t="shared" si="20"/>
        <v>290000</v>
      </c>
      <c r="O43" s="39">
        <f t="shared" si="20"/>
        <v>518230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Q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>AF42+AF39</f>
        <v>0</v>
      </c>
      <c r="AG43" s="39">
        <f>AG42+AG39</f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+Actuals!AE143</f>
        <v>0</v>
      </c>
      <c r="AI45" s="128">
        <f>+Actuals!AF143</f>
        <v>0</v>
      </c>
      <c r="AJ45" s="127">
        <f>+Actuals!AG143</f>
        <v>0</v>
      </c>
      <c r="AK45" s="128">
        <f>+Actuals!AH143</f>
        <v>0</v>
      </c>
      <c r="AL45" s="127">
        <f>+Actuals!AI143</f>
        <v>0</v>
      </c>
      <c r="AM45" s="128">
        <f>+Actuals!AJ143</f>
        <v>0</v>
      </c>
      <c r="AN45" s="127">
        <f>+Actuals!AK143</f>
        <v>0</v>
      </c>
      <c r="AO45" s="128">
        <f>+Actuals!AL143</f>
        <v>0</v>
      </c>
      <c r="AP45" s="127">
        <f>+Actuals!AM143</f>
        <v>0</v>
      </c>
      <c r="AQ45" s="128">
        <f>+Actuals!AN143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+Actuals!AE144</f>
        <v>0</v>
      </c>
      <c r="AI47" s="128">
        <f>+Actuals!AF144</f>
        <v>0</v>
      </c>
      <c r="AJ47" s="127">
        <f>+Actuals!AG144</f>
        <v>0</v>
      </c>
      <c r="AK47" s="128">
        <f>+Actuals!AH144</f>
        <v>0</v>
      </c>
      <c r="AL47" s="127">
        <f>+Actuals!AI144</f>
        <v>0</v>
      </c>
      <c r="AM47" s="128">
        <f>+Actuals!AJ144</f>
        <v>0</v>
      </c>
      <c r="AN47" s="127">
        <f>+Actuals!AK144</f>
        <v>0</v>
      </c>
      <c r="AO47" s="128">
        <f>+Actuals!AL144</f>
        <v>0</v>
      </c>
      <c r="AP47" s="127">
        <f>+Actuals!AM144</f>
        <v>0</v>
      </c>
      <c r="AQ47" s="128">
        <f>+Actuals!AN144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-821382</v>
      </c>
      <c r="E49" s="38">
        <f>SUM(G49,I49,K49,M49,O49,Q49,S49,U49,W49,Y49,AA49,AC49,AE49,AG49)</f>
        <v>-1467809.6340000005</v>
      </c>
      <c r="F49" s="60">
        <f>'TIE-OUT'!F49+RECLASS!F49</f>
        <v>0</v>
      </c>
      <c r="G49" s="38">
        <f>'TIE-OUT'!G49+RECLASS!G49</f>
        <v>0</v>
      </c>
      <c r="H49" s="127">
        <f>+Actuals!E145</f>
        <v>-1119637</v>
      </c>
      <c r="I49" s="128">
        <f>+Actuals!F145</f>
        <v>-2000791.3189999999</v>
      </c>
      <c r="J49" s="127">
        <f>+Actuals!G145</f>
        <v>-192168</v>
      </c>
      <c r="K49" s="128">
        <f>+Actuals!H145</f>
        <v>-343404.21600000025</v>
      </c>
      <c r="L49" s="127">
        <f>+Actuals!I145</f>
        <v>-727608</v>
      </c>
      <c r="M49" s="128">
        <f>+Actuals!J145</f>
        <v>-1300235.496</v>
      </c>
      <c r="N49" s="127">
        <f>+Actuals!K145</f>
        <v>-237719</v>
      </c>
      <c r="O49" s="128">
        <f>+Actuals!L145</f>
        <v>-424803.853</v>
      </c>
      <c r="P49" s="127">
        <f>+Actuals!M145</f>
        <v>1192883</v>
      </c>
      <c r="Q49" s="128">
        <f>+Actuals!N145</f>
        <v>2131681.9210000001</v>
      </c>
      <c r="R49" s="127">
        <f>+Actuals!O145</f>
        <v>-98588</v>
      </c>
      <c r="S49" s="128">
        <f>+Actuals!P145</f>
        <v>-176176.75599999999</v>
      </c>
      <c r="T49" s="127">
        <f>+Actuals!Q145</f>
        <v>115357</v>
      </c>
      <c r="U49" s="128">
        <f>+Actuals!R145</f>
        <v>206142.959</v>
      </c>
      <c r="V49" s="127">
        <f>+Actuals!S145</f>
        <v>342984</v>
      </c>
      <c r="W49" s="128">
        <f>+Actuals!T145</f>
        <v>612912.40800000005</v>
      </c>
      <c r="X49" s="127">
        <f>+Actuals!U145</f>
        <v>1116</v>
      </c>
      <c r="Y49" s="128">
        <f>+Actuals!V145</f>
        <v>1994.2919999999999</v>
      </c>
      <c r="Z49" s="127">
        <f>+Actuals!W185</f>
        <v>151697</v>
      </c>
      <c r="AA49" s="128">
        <f>+Actuals!X185</f>
        <v>271082.53899999999</v>
      </c>
      <c r="AB49" s="127">
        <f>+Actuals!Y185</f>
        <v>-99967</v>
      </c>
      <c r="AC49" s="128">
        <f>+Actuals!Z185</f>
        <v>-178641.02900000001</v>
      </c>
      <c r="AD49" s="127">
        <f>+Actuals!AA185</f>
        <v>-149814</v>
      </c>
      <c r="AE49" s="128">
        <f>+Actuals!AB185</f>
        <v>-267717.61800000002</v>
      </c>
      <c r="AF49" s="127">
        <f>+Actuals!AC185</f>
        <v>82</v>
      </c>
      <c r="AG49" s="128">
        <f>+Actuals!AD185</f>
        <v>146.53399999999999</v>
      </c>
      <c r="AH49" s="127">
        <f>+Actuals!AE145</f>
        <v>0</v>
      </c>
      <c r="AI49" s="128">
        <f>+Actuals!AF145</f>
        <v>0</v>
      </c>
      <c r="AJ49" s="127">
        <f>+Actuals!AG145</f>
        <v>0</v>
      </c>
      <c r="AK49" s="128">
        <f>+Actuals!AH145</f>
        <v>0</v>
      </c>
      <c r="AL49" s="127">
        <f>+Actuals!AI145</f>
        <v>0</v>
      </c>
      <c r="AM49" s="128">
        <f>+Actuals!AJ145</f>
        <v>0</v>
      </c>
      <c r="AN49" s="127">
        <f>+Actuals!AK145</f>
        <v>0</v>
      </c>
      <c r="AO49" s="128">
        <f>+Actuals!AL145</f>
        <v>0</v>
      </c>
      <c r="AP49" s="127">
        <f>+Actuals!AM145</f>
        <v>0</v>
      </c>
      <c r="AQ49" s="128">
        <f>+Actuals!AN145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-633355</v>
      </c>
      <c r="E51" s="38">
        <f>SUM(G51,I51,K51,M51,O51,Q51,S51,U51,W51,Y51,AA51,AC51,AE51,AG51)</f>
        <v>-1131805.3859999997</v>
      </c>
      <c r="F51" s="60">
        <f>'TIE-OUT'!F51+RECLASS!F51</f>
        <v>0</v>
      </c>
      <c r="G51" s="38">
        <f>'TIE-OUT'!G51+RECLASS!G51</f>
        <v>0</v>
      </c>
      <c r="H51" s="127">
        <f>+Actuals!E146</f>
        <v>-512171</v>
      </c>
      <c r="I51" s="128">
        <f>+Actuals!F146</f>
        <v>-915249.58</v>
      </c>
      <c r="J51" s="127">
        <f>+Actuals!G146</f>
        <v>33556</v>
      </c>
      <c r="K51" s="128">
        <f>+Actuals!H146</f>
        <v>59964.576000000001</v>
      </c>
      <c r="L51" s="127">
        <f>+Actuals!I146</f>
        <v>-147879</v>
      </c>
      <c r="M51" s="128">
        <f>+Actuals!J146</f>
        <v>-264259.77500000002</v>
      </c>
      <c r="N51" s="127">
        <f>+Actuals!K146</f>
        <v>0</v>
      </c>
      <c r="O51" s="128">
        <f>+Actuals!L146</f>
        <v>0</v>
      </c>
      <c r="P51" s="127">
        <f>+Actuals!M146</f>
        <v>-94</v>
      </c>
      <c r="Q51" s="128">
        <f>+Actuals!N146</f>
        <v>-167.97800000000001</v>
      </c>
      <c r="R51" s="127">
        <f>+Actuals!O146</f>
        <v>0</v>
      </c>
      <c r="S51" s="128">
        <f>+Actuals!P146</f>
        <v>0</v>
      </c>
      <c r="T51" s="127">
        <f>+Actuals!Q146</f>
        <v>0</v>
      </c>
      <c r="U51" s="128">
        <f>+Actuals!R146</f>
        <v>0</v>
      </c>
      <c r="V51" s="127">
        <f>+Actuals!S146</f>
        <v>-6699</v>
      </c>
      <c r="W51" s="128">
        <f>+Actuals!T146</f>
        <v>-11971.112999999999</v>
      </c>
      <c r="X51" s="127">
        <f>+Actuals!U146</f>
        <v>0</v>
      </c>
      <c r="Y51" s="128">
        <f>+Actuals!V146</f>
        <v>0</v>
      </c>
      <c r="Z51" s="127">
        <f>+Actuals!W186</f>
        <v>0</v>
      </c>
      <c r="AA51" s="128">
        <f>+Actuals!X186</f>
        <v>0</v>
      </c>
      <c r="AB51" s="127">
        <f>+Actuals!Y186</f>
        <v>90</v>
      </c>
      <c r="AC51" s="128">
        <f>+Actuals!Z186</f>
        <v>160.83000000000001</v>
      </c>
      <c r="AD51" s="127">
        <f>+Actuals!AA186</f>
        <v>-14</v>
      </c>
      <c r="AE51" s="128">
        <f>+Actuals!AB186</f>
        <v>-25.018000000000001</v>
      </c>
      <c r="AF51" s="127">
        <f>+Actuals!AC186</f>
        <v>-144</v>
      </c>
      <c r="AG51" s="128">
        <f>+Actuals!AD186</f>
        <v>-257.32799999999997</v>
      </c>
      <c r="AH51" s="127">
        <f>+Actuals!AE146</f>
        <v>0</v>
      </c>
      <c r="AI51" s="128">
        <f>+Actuals!AF146</f>
        <v>0</v>
      </c>
      <c r="AJ51" s="127">
        <f>+Actuals!AG146</f>
        <v>0</v>
      </c>
      <c r="AK51" s="128">
        <f>+Actuals!AH146</f>
        <v>0</v>
      </c>
      <c r="AL51" s="127">
        <f>+Actuals!AI146</f>
        <v>0</v>
      </c>
      <c r="AM51" s="128">
        <f>+Actuals!AJ146</f>
        <v>0</v>
      </c>
      <c r="AN51" s="127">
        <f>+Actuals!AK146</f>
        <v>0</v>
      </c>
      <c r="AO51" s="128">
        <f>+Actuals!AL146</f>
        <v>0</v>
      </c>
      <c r="AP51" s="127">
        <f>+Actuals!AM146</f>
        <v>0</v>
      </c>
      <c r="AQ51" s="128">
        <f>+Actuals!AN146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-25297012</v>
      </c>
      <c r="E54" s="38">
        <f>SUM(G54,I54,K54,M54,O54,Q54,S54,U54,W54,Y54,AA54,AC54,AE54,AG54)</f>
        <v>-2882517.4199999995</v>
      </c>
      <c r="F54" s="64">
        <f>'TIE-OUT'!F54+RECLASS!F54</f>
        <v>0</v>
      </c>
      <c r="G54" s="68">
        <f>'TIE-OUT'!G54+RECLASS!G54</f>
        <v>0</v>
      </c>
      <c r="H54" s="127">
        <f>+Actuals!E147</f>
        <v>0</v>
      </c>
      <c r="I54" s="128">
        <f>+Actuals!F147+6938</f>
        <v>2517.2399999999998</v>
      </c>
      <c r="J54" s="127">
        <f>+Actuals!G147</f>
        <v>-20104332</v>
      </c>
      <c r="K54" s="128">
        <f>+Actuals!H147</f>
        <v>-2543768.41</v>
      </c>
      <c r="L54" s="127">
        <f>+Actuals!I147</f>
        <v>-2316765</v>
      </c>
      <c r="M54" s="128">
        <f>+Actuals!J147</f>
        <v>-351219.84</v>
      </c>
      <c r="N54" s="127">
        <f>+Actuals!K147</f>
        <v>4212263</v>
      </c>
      <c r="O54" s="128">
        <f>+Actuals!L147</f>
        <v>2749.64</v>
      </c>
      <c r="P54" s="127">
        <f>+Actuals!M147</f>
        <v>-8986501</v>
      </c>
      <c r="Q54" s="128">
        <f>+Actuals!N147</f>
        <v>70151.69</v>
      </c>
      <c r="R54" s="127">
        <f>+Actuals!O147</f>
        <v>2662619</v>
      </c>
      <c r="S54" s="128">
        <f>+Actuals!P147</f>
        <v>18693.509999999998</v>
      </c>
      <c r="T54" s="127">
        <f>+Actuals!Q147</f>
        <v>-26617</v>
      </c>
      <c r="U54" s="128">
        <f>+Actuals!R147</f>
        <v>844.83</v>
      </c>
      <c r="V54" s="127">
        <f>+Actuals!S147</f>
        <v>-541922</v>
      </c>
      <c r="W54" s="128">
        <f>+Actuals!T147</f>
        <v>-97245.3</v>
      </c>
      <c r="X54" s="127">
        <f>+Actuals!U147</f>
        <v>0</v>
      </c>
      <c r="Y54" s="128">
        <f>+Actuals!V147</f>
        <v>-2048.86</v>
      </c>
      <c r="Z54" s="127">
        <f>+Actuals!W187</f>
        <v>-43160</v>
      </c>
      <c r="AA54" s="128">
        <f>+Actuals!X187</f>
        <v>6905.94</v>
      </c>
      <c r="AB54" s="127">
        <f>+Actuals!Y187</f>
        <v>-10942</v>
      </c>
      <c r="AC54" s="128">
        <f>+Actuals!Z187</f>
        <v>0.04</v>
      </c>
      <c r="AD54" s="127">
        <f>+Actuals!AA187</f>
        <v>-4014</v>
      </c>
      <c r="AE54" s="128">
        <f>+Actuals!AB187</f>
        <v>0</v>
      </c>
      <c r="AF54" s="127">
        <f>+Actuals!AC187</f>
        <v>-137641</v>
      </c>
      <c r="AG54" s="128">
        <f>+Actuals!AD187</f>
        <v>9902.1</v>
      </c>
      <c r="AH54" s="127">
        <f>+Actuals!AE147</f>
        <v>0</v>
      </c>
      <c r="AI54" s="128">
        <f>+Actuals!AF147</f>
        <v>0</v>
      </c>
      <c r="AJ54" s="127">
        <f>+Actuals!AG147</f>
        <v>0</v>
      </c>
      <c r="AK54" s="128">
        <f>+Actuals!AH147</f>
        <v>0</v>
      </c>
      <c r="AL54" s="127">
        <f>+Actuals!AI147</f>
        <v>0</v>
      </c>
      <c r="AM54" s="128">
        <f>+Actuals!AJ147</f>
        <v>0</v>
      </c>
      <c r="AN54" s="127">
        <f>+Actuals!AK147</f>
        <v>0</v>
      </c>
      <c r="AO54" s="128">
        <f>+Actuals!AL147</f>
        <v>0</v>
      </c>
      <c r="AP54" s="127">
        <f>+Actuals!AM147</f>
        <v>0</v>
      </c>
      <c r="AQ54" s="128">
        <f>+Actuals!AN147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970228.41</v>
      </c>
      <c r="F55" s="81">
        <f>'TIE-OUT'!F55+RECLASS!F55</f>
        <v>0</v>
      </c>
      <c r="G55" s="82">
        <f>'TIE-OUT'!G55+RECLASS!G55</f>
        <v>2092114</v>
      </c>
      <c r="H55" s="127">
        <f>+Actuals!E148</f>
        <v>0</v>
      </c>
      <c r="I55" s="128">
        <f>+Actuals!F148</f>
        <v>0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-1120728.48</v>
      </c>
      <c r="N55" s="127">
        <f>+Actuals!K148</f>
        <v>0</v>
      </c>
      <c r="O55" s="128">
        <f>+Actuals!L148</f>
        <v>0</v>
      </c>
      <c r="P55" s="127">
        <f>+Actuals!M148</f>
        <v>0</v>
      </c>
      <c r="Q55" s="128">
        <f>+Actuals!N148</f>
        <v>0</v>
      </c>
      <c r="R55" s="127">
        <f>+Actuals!O148</f>
        <v>0</v>
      </c>
      <c r="S55" s="128">
        <f>+Actuals!P148</f>
        <v>0</v>
      </c>
      <c r="T55" s="127">
        <f>+Actuals!Q148</f>
        <v>0</v>
      </c>
      <c r="U55" s="128">
        <f>+Actuals!R148</f>
        <v>-44250</v>
      </c>
      <c r="V55" s="127">
        <f>+Actuals!S148</f>
        <v>0</v>
      </c>
      <c r="W55" s="128">
        <f>+Actuals!T148</f>
        <v>43344.4</v>
      </c>
      <c r="X55" s="127">
        <f>+Actuals!U148</f>
        <v>0</v>
      </c>
      <c r="Y55" s="128">
        <f>+Actuals!V148</f>
        <v>0</v>
      </c>
      <c r="Z55" s="127">
        <f>+Actuals!W188</f>
        <v>0</v>
      </c>
      <c r="AA55" s="128">
        <f>+Actuals!X188</f>
        <v>-36.47</v>
      </c>
      <c r="AB55" s="127">
        <f>+Actuals!Y188</f>
        <v>0</v>
      </c>
      <c r="AC55" s="128">
        <f>+Actuals!Z188</f>
        <v>-215.04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+Actuals!AE148</f>
        <v>0</v>
      </c>
      <c r="AI55" s="128">
        <f>+Actuals!AF148</f>
        <v>0</v>
      </c>
      <c r="AJ55" s="127">
        <f>+Actuals!AG148</f>
        <v>0</v>
      </c>
      <c r="AK55" s="128">
        <f>+Actuals!AH148</f>
        <v>0</v>
      </c>
      <c r="AL55" s="127">
        <f>+Actuals!AI148</f>
        <v>0</v>
      </c>
      <c r="AM55" s="128">
        <f>+Actuals!AJ148</f>
        <v>0</v>
      </c>
      <c r="AN55" s="127">
        <f>+Actuals!AK148</f>
        <v>0</v>
      </c>
      <c r="AO55" s="128">
        <f>+Actuals!AL148</f>
        <v>0</v>
      </c>
      <c r="AP55" s="127">
        <f>+Actuals!AM148</f>
        <v>0</v>
      </c>
      <c r="AQ55" s="128">
        <f>+Actuals!AN148</f>
        <v>0</v>
      </c>
    </row>
    <row r="56" spans="1:43" x14ac:dyDescent="0.2">
      <c r="A56" s="9"/>
      <c r="B56" s="7" t="s">
        <v>59</v>
      </c>
      <c r="C56" s="6"/>
      <c r="D56" s="61">
        <f t="shared" ref="D56:I56" si="22">SUM(D54:D55)</f>
        <v>-25297012</v>
      </c>
      <c r="E56" s="39">
        <f t="shared" si="22"/>
        <v>-1912289.0099999993</v>
      </c>
      <c r="F56" s="61">
        <f t="shared" si="22"/>
        <v>0</v>
      </c>
      <c r="G56" s="39">
        <f t="shared" si="22"/>
        <v>2092114</v>
      </c>
      <c r="H56" s="61">
        <f t="shared" si="22"/>
        <v>0</v>
      </c>
      <c r="I56" s="39">
        <f t="shared" si="22"/>
        <v>2517.2399999999998</v>
      </c>
      <c r="J56" s="61">
        <f t="shared" ref="J56:AA56" si="23">SUM(J54:J55)</f>
        <v>-20104332</v>
      </c>
      <c r="K56" s="39">
        <f t="shared" si="23"/>
        <v>-2543768.41</v>
      </c>
      <c r="L56" s="61">
        <f t="shared" si="23"/>
        <v>-2316765</v>
      </c>
      <c r="M56" s="39">
        <f t="shared" si="23"/>
        <v>-1471948.32</v>
      </c>
      <c r="N56" s="61">
        <f t="shared" si="23"/>
        <v>4212263</v>
      </c>
      <c r="O56" s="39">
        <f t="shared" si="23"/>
        <v>2749.64</v>
      </c>
      <c r="P56" s="61">
        <f t="shared" si="23"/>
        <v>-8986501</v>
      </c>
      <c r="Q56" s="39">
        <f t="shared" si="23"/>
        <v>70151.69</v>
      </c>
      <c r="R56" s="61">
        <f t="shared" si="23"/>
        <v>2662619</v>
      </c>
      <c r="S56" s="39">
        <f t="shared" si="23"/>
        <v>18693.509999999998</v>
      </c>
      <c r="T56" s="61">
        <f t="shared" si="23"/>
        <v>-26617</v>
      </c>
      <c r="U56" s="39">
        <f t="shared" si="23"/>
        <v>-43405.17</v>
      </c>
      <c r="V56" s="61">
        <f t="shared" si="23"/>
        <v>-541922</v>
      </c>
      <c r="W56" s="39">
        <f t="shared" si="23"/>
        <v>-53900.9</v>
      </c>
      <c r="X56" s="61">
        <f t="shared" si="23"/>
        <v>0</v>
      </c>
      <c r="Y56" s="39">
        <f t="shared" si="23"/>
        <v>-2048.86</v>
      </c>
      <c r="Z56" s="61">
        <f t="shared" si="23"/>
        <v>-43160</v>
      </c>
      <c r="AA56" s="39">
        <f t="shared" si="23"/>
        <v>6869.4699999999993</v>
      </c>
      <c r="AB56" s="61">
        <f t="shared" ref="AB56:AQ56" si="24">SUM(AB54:AB55)</f>
        <v>-10942</v>
      </c>
      <c r="AC56" s="39">
        <f t="shared" si="24"/>
        <v>-215</v>
      </c>
      <c r="AD56" s="61">
        <f t="shared" si="24"/>
        <v>-4014</v>
      </c>
      <c r="AE56" s="39">
        <f t="shared" si="24"/>
        <v>0</v>
      </c>
      <c r="AF56" s="61">
        <f>SUM(AF54:AF55)</f>
        <v>-137641</v>
      </c>
      <c r="AG56" s="39">
        <f>SUM(AG54:AG55)</f>
        <v>9902.1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4"/>
        <v>0</v>
      </c>
      <c r="AM56" s="39">
        <f t="shared" si="24"/>
        <v>0</v>
      </c>
      <c r="AN56" s="61">
        <f t="shared" si="24"/>
        <v>0</v>
      </c>
      <c r="AO56" s="39">
        <f t="shared" si="24"/>
        <v>0</v>
      </c>
      <c r="AP56" s="61">
        <f t="shared" si="24"/>
        <v>0</v>
      </c>
      <c r="AQ56" s="39">
        <f t="shared" si="24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+Actuals!AE149</f>
        <v>0</v>
      </c>
      <c r="AI59" s="128">
        <f>+Actuals!AF149</f>
        <v>0</v>
      </c>
      <c r="AJ59" s="127">
        <f>+Actuals!AG149</f>
        <v>0</v>
      </c>
      <c r="AK59" s="128">
        <f>+Actuals!AH149</f>
        <v>0</v>
      </c>
      <c r="AL59" s="127">
        <f>+Actuals!AI149</f>
        <v>0</v>
      </c>
      <c r="AM59" s="128">
        <f>+Actuals!AJ149</f>
        <v>0</v>
      </c>
      <c r="AN59" s="127">
        <f>+Actuals!AK149</f>
        <v>0</v>
      </c>
      <c r="AO59" s="128">
        <f>+Actuals!AL149</f>
        <v>0</v>
      </c>
      <c r="AP59" s="127">
        <f>+Actuals!AM149</f>
        <v>0</v>
      </c>
      <c r="AQ59" s="128">
        <f>+Actuals!AN149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+Actuals!AE150</f>
        <v>0</v>
      </c>
      <c r="AI60" s="128">
        <f>+Actuals!AF150</f>
        <v>0</v>
      </c>
      <c r="AJ60" s="127">
        <f>+Actuals!AG150</f>
        <v>0</v>
      </c>
      <c r="AK60" s="128">
        <f>+Actuals!AH150</f>
        <v>0</v>
      </c>
      <c r="AL60" s="127">
        <f>+Actuals!AI150</f>
        <v>0</v>
      </c>
      <c r="AM60" s="128">
        <f>+Actuals!AJ150</f>
        <v>0</v>
      </c>
      <c r="AN60" s="127">
        <f>+Actuals!AK150</f>
        <v>0</v>
      </c>
      <c r="AO60" s="128">
        <f>+Actuals!AL150</f>
        <v>0</v>
      </c>
      <c r="AP60" s="127">
        <f>+Actuals!AM150</f>
        <v>0</v>
      </c>
      <c r="AQ60" s="128">
        <f>+Actuals!AN150</f>
        <v>0</v>
      </c>
    </row>
    <row r="61" spans="1:43" x14ac:dyDescent="0.2">
      <c r="A61" s="9"/>
      <c r="B61" s="62" t="s">
        <v>63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A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Q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>SUM(AF59:AF60)</f>
        <v>0</v>
      </c>
      <c r="AG61" s="39">
        <f>SUM(AG59:AG60)</f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  <c r="AN61" s="61">
        <f t="shared" si="27"/>
        <v>0</v>
      </c>
      <c r="AO61" s="39">
        <f t="shared" si="27"/>
        <v>0</v>
      </c>
      <c r="AP61" s="61">
        <f t="shared" si="27"/>
        <v>0</v>
      </c>
      <c r="AQ61" s="39">
        <f t="shared" si="27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+Actuals!AE151</f>
        <v>0</v>
      </c>
      <c r="AI64" s="128">
        <f>+Actuals!AF151</f>
        <v>0</v>
      </c>
      <c r="AJ64" s="127">
        <f>+Actuals!AG151</f>
        <v>0</v>
      </c>
      <c r="AK64" s="128">
        <f>+Actuals!AH151</f>
        <v>0</v>
      </c>
      <c r="AL64" s="127">
        <f>+Actuals!AI151</f>
        <v>0</v>
      </c>
      <c r="AM64" s="128">
        <f>+Actuals!AJ151</f>
        <v>0</v>
      </c>
      <c r="AN64" s="127">
        <f>+Actuals!AK151</f>
        <v>0</v>
      </c>
      <c r="AO64" s="128">
        <f>+Actuals!AL151</f>
        <v>0</v>
      </c>
      <c r="AP64" s="127">
        <f>+Actuals!AM151</f>
        <v>0</v>
      </c>
      <c r="AQ64" s="128">
        <f>+Actuals!AN151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+Actuals!AE152</f>
        <v>0</v>
      </c>
      <c r="AI65" s="128">
        <f>+Actuals!AF152</f>
        <v>0</v>
      </c>
      <c r="AJ65" s="127">
        <f>+Actuals!AG152</f>
        <v>0</v>
      </c>
      <c r="AK65" s="128">
        <f>+Actuals!AH152</f>
        <v>0</v>
      </c>
      <c r="AL65" s="127">
        <f>+Actuals!AI152</f>
        <v>0</v>
      </c>
      <c r="AM65" s="128">
        <f>+Actuals!AJ152</f>
        <v>0</v>
      </c>
      <c r="AN65" s="127">
        <f>+Actuals!AK152</f>
        <v>0</v>
      </c>
      <c r="AO65" s="128">
        <f>+Actuals!AL152</f>
        <v>0</v>
      </c>
      <c r="AP65" s="127">
        <f>+Actuals!AM152</f>
        <v>0</v>
      </c>
      <c r="AQ65" s="128">
        <f>+Actuals!AN152</f>
        <v>0</v>
      </c>
    </row>
    <row r="66" spans="1:43" x14ac:dyDescent="0.2">
      <c r="A66" s="9"/>
      <c r="B66" s="7" t="s">
        <v>66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A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Q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>SUM(AF64:AF65)</f>
        <v>0</v>
      </c>
      <c r="AG66" s="39">
        <f>SUM(AG64:AG65)</f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30"/>
        <v>0</v>
      </c>
      <c r="AM66" s="39">
        <f t="shared" si="30"/>
        <v>0</v>
      </c>
      <c r="AN66" s="61">
        <f t="shared" si="30"/>
        <v>0</v>
      </c>
      <c r="AO66" s="39">
        <f t="shared" si="30"/>
        <v>0</v>
      </c>
      <c r="AP66" s="61">
        <f t="shared" si="30"/>
        <v>0</v>
      </c>
      <c r="AQ66" s="39">
        <f t="shared" si="30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1513816.64</v>
      </c>
      <c r="F70" s="64">
        <f>'TIE-OUT'!F70+RECLASS!F70</f>
        <v>0</v>
      </c>
      <c r="G70" s="68">
        <f>'TIE-OUT'!G70+RECLASS!G70</f>
        <v>1513816.64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+Actuals!AE153</f>
        <v>0</v>
      </c>
      <c r="AI70" s="128">
        <f>+Actuals!AF153</f>
        <v>0</v>
      </c>
      <c r="AJ70" s="127">
        <f>+Actuals!AG153</f>
        <v>0</v>
      </c>
      <c r="AK70" s="128">
        <f>+Actuals!AH153</f>
        <v>0</v>
      </c>
      <c r="AL70" s="127">
        <f>+Actuals!AI153</f>
        <v>0</v>
      </c>
      <c r="AM70" s="128">
        <f>+Actuals!AJ153</f>
        <v>0</v>
      </c>
      <c r="AN70" s="127">
        <f>+Actuals!AK153</f>
        <v>0</v>
      </c>
      <c r="AO70" s="128">
        <f>+Actuals!AL153</f>
        <v>0</v>
      </c>
      <c r="AP70" s="127">
        <f>+Actuals!AM153</f>
        <v>0</v>
      </c>
      <c r="AQ70" s="128">
        <f>+Actuals!AN153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91871</v>
      </c>
      <c r="F71" s="81">
        <f>'TIE-OUT'!F71+RECLASS!F71</f>
        <v>0</v>
      </c>
      <c r="G71" s="82">
        <f>'TIE-OUT'!G71+RECLASS!G71</f>
        <v>91871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+Actuals!AE154</f>
        <v>0</v>
      </c>
      <c r="AI71" s="128">
        <f>+Actuals!AF154</f>
        <v>0</v>
      </c>
      <c r="AJ71" s="127">
        <f>+Actuals!AG154</f>
        <v>0</v>
      </c>
      <c r="AK71" s="128">
        <f>+Actuals!AH154</f>
        <v>0</v>
      </c>
      <c r="AL71" s="127">
        <f>+Actuals!AI154</f>
        <v>0</v>
      </c>
      <c r="AM71" s="128">
        <f>+Actuals!AJ154</f>
        <v>0</v>
      </c>
      <c r="AN71" s="127">
        <f>+Actuals!AK154</f>
        <v>0</v>
      </c>
      <c r="AO71" s="128">
        <f>+Actuals!AL154</f>
        <v>0</v>
      </c>
      <c r="AP71" s="127">
        <f>+Actuals!AM154</f>
        <v>0</v>
      </c>
      <c r="AQ71" s="128">
        <f>+Actuals!AN154</f>
        <v>0</v>
      </c>
    </row>
    <row r="72" spans="1:43" x14ac:dyDescent="0.2">
      <c r="A72" s="9"/>
      <c r="B72" s="3"/>
      <c r="C72" s="55" t="s">
        <v>71</v>
      </c>
      <c r="D72" s="61">
        <f t="shared" ref="D72:I72" si="31">SUM(D70:D71)</f>
        <v>0</v>
      </c>
      <c r="E72" s="39">
        <f t="shared" si="31"/>
        <v>1605687.64</v>
      </c>
      <c r="F72" s="61">
        <f t="shared" si="31"/>
        <v>0</v>
      </c>
      <c r="G72" s="39">
        <f t="shared" si="31"/>
        <v>1605687.64</v>
      </c>
      <c r="H72" s="61">
        <f t="shared" si="31"/>
        <v>0</v>
      </c>
      <c r="I72" s="39">
        <f t="shared" si="31"/>
        <v>0</v>
      </c>
      <c r="J72" s="61">
        <f t="shared" ref="J72:AA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Q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>SUM(AF70:AF71)</f>
        <v>0</v>
      </c>
      <c r="AG72" s="39">
        <f>SUM(AG70:AG71)</f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3"/>
        <v>0</v>
      </c>
      <c r="AM72" s="39">
        <f t="shared" si="33"/>
        <v>0</v>
      </c>
      <c r="AN72" s="61">
        <f t="shared" si="33"/>
        <v>0</v>
      </c>
      <c r="AO72" s="39">
        <f t="shared" si="33"/>
        <v>0</v>
      </c>
      <c r="AP72" s="61">
        <f t="shared" si="33"/>
        <v>0</v>
      </c>
      <c r="AQ72" s="39">
        <f t="shared" si="3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34">SUM(F73,H73,J73,L73,N73,P73,R73,T73,V73,X73,Z73,AB73,AD73,AF73)</f>
        <v>0</v>
      </c>
      <c r="E73" s="38">
        <f t="shared" ref="E73:E81" si="35">SUM(G73,I73,K73,M73,O73,Q73,S73,U73,W73,Y73,AA73,AC73,AE73,AG73)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+Actuals!AE155</f>
        <v>0</v>
      </c>
      <c r="AI73" s="128">
        <f>+Actuals!AF155</f>
        <v>0</v>
      </c>
      <c r="AJ73" s="127">
        <f>+Actuals!AG155</f>
        <v>0</v>
      </c>
      <c r="AK73" s="128">
        <f>+Actuals!AH155</f>
        <v>0</v>
      </c>
      <c r="AL73" s="127">
        <f>+Actuals!AI155</f>
        <v>0</v>
      </c>
      <c r="AM73" s="128">
        <f>+Actuals!AJ155</f>
        <v>0</v>
      </c>
      <c r="AN73" s="127">
        <f>+Actuals!AK155</f>
        <v>0</v>
      </c>
      <c r="AO73" s="128">
        <f>+Actuals!AL155</f>
        <v>0</v>
      </c>
      <c r="AP73" s="127">
        <f>+Actuals!AM155</f>
        <v>0</v>
      </c>
      <c r="AQ73" s="128">
        <f>+Actuals!AN155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-859609.97</v>
      </c>
      <c r="F74" s="60">
        <f>'TIE-OUT'!F74+RECLASS!F74</f>
        <v>0</v>
      </c>
      <c r="G74" s="60">
        <f>'TIE-OUT'!G74+RECLASS!G74</f>
        <v>-859609.97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f>+Actuals!H156</f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+Actuals!AE156</f>
        <v>0</v>
      </c>
      <c r="AI74" s="128">
        <f>+Actuals!AF156</f>
        <v>0</v>
      </c>
      <c r="AJ74" s="127">
        <f>+Actuals!AG156</f>
        <v>0</v>
      </c>
      <c r="AK74" s="128">
        <f>+Actuals!AH156</f>
        <v>0</v>
      </c>
      <c r="AL74" s="127">
        <f>+Actuals!AI156</f>
        <v>0</v>
      </c>
      <c r="AM74" s="128">
        <f>+Actuals!AJ156</f>
        <v>0</v>
      </c>
      <c r="AN74" s="127">
        <f>+Actuals!AK156</f>
        <v>0</v>
      </c>
      <c r="AO74" s="128">
        <f>+Actuals!AL156</f>
        <v>0</v>
      </c>
      <c r="AP74" s="127">
        <f>+Actuals!AM156</f>
        <v>0</v>
      </c>
      <c r="AQ74" s="128">
        <f>+Actuals!AN156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92100</v>
      </c>
      <c r="F75" s="60">
        <f>'TIE-OUT'!F75+RECLASS!F75</f>
        <v>0</v>
      </c>
      <c r="G75" s="60">
        <f>'TIE-OUT'!G75+RECLASS!G75</f>
        <v>92100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+Actuals!AE157</f>
        <v>0</v>
      </c>
      <c r="AI75" s="128">
        <f>+Actuals!AF157</f>
        <v>0</v>
      </c>
      <c r="AJ75" s="127">
        <f>+Actuals!AG157</f>
        <v>0</v>
      </c>
      <c r="AK75" s="128">
        <f>+Actuals!AH157</f>
        <v>0</v>
      </c>
      <c r="AL75" s="127">
        <f>+Actuals!AI157</f>
        <v>0</v>
      </c>
      <c r="AM75" s="128">
        <f>+Actuals!AJ157</f>
        <v>0</v>
      </c>
      <c r="AN75" s="127">
        <f>+Actuals!AK157</f>
        <v>0</v>
      </c>
      <c r="AO75" s="128">
        <f>+Actuals!AL157</f>
        <v>0</v>
      </c>
      <c r="AP75" s="127">
        <f>+Actuals!AM157</f>
        <v>0</v>
      </c>
      <c r="AQ75" s="128">
        <f>+Actuals!AN157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-18467.439999999999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-18747.939999999999</v>
      </c>
      <c r="J76" s="127">
        <f>+Actuals!G158</f>
        <v>0</v>
      </c>
      <c r="K76" s="128">
        <f>+Actuals!H158</f>
        <v>-365</v>
      </c>
      <c r="L76" s="127">
        <f>+Actuals!I158</f>
        <v>0</v>
      </c>
      <c r="M76" s="128">
        <f>+Actuals!J158</f>
        <v>0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645.5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+Actuals!AE158</f>
        <v>0</v>
      </c>
      <c r="AI76" s="128">
        <f>+Actuals!AF158</f>
        <v>0</v>
      </c>
      <c r="AJ76" s="127">
        <f>+Actuals!AG158</f>
        <v>0</v>
      </c>
      <c r="AK76" s="128">
        <f>+Actuals!AH158</f>
        <v>0</v>
      </c>
      <c r="AL76" s="127">
        <f>+Actuals!AI158</f>
        <v>0</v>
      </c>
      <c r="AM76" s="128">
        <f>+Actuals!AJ158</f>
        <v>0</v>
      </c>
      <c r="AN76" s="127">
        <f>+Actuals!AK158</f>
        <v>0</v>
      </c>
      <c r="AO76" s="128">
        <f>+Actuals!AL158</f>
        <v>0</v>
      </c>
      <c r="AP76" s="127">
        <f>+Actuals!AM158</f>
        <v>0</v>
      </c>
      <c r="AQ76" s="128">
        <f>+Actuals!AN158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24750</v>
      </c>
      <c r="F77" s="60">
        <f>'TIE-OUT'!F77+RECLASS!F77</f>
        <v>0</v>
      </c>
      <c r="G77" s="60">
        <f>'TIE-OUT'!G77+RECLASS!G77</f>
        <v>24750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+Actuals!AE159</f>
        <v>0</v>
      </c>
      <c r="AI77" s="128">
        <f>+Actuals!AF159</f>
        <v>0</v>
      </c>
      <c r="AJ77" s="127">
        <f>+Actuals!AG159</f>
        <v>0</v>
      </c>
      <c r="AK77" s="128">
        <f>+Actuals!AH159</f>
        <v>0</v>
      </c>
      <c r="AL77" s="127">
        <f>+Actuals!AI159</f>
        <v>0</v>
      </c>
      <c r="AM77" s="128">
        <f>+Actuals!AJ159</f>
        <v>0</v>
      </c>
      <c r="AN77" s="127">
        <f>+Actuals!AK159</f>
        <v>0</v>
      </c>
      <c r="AO77" s="128">
        <f>+Actuals!AL159</f>
        <v>0</v>
      </c>
      <c r="AP77" s="127">
        <f>+Actuals!AM159</f>
        <v>0</v>
      </c>
      <c r="AQ77" s="128">
        <f>+Actuals!AN159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+Actuals!AE160</f>
        <v>0</v>
      </c>
      <c r="AI78" s="128">
        <f>+Actuals!AF160</f>
        <v>0</v>
      </c>
      <c r="AJ78" s="127">
        <f>+Actuals!AG160</f>
        <v>0</v>
      </c>
      <c r="AK78" s="128">
        <f>+Actuals!AH160</f>
        <v>0</v>
      </c>
      <c r="AL78" s="127">
        <f>+Actuals!AI160</f>
        <v>0</v>
      </c>
      <c r="AM78" s="128">
        <f>+Actuals!AJ160</f>
        <v>0</v>
      </c>
      <c r="AN78" s="127">
        <f>+Actuals!AK160</f>
        <v>0</v>
      </c>
      <c r="AO78" s="128">
        <f>+Actuals!AL160</f>
        <v>0</v>
      </c>
      <c r="AP78" s="127">
        <f>+Actuals!AM160</f>
        <v>0</v>
      </c>
      <c r="AQ78" s="128">
        <f>+Actuals!AN160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+Actuals!AE161</f>
        <v>0</v>
      </c>
      <c r="AI79" s="128">
        <f>+Actuals!AF161</f>
        <v>0</v>
      </c>
      <c r="AJ79" s="127">
        <f>+Actuals!AG161</f>
        <v>0</v>
      </c>
      <c r="AK79" s="128">
        <f>+Actuals!AH161</f>
        <v>0</v>
      </c>
      <c r="AL79" s="127">
        <f>+Actuals!AI161</f>
        <v>0</v>
      </c>
      <c r="AM79" s="128">
        <f>+Actuals!AJ161</f>
        <v>0</v>
      </c>
      <c r="AN79" s="127">
        <f>+Actuals!AK161</f>
        <v>0</v>
      </c>
      <c r="AO79" s="128">
        <f>+Actuals!AL161</f>
        <v>0</v>
      </c>
      <c r="AP79" s="127">
        <f>+Actuals!AM161</f>
        <v>0</v>
      </c>
      <c r="AQ79" s="128">
        <f>+Actuals!AN161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+Actuals!AE162</f>
        <v>0</v>
      </c>
      <c r="AI80" s="128">
        <f>+Actuals!AF162</f>
        <v>0</v>
      </c>
      <c r="AJ80" s="127">
        <f>+Actuals!AG162</f>
        <v>0</v>
      </c>
      <c r="AK80" s="128">
        <f>+Actuals!AH162</f>
        <v>0</v>
      </c>
      <c r="AL80" s="127">
        <f>+Actuals!AI162</f>
        <v>0</v>
      </c>
      <c r="AM80" s="128">
        <f>+Actuals!AJ162</f>
        <v>0</v>
      </c>
      <c r="AN80" s="127">
        <f>+Actuals!AK162</f>
        <v>0</v>
      </c>
      <c r="AO80" s="128">
        <f>+Actuals!AL162</f>
        <v>0</v>
      </c>
      <c r="AP80" s="127">
        <f>+Actuals!AM162</f>
        <v>0</v>
      </c>
      <c r="AQ80" s="128">
        <f>+Actuals!AN162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14063.12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14063.12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+Actuals!AE163</f>
        <v>0</v>
      </c>
      <c r="AI81" s="128">
        <f>+Actuals!AF163</f>
        <v>0</v>
      </c>
      <c r="AJ81" s="127">
        <f>+Actuals!AG163</f>
        <v>0</v>
      </c>
      <c r="AK81" s="128">
        <f>+Actuals!AH163</f>
        <v>0</v>
      </c>
      <c r="AL81" s="127">
        <f>+Actuals!AI163</f>
        <v>0</v>
      </c>
      <c r="AM81" s="128">
        <f>+Actuals!AJ163</f>
        <v>0</v>
      </c>
      <c r="AN81" s="127">
        <f>+Actuals!AK163</f>
        <v>0</v>
      </c>
      <c r="AO81" s="128">
        <f>+Actuals!AL163</f>
        <v>0</v>
      </c>
      <c r="AP81" s="127">
        <f>+Actuals!AM163</f>
        <v>0</v>
      </c>
      <c r="AQ81" s="128">
        <f>+Actuals!AN163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-1901547.7080000222</v>
      </c>
      <c r="F82" s="92">
        <f>F16+F24+F29+F36+F43+F45+F47+F49</f>
        <v>0</v>
      </c>
      <c r="G82" s="93">
        <f>SUM(G72:G81)+G16+G24+G29+G36+G43+G45+G47+G49+G51+G56+G61+G66</f>
        <v>-7032269.4699999988</v>
      </c>
      <c r="H82" s="92">
        <f>H16+H24+H29+H36+H43+H45+H47+H49</f>
        <v>0</v>
      </c>
      <c r="I82" s="158">
        <f>SUM(I72:I81)+I16+I24+I29+I36+I43+I45+I47+I49+I51+I56+I61+I66</f>
        <v>9278092.4209999964</v>
      </c>
      <c r="J82" s="92">
        <f>J16+J24+J29+J36+J43+J45+J47+J49</f>
        <v>0</v>
      </c>
      <c r="K82" s="158">
        <f>SUM(K72:K81)+K16+K24+K29+K36+K43+K45+K47+K49+K51+K56+K61+K66</f>
        <v>-3581999.7760000005</v>
      </c>
      <c r="L82" s="92">
        <f>L16+L24+L29+L36+L43+L45+L47+L49</f>
        <v>0</v>
      </c>
      <c r="M82" s="93">
        <f>SUM(M72:M81)+M16+M24+M29+M36+M43+M45+M47+M49+M51+M56+M61+M66</f>
        <v>-2963153.6474000001</v>
      </c>
      <c r="N82" s="92">
        <f>N16+N24+N29+N36+N43+N45+N47+N49</f>
        <v>0</v>
      </c>
      <c r="O82" s="93">
        <f>SUM(O72:O81)+O16+O24+O29+O36+O43+O45+O47+O49+O51+O56+O61+O66</f>
        <v>-3408.2096000000161</v>
      </c>
      <c r="P82" s="92">
        <f>P16+P24+P29+P36+P43+P45+P47+P49</f>
        <v>0</v>
      </c>
      <c r="Q82" s="93">
        <f>SUM(Q72:Q81)+Q16+Q24+Q29+Q36+Q43+Q45+Q47+Q49+Q51+Q56+Q61+Q66</f>
        <v>2673137.9040000001</v>
      </c>
      <c r="R82" s="92">
        <f>R16+R24+R29+R36+R43+R45+R47+R49</f>
        <v>0</v>
      </c>
      <c r="S82" s="93">
        <f>SUM(S72:S81)+S16+S24+S29+S36+S43+S45+S47+S49+S51+S56+S61+S66</f>
        <v>243334.81099999999</v>
      </c>
      <c r="T82" s="92">
        <f>T16+T24+T29+T36+T43+T45+T47+T49</f>
        <v>0</v>
      </c>
      <c r="U82" s="93">
        <f>SUM(U72:U81)+U16+U24+U29+U36+U43+U45+U47+U49+U51+U56+U61+U66</f>
        <v>-75881.994000000283</v>
      </c>
      <c r="V82" s="92">
        <f>V16+V24+V29+V36+V43+V45+V47+V49</f>
        <v>0</v>
      </c>
      <c r="W82" s="93">
        <f>SUM(W72:W81)+W16+W24+W29+W36+W43+W45+W47+W49+W51+W56+W61+W66</f>
        <v>-64789.194000000331</v>
      </c>
      <c r="X82" s="92">
        <f>X16+X24+X29+X36+X43+X45+X47+X49</f>
        <v>0</v>
      </c>
      <c r="Y82" s="93">
        <f>SUM(Y72:Y81)+Y16+Y24+Y29+Y36+Y43+Y45+Y47+Y49+Y51+Y56+Y61+Y66</f>
        <v>-275972.76800000016</v>
      </c>
      <c r="Z82" s="92">
        <f>Z16+Z24+Z29+Z36+Z43+Z45+Z47+Z49</f>
        <v>0</v>
      </c>
      <c r="AA82" s="93">
        <f>SUM(AA72:AA81)+AA16+AA24+AA29+AA36+AA43+AA45+AA47+AA49+AA51+AA56+AA61+AA66</f>
        <v>-173126.22199999986</v>
      </c>
      <c r="AB82" s="92">
        <f>AB16+AB24+AB29+AB36+AB43+AB45+AB47+AB49</f>
        <v>0</v>
      </c>
      <c r="AC82" s="93">
        <f>SUM(AC72:AC81)+AC16+AC24+AC29+AC36+AC43+AC45+AC47+AC49+AC51+AC56+AC61+AC66</f>
        <v>48429.074999999997</v>
      </c>
      <c r="AD82" s="92">
        <f>AD16+AD24+AD29+AD36+AD43+AD45+AD47+AD49</f>
        <v>0</v>
      </c>
      <c r="AE82" s="93">
        <f>SUM(AE72:AE81)+AE16+AE24+AE29+AE36+AE43+AE45+AE47+AE49+AE51+AE56+AE61+AE66</f>
        <v>23089.797999999701</v>
      </c>
      <c r="AF82" s="92">
        <f>AF16+AF24+AF29+AF36+AF43+AF45+AF47+AF49</f>
        <v>0</v>
      </c>
      <c r="AG82" s="93">
        <f>SUM(AG72:AG81)+AG16+AG24+AG29+AG36+AG43+AG45+AG47+AG49+AG51+AG56+AG61+AG66</f>
        <v>2969.563999999973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7"/>
  <sheetViews>
    <sheetView zoomScale="75" workbookViewId="0">
      <pane xSplit="3" ySplit="9" topLeftCell="V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>
        <f>CE_GL!ET8</f>
        <v>0</v>
      </c>
      <c r="AI8" s="27"/>
      <c r="AJ8" s="26">
        <f>CE_GL!EV8</f>
        <v>0</v>
      </c>
      <c r="AK8" s="27"/>
      <c r="AL8" s="26">
        <f>CE_GL!EX8</f>
        <v>0</v>
      </c>
      <c r="AM8" s="27"/>
      <c r="AN8" s="26">
        <f>CE_GL!EZ8</f>
        <v>0</v>
      </c>
      <c r="AO8" s="27"/>
      <c r="AP8" s="26">
        <f>CE_GL!FB8</f>
        <v>0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78538325</v>
      </c>
      <c r="E11" s="38">
        <f t="shared" si="0"/>
        <v>161825193.13</v>
      </c>
      <c r="F11" s="60">
        <f>'TIE-OUT'!H11+RECLASS!H11</f>
        <v>0</v>
      </c>
      <c r="G11" s="38">
        <f>'TIE-OUT'!I11+RECLASS!I11</f>
        <v>0</v>
      </c>
      <c r="H11" s="127">
        <f>+Actuals!E164</f>
        <v>80993112</v>
      </c>
      <c r="I11" s="128">
        <f>+Actuals!F164</f>
        <v>159080999.16</v>
      </c>
      <c r="J11" s="127">
        <f>+Actuals!G164</f>
        <v>-309217</v>
      </c>
      <c r="K11" s="147">
        <f>+Actuals!H164</f>
        <v>15083449.879999999</v>
      </c>
      <c r="L11" s="127">
        <f>+Actuals!I164</f>
        <v>-198</v>
      </c>
      <c r="M11" s="128">
        <f>+Actuals!J164</f>
        <v>-191798.25</v>
      </c>
      <c r="N11" s="127">
        <f>+Actuals!K164</f>
        <v>-2136851</v>
      </c>
      <c r="O11" s="128">
        <f>+Actuals!L164</f>
        <v>-2619247.44</v>
      </c>
      <c r="P11" s="127">
        <f>+Actuals!M164</f>
        <v>-61</v>
      </c>
      <c r="Q11" s="128">
        <f>+Actuals!N164</f>
        <v>16850.38</v>
      </c>
      <c r="R11" s="127">
        <f>+Actuals!O164</f>
        <v>0</v>
      </c>
      <c r="S11" s="128">
        <f>+Actuals!P164</f>
        <v>120</v>
      </c>
      <c r="T11" s="127">
        <f>+Actuals!Q164</f>
        <v>-8460</v>
      </c>
      <c r="U11" s="128">
        <f>+Actuals!R164</f>
        <v>-9545180.5999999996</v>
      </c>
      <c r="V11" s="127">
        <f>+Actuals!S164</f>
        <v>0</v>
      </c>
      <c r="W11" s="128">
        <f>+Actuals!T164</f>
        <v>0</v>
      </c>
      <c r="X11" s="127">
        <f>+Actuals!U164</f>
        <v>0</v>
      </c>
      <c r="Y11" s="128">
        <f>+Actuals!V164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  <c r="AF11" s="127">
        <f>+Actuals!AC244</f>
        <v>0</v>
      </c>
      <c r="AG11" s="128">
        <f>+Actuals!AD244</f>
        <v>0</v>
      </c>
      <c r="AH11" s="127">
        <f>+Actuals!AE164</f>
        <v>0</v>
      </c>
      <c r="AI11" s="128">
        <f>+Actuals!AF164</f>
        <v>0</v>
      </c>
      <c r="AJ11" s="127">
        <f>+Actuals!AG164</f>
        <v>0</v>
      </c>
      <c r="AK11" s="128">
        <f>+Actuals!AH164</f>
        <v>0</v>
      </c>
      <c r="AL11" s="127">
        <f>+Actuals!AI164</f>
        <v>0</v>
      </c>
      <c r="AM11" s="128">
        <f>+Actuals!AJ164</f>
        <v>0</v>
      </c>
      <c r="AN11" s="127">
        <f>+Actuals!AK164</f>
        <v>0</v>
      </c>
      <c r="AO11" s="128">
        <f>+Actuals!AL164</f>
        <v>0</v>
      </c>
      <c r="AP11" s="127">
        <f>+Actuals!AM164</f>
        <v>0</v>
      </c>
      <c r="AQ11" s="128">
        <f>+Actuals!AN164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-3730461.0300000003</v>
      </c>
      <c r="F12" s="60">
        <f>'TIE-OUT'!H12+RECLASS!H12</f>
        <v>0</v>
      </c>
      <c r="G12" s="38">
        <f>'TIE-OUT'!I12+RECLASS!I12</f>
        <v>-3786561.0300000003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+Actuals!H165+56100</f>
        <v>56100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+Actuals!AI165</f>
        <v>0</v>
      </c>
      <c r="AM12" s="128">
        <f>+Actuals!AJ165</f>
        <v>0</v>
      </c>
      <c r="AN12" s="127">
        <f>+Actuals!AK165</f>
        <v>0</v>
      </c>
      <c r="AO12" s="128">
        <f>+Actuals!AL165</f>
        <v>0</v>
      </c>
      <c r="AP12" s="127">
        <f>+Actuals!AM165</f>
        <v>0</v>
      </c>
      <c r="AQ12" s="128">
        <f>+Actuals!AN165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46521011</v>
      </c>
      <c r="E13" s="38">
        <f t="shared" si="0"/>
        <v>97011870</v>
      </c>
      <c r="F13" s="60">
        <f>'TIE-OUT'!H13+RECLASS!H13</f>
        <v>0</v>
      </c>
      <c r="G13" s="38">
        <f>'TIE-OUT'!I13+RECLASS!I13</f>
        <v>0</v>
      </c>
      <c r="H13" s="127">
        <f>+Actuals!E166</f>
        <v>46521011</v>
      </c>
      <c r="I13" s="128">
        <f>+Actuals!F166</f>
        <v>97011870</v>
      </c>
      <c r="J13" s="127">
        <f>+Actuals!G166</f>
        <v>-202938</v>
      </c>
      <c r="K13" s="147">
        <f>+Actuals!H166</f>
        <v>-425356</v>
      </c>
      <c r="L13" s="127">
        <f>+Actuals!I166</f>
        <v>0</v>
      </c>
      <c r="M13" s="128">
        <f>+Actuals!J166</f>
        <v>0</v>
      </c>
      <c r="N13" s="127">
        <f>+Actuals!K166</f>
        <v>0</v>
      </c>
      <c r="O13" s="128">
        <f>+Actuals!L166</f>
        <v>0</v>
      </c>
      <c r="P13" s="127">
        <f>+Actuals!M166</f>
        <v>46</v>
      </c>
      <c r="Q13" s="128">
        <f>+Actuals!N166</f>
        <v>10002</v>
      </c>
      <c r="R13" s="127">
        <f>+Actuals!O166</f>
        <v>0</v>
      </c>
      <c r="S13" s="128">
        <f>+Actuals!P166</f>
        <v>0</v>
      </c>
      <c r="T13" s="127">
        <f>+Actuals!Q166</f>
        <v>1416416</v>
      </c>
      <c r="U13" s="128">
        <f>+Actuals!R166</f>
        <v>2756660</v>
      </c>
      <c r="V13" s="127">
        <f>+Actuals!S166</f>
        <v>1801916</v>
      </c>
      <c r="W13" s="128">
        <f>+Actuals!T166</f>
        <v>3575228</v>
      </c>
      <c r="X13" s="127">
        <f>+Actuals!U166</f>
        <v>-3015440</v>
      </c>
      <c r="Y13" s="128">
        <f>+Actuals!V166</f>
        <v>-5916534</v>
      </c>
      <c r="Z13" s="127">
        <f>+Actuals!W246</f>
        <v>3015440</v>
      </c>
      <c r="AA13" s="128">
        <f>+Actuals!X246</f>
        <v>5916534</v>
      </c>
      <c r="AB13" s="127">
        <f>+Actuals!Y246</f>
        <v>0</v>
      </c>
      <c r="AC13" s="128">
        <f>+Actuals!Z246</f>
        <v>0</v>
      </c>
      <c r="AD13" s="127">
        <f>+Actuals!AA246</f>
        <v>-3015440</v>
      </c>
      <c r="AE13" s="128">
        <f>+Actuals!AB246</f>
        <v>-5916534</v>
      </c>
      <c r="AF13" s="127">
        <f>+Actuals!AC246</f>
        <v>0</v>
      </c>
      <c r="AG13" s="128">
        <f>+Actuals!AD246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+Actuals!AI166</f>
        <v>0</v>
      </c>
      <c r="AM13" s="128">
        <f>+Actuals!AJ166</f>
        <v>0</v>
      </c>
      <c r="AN13" s="127">
        <f>+Actuals!AK166</f>
        <v>0</v>
      </c>
      <c r="AO13" s="128">
        <f>+Actuals!AL166</f>
        <v>0</v>
      </c>
      <c r="AP13" s="127">
        <f>+Actuals!AM166</f>
        <v>0</v>
      </c>
      <c r="AQ13" s="128">
        <f>+Actuals!AN166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+Actuals!AI167</f>
        <v>0</v>
      </c>
      <c r="AM14" s="128">
        <f>+Actuals!AJ167</f>
        <v>0</v>
      </c>
      <c r="AN14" s="127">
        <f>+Actuals!AK167</f>
        <v>0</v>
      </c>
      <c r="AO14" s="128">
        <f>+Actuals!AL167</f>
        <v>0</v>
      </c>
      <c r="AP14" s="127">
        <f>+Actuals!AM167</f>
        <v>0</v>
      </c>
      <c r="AQ14" s="128">
        <f>+Actuals!AN167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8">
        <f>+Actuals!V168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+Actuals!AE168</f>
        <v>0</v>
      </c>
      <c r="AI15" s="128">
        <f>+Actuals!AF168</f>
        <v>0</v>
      </c>
      <c r="AJ15" s="127">
        <f>+Actuals!AG168</f>
        <v>0</v>
      </c>
      <c r="AK15" s="128">
        <f>+Actuals!AH168</f>
        <v>0</v>
      </c>
      <c r="AL15" s="127">
        <f>+Actuals!AI168</f>
        <v>0</v>
      </c>
      <c r="AM15" s="128">
        <f>+Actuals!AJ168</f>
        <v>0</v>
      </c>
      <c r="AN15" s="127">
        <f>+Actuals!AK168</f>
        <v>0</v>
      </c>
      <c r="AO15" s="128">
        <f>+Actuals!AL168</f>
        <v>0</v>
      </c>
      <c r="AP15" s="127">
        <f>+Actuals!AM168</f>
        <v>0</v>
      </c>
      <c r="AQ15" s="128">
        <f>+Actuals!AN168</f>
        <v>0</v>
      </c>
    </row>
    <row r="16" spans="1:43" x14ac:dyDescent="0.2">
      <c r="A16" s="9"/>
      <c r="B16" s="7" t="s">
        <v>32</v>
      </c>
      <c r="C16" s="6"/>
      <c r="D16" s="61">
        <f t="shared" ref="D16:AA16" si="1">SUM(D11:D15)</f>
        <v>125059336</v>
      </c>
      <c r="E16" s="39">
        <f t="shared" si="1"/>
        <v>255106602.09999999</v>
      </c>
      <c r="F16" s="61">
        <f t="shared" si="1"/>
        <v>0</v>
      </c>
      <c r="G16" s="39">
        <f t="shared" si="1"/>
        <v>-3786561.0300000003</v>
      </c>
      <c r="H16" s="61">
        <f t="shared" si="1"/>
        <v>127514123</v>
      </c>
      <c r="I16" s="39">
        <f t="shared" si="1"/>
        <v>256092869.16</v>
      </c>
      <c r="J16" s="61">
        <f t="shared" si="1"/>
        <v>-512155</v>
      </c>
      <c r="K16" s="148">
        <f t="shared" si="1"/>
        <v>14714193.879999999</v>
      </c>
      <c r="L16" s="61">
        <f t="shared" si="1"/>
        <v>-198</v>
      </c>
      <c r="M16" s="39">
        <f t="shared" si="1"/>
        <v>-191798.25</v>
      </c>
      <c r="N16" s="61">
        <f t="shared" si="1"/>
        <v>-2136851</v>
      </c>
      <c r="O16" s="39">
        <f t="shared" si="1"/>
        <v>-2619247.44</v>
      </c>
      <c r="P16" s="61">
        <f t="shared" si="1"/>
        <v>-15</v>
      </c>
      <c r="Q16" s="39">
        <f t="shared" si="1"/>
        <v>26852.38</v>
      </c>
      <c r="R16" s="61">
        <f t="shared" si="1"/>
        <v>0</v>
      </c>
      <c r="S16" s="39">
        <f t="shared" si="1"/>
        <v>120</v>
      </c>
      <c r="T16" s="61">
        <f t="shared" si="1"/>
        <v>1407956</v>
      </c>
      <c r="U16" s="39">
        <f t="shared" si="1"/>
        <v>-6788520.5999999996</v>
      </c>
      <c r="V16" s="61">
        <f t="shared" si="1"/>
        <v>1801916</v>
      </c>
      <c r="W16" s="39">
        <f t="shared" si="1"/>
        <v>3575228</v>
      </c>
      <c r="X16" s="61">
        <f t="shared" si="1"/>
        <v>-3015440</v>
      </c>
      <c r="Y16" s="39">
        <f t="shared" si="1"/>
        <v>-5916534</v>
      </c>
      <c r="Z16" s="61">
        <f t="shared" si="1"/>
        <v>3015440</v>
      </c>
      <c r="AA16" s="39">
        <f t="shared" si="1"/>
        <v>5916534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-3015440</v>
      </c>
      <c r="AE16" s="39">
        <f t="shared" si="2"/>
        <v>-5916534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-87370790</v>
      </c>
      <c r="E19" s="38">
        <f t="shared" si="3"/>
        <v>-171840781.75000006</v>
      </c>
      <c r="F19" s="64">
        <f>'TIE-OUT'!H19+RECLASS!H19</f>
        <v>0</v>
      </c>
      <c r="G19" s="68">
        <f>'TIE-OUT'!I19+RECLASS!I19</f>
        <v>-19344</v>
      </c>
      <c r="H19" s="127">
        <f>+Actuals!E169</f>
        <v>-90485648</v>
      </c>
      <c r="I19" s="128">
        <f>+Actuals!F169</f>
        <v>-172573687.00000003</v>
      </c>
      <c r="J19" s="127">
        <f>+Actuals!G169</f>
        <v>149503</v>
      </c>
      <c r="K19" s="147">
        <f>+Actuals!H169</f>
        <v>-2614942.09</v>
      </c>
      <c r="L19" s="127">
        <f>+Actuals!I169</f>
        <v>-181198</v>
      </c>
      <c r="M19" s="128">
        <f>+Actuals!J169</f>
        <v>-290854.27</v>
      </c>
      <c r="N19" s="127">
        <f>+Actuals!K169</f>
        <v>3129818</v>
      </c>
      <c r="O19" s="128">
        <f>+Actuals!L169</f>
        <v>3862462.79</v>
      </c>
      <c r="P19" s="127">
        <f>+Actuals!M169</f>
        <v>326</v>
      </c>
      <c r="Q19" s="128">
        <f>+Actuals!N169</f>
        <v>-16412.310000000001</v>
      </c>
      <c r="R19" s="127">
        <f>+Actuals!O169</f>
        <v>-1397</v>
      </c>
      <c r="S19" s="128">
        <f>+Actuals!P169</f>
        <v>-2674.59</v>
      </c>
      <c r="T19" s="127">
        <f>+Actuals!Q169</f>
        <v>17806</v>
      </c>
      <c r="U19" s="128">
        <f>+Actuals!R169</f>
        <v>-185330.28</v>
      </c>
      <c r="V19" s="127">
        <f>+Actuals!S169</f>
        <v>0</v>
      </c>
      <c r="W19" s="128">
        <f>+Actuals!T169</f>
        <v>0</v>
      </c>
      <c r="X19" s="127">
        <f>+Actuals!U169</f>
        <v>0</v>
      </c>
      <c r="Y19" s="128">
        <f>+Actuals!V169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  <c r="AF19" s="127">
        <f>+Actuals!AC249</f>
        <v>0</v>
      </c>
      <c r="AG19" s="128">
        <f>+Actuals!AD249</f>
        <v>0</v>
      </c>
      <c r="AH19" s="127">
        <f>+Actuals!AE169</f>
        <v>0</v>
      </c>
      <c r="AI19" s="128">
        <f>+Actuals!AF169</f>
        <v>0</v>
      </c>
      <c r="AJ19" s="127">
        <f>+Actuals!AG169</f>
        <v>0</v>
      </c>
      <c r="AK19" s="128">
        <f>+Actuals!AH169</f>
        <v>0</v>
      </c>
      <c r="AL19" s="127">
        <f>+Actuals!AI169</f>
        <v>0</v>
      </c>
      <c r="AM19" s="128">
        <f>+Actuals!AJ169</f>
        <v>0</v>
      </c>
      <c r="AN19" s="127">
        <f>+Actuals!AK169</f>
        <v>0</v>
      </c>
      <c r="AO19" s="128">
        <f>+Actuals!AL169</f>
        <v>0</v>
      </c>
      <c r="AP19" s="127">
        <f>+Actuals!AM169</f>
        <v>0</v>
      </c>
      <c r="AQ19" s="128">
        <f>+Actuals!AN169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-396992.78</v>
      </c>
      <c r="F20" s="60">
        <f>'TIE-OUT'!H20+RECLASS!H20</f>
        <v>0</v>
      </c>
      <c r="G20" s="38">
        <f>'TIE-OUT'!I20+RECLASS!I20</f>
        <v>-396992.78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+Actuals!AI170</f>
        <v>0</v>
      </c>
      <c r="AM20" s="128">
        <f>+Actuals!AJ170</f>
        <v>0</v>
      </c>
      <c r="AN20" s="127">
        <f>+Actuals!AK170</f>
        <v>0</v>
      </c>
      <c r="AO20" s="128">
        <f>+Actuals!AL170</f>
        <v>0</v>
      </c>
      <c r="AP20" s="127">
        <f>+Actuals!AM170</f>
        <v>0</v>
      </c>
      <c r="AQ20" s="128">
        <f>+Actuals!AN170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-36200601</v>
      </c>
      <c r="E21" s="38">
        <f t="shared" si="3"/>
        <v>-77799344</v>
      </c>
      <c r="F21" s="60">
        <f>'TIE-OUT'!H21+RECLASS!H21</f>
        <v>0</v>
      </c>
      <c r="G21" s="38">
        <f>'TIE-OUT'!I21+RECLASS!I21</f>
        <v>0</v>
      </c>
      <c r="H21" s="127">
        <f>+Actuals!E171</f>
        <v>-36200601</v>
      </c>
      <c r="I21" s="128">
        <f>+Actuals!F171</f>
        <v>-77799344</v>
      </c>
      <c r="J21" s="127">
        <f>+Actuals!G171</f>
        <v>403986</v>
      </c>
      <c r="K21" s="147">
        <f>+Actuals!H171</f>
        <v>757446</v>
      </c>
      <c r="L21" s="127">
        <f>+Actuals!I171</f>
        <v>0</v>
      </c>
      <c r="M21" s="128">
        <f>+Actuals!J171</f>
        <v>0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0</v>
      </c>
      <c r="S21" s="128">
        <f>+Actuals!P171</f>
        <v>0</v>
      </c>
      <c r="T21" s="127">
        <f>+Actuals!Q171</f>
        <v>-1416416</v>
      </c>
      <c r="U21" s="128">
        <f>+Actuals!R171</f>
        <v>-2756660</v>
      </c>
      <c r="V21" s="127">
        <f>+Actuals!S171</f>
        <v>-1801916</v>
      </c>
      <c r="W21" s="128">
        <f>+Actuals!T171</f>
        <v>-3575228</v>
      </c>
      <c r="X21" s="127">
        <f>+Actuals!U171</f>
        <v>2814346</v>
      </c>
      <c r="Y21" s="128">
        <f>+Actuals!V171</f>
        <v>5574442</v>
      </c>
      <c r="Z21" s="127">
        <f>+Actuals!W251</f>
        <v>-2814346</v>
      </c>
      <c r="AA21" s="128">
        <f>+Actuals!X251</f>
        <v>-5574442</v>
      </c>
      <c r="AB21" s="127">
        <f>+Actuals!Y251</f>
        <v>0</v>
      </c>
      <c r="AC21" s="128">
        <f>+Actuals!Z251</f>
        <v>0</v>
      </c>
      <c r="AD21" s="127">
        <f>+Actuals!AA251</f>
        <v>2814346</v>
      </c>
      <c r="AE21" s="128">
        <f>+Actuals!AB251</f>
        <v>5574442</v>
      </c>
      <c r="AF21" s="127">
        <f>+Actuals!AC251</f>
        <v>0</v>
      </c>
      <c r="AG21" s="128">
        <f>+Actuals!AD251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+Actuals!AI171</f>
        <v>0</v>
      </c>
      <c r="AM21" s="128">
        <f>+Actuals!AJ171</f>
        <v>0</v>
      </c>
      <c r="AN21" s="127">
        <f>+Actuals!AK171</f>
        <v>0</v>
      </c>
      <c r="AO21" s="128">
        <f>+Actuals!AL171</f>
        <v>0</v>
      </c>
      <c r="AP21" s="127">
        <f>+Actuals!AM171</f>
        <v>0</v>
      </c>
      <c r="AQ21" s="128">
        <f>+Actuals!AN171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+Actuals!AI172</f>
        <v>0</v>
      </c>
      <c r="AM22" s="128">
        <f>+Actuals!AJ172</f>
        <v>0</v>
      </c>
      <c r="AN22" s="127">
        <f>+Actuals!AK172</f>
        <v>0</v>
      </c>
      <c r="AO22" s="128">
        <f>+Actuals!AL172</f>
        <v>0</v>
      </c>
      <c r="AP22" s="127">
        <f>+Actuals!AM172</f>
        <v>0</v>
      </c>
      <c r="AQ22" s="128">
        <f>+Actuals!AN172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222567</v>
      </c>
      <c r="E23" s="38">
        <f t="shared" si="3"/>
        <v>422432.16800000001</v>
      </c>
      <c r="F23" s="81">
        <f>'TIE-OUT'!H23+RECLASS!H23</f>
        <v>0</v>
      </c>
      <c r="G23" s="82">
        <f>'TIE-OUT'!I23+RECLASS!I23</f>
        <v>0</v>
      </c>
      <c r="H23" s="127">
        <f>+Actuals!E173</f>
        <v>277886</v>
      </c>
      <c r="I23" s="128">
        <f>+Actuals!F173</f>
        <v>527427.63</v>
      </c>
      <c r="J23" s="127">
        <f>+Actuals!G173</f>
        <v>-33997</v>
      </c>
      <c r="K23" s="147">
        <f>+Actuals!H173</f>
        <v>-64526.305999999997</v>
      </c>
      <c r="L23" s="127">
        <f>+Actuals!I173</f>
        <v>-21322</v>
      </c>
      <c r="M23" s="128">
        <f>+Actuals!J173</f>
        <v>-40469.156000000003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+Actuals!S173</f>
        <v>0</v>
      </c>
      <c r="W23" s="128">
        <f>+Actuals!T173</f>
        <v>0</v>
      </c>
      <c r="X23" s="127">
        <f>+Actuals!U173</f>
        <v>0</v>
      </c>
      <c r="Y23" s="128">
        <f>+Actuals!V173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+Actuals!AE173</f>
        <v>0</v>
      </c>
      <c r="AI23" s="128">
        <f>+Actuals!AF173</f>
        <v>0</v>
      </c>
      <c r="AJ23" s="127">
        <f>+Actuals!AG173</f>
        <v>0</v>
      </c>
      <c r="AK23" s="128">
        <f>+Actuals!AH173</f>
        <v>0</v>
      </c>
      <c r="AL23" s="127">
        <f>+Actuals!AI173</f>
        <v>0</v>
      </c>
      <c r="AM23" s="128">
        <f>+Actuals!AJ173</f>
        <v>0</v>
      </c>
      <c r="AN23" s="127">
        <f>+Actuals!AK173</f>
        <v>0</v>
      </c>
      <c r="AO23" s="128">
        <f>+Actuals!AL173</f>
        <v>0</v>
      </c>
      <c r="AP23" s="127">
        <f>+Actuals!AM173</f>
        <v>0</v>
      </c>
      <c r="AQ23" s="128">
        <f>+Actuals!AN173</f>
        <v>0</v>
      </c>
    </row>
    <row r="24" spans="1:43" x14ac:dyDescent="0.2">
      <c r="A24" s="9"/>
      <c r="B24" s="7" t="s">
        <v>35</v>
      </c>
      <c r="C24" s="6"/>
      <c r="D24" s="61">
        <f t="shared" ref="D24:AA24" si="4">SUM(D19:D23)</f>
        <v>-123348824</v>
      </c>
      <c r="E24" s="39">
        <f t="shared" si="4"/>
        <v>-249614686.36200005</v>
      </c>
      <c r="F24" s="61">
        <f t="shared" si="4"/>
        <v>0</v>
      </c>
      <c r="G24" s="39">
        <f t="shared" si="4"/>
        <v>-416336.78</v>
      </c>
      <c r="H24" s="61">
        <f t="shared" si="4"/>
        <v>-126408363</v>
      </c>
      <c r="I24" s="39">
        <f t="shared" si="4"/>
        <v>-249845603.37000003</v>
      </c>
      <c r="J24" s="61">
        <f t="shared" si="4"/>
        <v>519492</v>
      </c>
      <c r="K24" s="148">
        <f t="shared" si="4"/>
        <v>-1922022.3959999999</v>
      </c>
      <c r="L24" s="61">
        <f t="shared" si="4"/>
        <v>-202520</v>
      </c>
      <c r="M24" s="39">
        <f t="shared" si="4"/>
        <v>-331323.42600000004</v>
      </c>
      <c r="N24" s="61">
        <f t="shared" si="4"/>
        <v>3129818</v>
      </c>
      <c r="O24" s="39">
        <f t="shared" si="4"/>
        <v>3862462.79</v>
      </c>
      <c r="P24" s="61">
        <f t="shared" si="4"/>
        <v>326</v>
      </c>
      <c r="Q24" s="39">
        <f t="shared" si="4"/>
        <v>-16412.310000000001</v>
      </c>
      <c r="R24" s="61">
        <f t="shared" si="4"/>
        <v>-1397</v>
      </c>
      <c r="S24" s="39">
        <f t="shared" si="4"/>
        <v>-2674.59</v>
      </c>
      <c r="T24" s="61">
        <f t="shared" si="4"/>
        <v>-1398610</v>
      </c>
      <c r="U24" s="39">
        <f t="shared" si="4"/>
        <v>-2941990.28</v>
      </c>
      <c r="V24" s="61">
        <f t="shared" si="4"/>
        <v>-1801916</v>
      </c>
      <c r="W24" s="39">
        <f t="shared" si="4"/>
        <v>-3575228</v>
      </c>
      <c r="X24" s="61">
        <f t="shared" si="4"/>
        <v>2814346</v>
      </c>
      <c r="Y24" s="39">
        <f t="shared" si="4"/>
        <v>5574442</v>
      </c>
      <c r="Z24" s="61">
        <f t="shared" si="4"/>
        <v>-2814346</v>
      </c>
      <c r="AA24" s="39">
        <f t="shared" si="4"/>
        <v>-5574442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2814346</v>
      </c>
      <c r="AE24" s="39">
        <f t="shared" si="5"/>
        <v>5574442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-1567.5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0</v>
      </c>
      <c r="K27" s="147">
        <f>+Actuals!H174</f>
        <v>-1567.5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+Actuals!AI174</f>
        <v>0</v>
      </c>
      <c r="AM27" s="128">
        <f>+Actuals!AJ174</f>
        <v>0</v>
      </c>
      <c r="AN27" s="127">
        <f>+Actuals!AK174</f>
        <v>0</v>
      </c>
      <c r="AO27" s="128">
        <f>+Actuals!AL174</f>
        <v>0</v>
      </c>
      <c r="AP27" s="127">
        <f>+Actuals!AM174</f>
        <v>0</v>
      </c>
      <c r="AQ27" s="128">
        <f>+Actuals!AN174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-2326676</v>
      </c>
      <c r="E28" s="38">
        <f>SUM(G28,I28,K28,M28,O28,Q28,S28,U28,W28,Y28,AA28,AC28,AE28,AG28)</f>
        <v>-4931433.41</v>
      </c>
      <c r="F28" s="81">
        <f>'TIE-OUT'!H28+RECLASS!H28</f>
        <v>0</v>
      </c>
      <c r="G28" s="82">
        <f>'TIE-OUT'!I28+RECLASS!I28</f>
        <v>0</v>
      </c>
      <c r="H28" s="127">
        <f>+Actuals!E175</f>
        <v>-2295840</v>
      </c>
      <c r="I28" s="128">
        <f>+Actuals!F175</f>
        <v>-4846687.04</v>
      </c>
      <c r="J28" s="127">
        <f>+Actuals!G175</f>
        <v>-27813</v>
      </c>
      <c r="K28" s="147">
        <f>+Actuals!H175</f>
        <v>-76021.98</v>
      </c>
      <c r="L28" s="127">
        <f>+Actuals!I175</f>
        <v>0</v>
      </c>
      <c r="M28" s="128">
        <f>+Actuals!J175</f>
        <v>-325.22000000000003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-3023</v>
      </c>
      <c r="S28" s="128">
        <f>+Actuals!P175</f>
        <v>-8399.17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+Actuals!AI175</f>
        <v>0</v>
      </c>
      <c r="AM28" s="128">
        <f>+Actuals!AJ175</f>
        <v>0</v>
      </c>
      <c r="AN28" s="127">
        <f>+Actuals!AK175</f>
        <v>0</v>
      </c>
      <c r="AO28" s="128">
        <f>+Actuals!AL175</f>
        <v>0</v>
      </c>
      <c r="AP28" s="127">
        <f>+Actuals!AM175</f>
        <v>0</v>
      </c>
      <c r="AQ28" s="128">
        <f>+Actuals!AN175</f>
        <v>0</v>
      </c>
    </row>
    <row r="29" spans="1:43" x14ac:dyDescent="0.2">
      <c r="A29" s="9"/>
      <c r="B29" s="7" t="s">
        <v>39</v>
      </c>
      <c r="C29" s="18"/>
      <c r="D29" s="61">
        <f t="shared" ref="D29:AA29" si="6">SUM(D27:D28)</f>
        <v>-2326676</v>
      </c>
      <c r="E29" s="39">
        <f t="shared" si="6"/>
        <v>-4933000.91</v>
      </c>
      <c r="F29" s="61">
        <f t="shared" si="6"/>
        <v>0</v>
      </c>
      <c r="G29" s="39">
        <f t="shared" si="6"/>
        <v>0</v>
      </c>
      <c r="H29" s="61">
        <f t="shared" si="6"/>
        <v>-2295840</v>
      </c>
      <c r="I29" s="39">
        <f t="shared" si="6"/>
        <v>-4846687.04</v>
      </c>
      <c r="J29" s="61">
        <f t="shared" si="6"/>
        <v>-27813</v>
      </c>
      <c r="K29" s="148">
        <f t="shared" si="6"/>
        <v>-77589.48</v>
      </c>
      <c r="L29" s="61">
        <f t="shared" si="6"/>
        <v>0</v>
      </c>
      <c r="M29" s="39">
        <f t="shared" si="6"/>
        <v>-325.22000000000003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-3023</v>
      </c>
      <c r="S29" s="39">
        <f t="shared" si="6"/>
        <v>-8399.17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299588</v>
      </c>
      <c r="E32" s="38">
        <f t="shared" si="8"/>
        <v>568618.196</v>
      </c>
      <c r="F32" s="64">
        <f>'TIE-OUT'!H32+RECLASS!H32</f>
        <v>0</v>
      </c>
      <c r="G32" s="68">
        <f>'TIE-OUT'!I32+RECLASS!I32</f>
        <v>0</v>
      </c>
      <c r="H32" s="127">
        <f>+Actuals!E176</f>
        <v>-254600</v>
      </c>
      <c r="I32" s="128">
        <f>+Actuals!F176</f>
        <v>-483230.8</v>
      </c>
      <c r="J32" s="127">
        <f>+Actuals!G176</f>
        <v>393564</v>
      </c>
      <c r="K32" s="147">
        <f>+Actuals!H176</f>
        <v>810491.02</v>
      </c>
      <c r="L32" s="127">
        <f>+Actuals!I176</f>
        <v>234252</v>
      </c>
      <c r="M32" s="128">
        <f>+Actuals!J176</f>
        <v>504638.24400000001</v>
      </c>
      <c r="N32" s="127">
        <f>+Actuals!K176</f>
        <v>-68628</v>
      </c>
      <c r="O32" s="128">
        <f>+Actuals!L176</f>
        <v>-142006.644</v>
      </c>
      <c r="P32" s="127">
        <f>+Actuals!M176</f>
        <v>630</v>
      </c>
      <c r="Q32" s="128">
        <f>+Actuals!N176</f>
        <v>326484.12</v>
      </c>
      <c r="R32" s="127">
        <f>+Actuals!O176</f>
        <v>1397</v>
      </c>
      <c r="S32" s="128">
        <f>+Actuals!P176</f>
        <v>-108825.58199999999</v>
      </c>
      <c r="T32" s="127">
        <f>+Actuals!Q176</f>
        <v>-7027</v>
      </c>
      <c r="U32" s="128">
        <f>+Actuals!R176</f>
        <v>-338932.16200000001</v>
      </c>
      <c r="V32" s="127">
        <f>+Actuals!S176</f>
        <v>0</v>
      </c>
      <c r="W32" s="128">
        <f>+Actuals!T176</f>
        <v>0</v>
      </c>
      <c r="X32" s="127">
        <f>+Actuals!U176</f>
        <v>0</v>
      </c>
      <c r="Y32" s="128">
        <f>+Actuals!V176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+Actuals!AE176</f>
        <v>0</v>
      </c>
      <c r="AI32" s="128">
        <f>+Actuals!AF176</f>
        <v>0</v>
      </c>
      <c r="AJ32" s="127">
        <f>+Actuals!AG176</f>
        <v>0</v>
      </c>
      <c r="AK32" s="128">
        <f>+Actuals!AH176</f>
        <v>0</v>
      </c>
      <c r="AL32" s="127">
        <f>+Actuals!AI176</f>
        <v>0</v>
      </c>
      <c r="AM32" s="128">
        <f>+Actuals!AJ176</f>
        <v>0</v>
      </c>
      <c r="AN32" s="127">
        <f>+Actuals!AK176</f>
        <v>0</v>
      </c>
      <c r="AO32" s="128">
        <f>+Actuals!AL176</f>
        <v>0</v>
      </c>
      <c r="AP32" s="127">
        <f>+Actuals!AM176</f>
        <v>0</v>
      </c>
      <c r="AQ32" s="128">
        <f>+Actuals!AN176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-529977</v>
      </c>
      <c r="E33" s="38">
        <f t="shared" si="8"/>
        <v>-1099530.46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-360677</v>
      </c>
      <c r="K33" s="147">
        <f>+Actuals!H177</f>
        <v>-756198.97</v>
      </c>
      <c r="L33" s="127">
        <f>+Actuals!I177</f>
        <v>-55948</v>
      </c>
      <c r="M33" s="128">
        <f>+Actuals!J177</f>
        <v>-115400.25</v>
      </c>
      <c r="N33" s="127">
        <f>+Actuals!K177</f>
        <v>-25887</v>
      </c>
      <c r="O33" s="128">
        <f>+Actuals!L177</f>
        <v>-54426.93</v>
      </c>
      <c r="P33" s="127">
        <f>+Actuals!M177</f>
        <v>-5</v>
      </c>
      <c r="Q33" s="128">
        <f>+Actuals!N177</f>
        <v>-9.91</v>
      </c>
      <c r="R33" s="127">
        <f>+Actuals!O177</f>
        <v>0</v>
      </c>
      <c r="S33" s="128">
        <f>+Actuals!P177</f>
        <v>0</v>
      </c>
      <c r="T33" s="127">
        <f>+Actuals!Q177</f>
        <v>-87460</v>
      </c>
      <c r="U33" s="128">
        <f>+Actuals!R177</f>
        <v>-173494.39999999999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+Actuals!AI177</f>
        <v>0</v>
      </c>
      <c r="AM33" s="128">
        <f>+Actuals!AJ177</f>
        <v>0</v>
      </c>
      <c r="AN33" s="127">
        <f>+Actuals!AK177</f>
        <v>0</v>
      </c>
      <c r="AO33" s="128">
        <f>+Actuals!AL177</f>
        <v>0</v>
      </c>
      <c r="AP33" s="127">
        <f>+Actuals!AM177</f>
        <v>0</v>
      </c>
      <c r="AQ33" s="128">
        <f>+Actuals!AN177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134471</v>
      </c>
      <c r="E34" s="38">
        <f t="shared" si="8"/>
        <v>268946.80000000005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24500</v>
      </c>
      <c r="K34" s="147">
        <f>+Actuals!H178</f>
        <v>50053.5</v>
      </c>
      <c r="L34" s="127">
        <f>+Actuals!I178</f>
        <v>175</v>
      </c>
      <c r="M34" s="128">
        <f>+Actuals!J178</f>
        <v>370.58</v>
      </c>
      <c r="N34" s="127">
        <f>+Actuals!K178</f>
        <v>97945</v>
      </c>
      <c r="O34" s="128">
        <f>+Actuals!L178</f>
        <v>195013.89</v>
      </c>
      <c r="P34" s="127">
        <f>+Actuals!M178</f>
        <v>0</v>
      </c>
      <c r="Q34" s="128">
        <f>+Actuals!N178</f>
        <v>0</v>
      </c>
      <c r="R34" s="127">
        <f>+Actuals!O178</f>
        <v>0</v>
      </c>
      <c r="S34" s="128">
        <f>+Actuals!P178</f>
        <v>0</v>
      </c>
      <c r="T34" s="127">
        <f>+Actuals!Q178</f>
        <v>11851</v>
      </c>
      <c r="U34" s="128">
        <f>+Actuals!R178</f>
        <v>23508.83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  <c r="AL34" s="127">
        <f>+Actuals!AI178</f>
        <v>0</v>
      </c>
      <c r="AM34" s="128">
        <f>+Actuals!AJ178</f>
        <v>0</v>
      </c>
      <c r="AN34" s="127">
        <f>+Actuals!AK178</f>
        <v>0</v>
      </c>
      <c r="AO34" s="128">
        <f>+Actuals!AL178</f>
        <v>0</v>
      </c>
      <c r="AP34" s="127">
        <f>+Actuals!AM178</f>
        <v>0</v>
      </c>
      <c r="AQ34" s="128">
        <f>+Actuals!AN178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-10006</v>
      </c>
      <c r="E35" s="38">
        <f t="shared" si="8"/>
        <v>18979.990000000002</v>
      </c>
      <c r="F35" s="81">
        <f>'TIE-OUT'!H35+RECLASS!H35</f>
        <v>0</v>
      </c>
      <c r="G35" s="82">
        <f>'TIE-OUT'!I35+RECLASS!I35</f>
        <v>0</v>
      </c>
      <c r="H35" s="127">
        <f>+Actuals!E179</f>
        <v>-10006</v>
      </c>
      <c r="I35" s="128">
        <f>+Actuals!F179</f>
        <v>-0.01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18980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f>+Actuals!AI179</f>
        <v>0</v>
      </c>
      <c r="AM35" s="128">
        <f>+Actuals!AJ179</f>
        <v>0</v>
      </c>
      <c r="AN35" s="127">
        <f>+Actuals!AK179</f>
        <v>0</v>
      </c>
      <c r="AO35" s="128">
        <f>+Actuals!AL179</f>
        <v>0</v>
      </c>
      <c r="AP35" s="127">
        <f>+Actuals!AM179</f>
        <v>0</v>
      </c>
      <c r="AQ35" s="128">
        <f>+Actuals!AN179</f>
        <v>0</v>
      </c>
    </row>
    <row r="36" spans="1:43" x14ac:dyDescent="0.2">
      <c r="A36" s="9"/>
      <c r="B36" s="7" t="s">
        <v>45</v>
      </c>
      <c r="C36" s="6"/>
      <c r="D36" s="61">
        <f t="shared" ref="D36:AA36" si="9">SUM(D32:D35)</f>
        <v>-105924</v>
      </c>
      <c r="E36" s="39">
        <f t="shared" si="9"/>
        <v>-242985.47399999993</v>
      </c>
      <c r="F36" s="61">
        <f t="shared" si="9"/>
        <v>0</v>
      </c>
      <c r="G36" s="39">
        <f t="shared" si="9"/>
        <v>0</v>
      </c>
      <c r="H36" s="61">
        <f t="shared" si="9"/>
        <v>-264606</v>
      </c>
      <c r="I36" s="39">
        <f t="shared" si="9"/>
        <v>-483230.81</v>
      </c>
      <c r="J36" s="61">
        <f t="shared" si="9"/>
        <v>57387</v>
      </c>
      <c r="K36" s="148">
        <f t="shared" si="9"/>
        <v>104345.55000000005</v>
      </c>
      <c r="L36" s="61">
        <f t="shared" si="9"/>
        <v>178479</v>
      </c>
      <c r="M36" s="39">
        <f t="shared" si="9"/>
        <v>389608.57400000002</v>
      </c>
      <c r="N36" s="61">
        <f t="shared" si="9"/>
        <v>3430</v>
      </c>
      <c r="O36" s="39">
        <f t="shared" si="9"/>
        <v>-1419.6839999999793</v>
      </c>
      <c r="P36" s="61">
        <f t="shared" si="9"/>
        <v>625</v>
      </c>
      <c r="Q36" s="39">
        <f t="shared" si="9"/>
        <v>326474.21000000002</v>
      </c>
      <c r="R36" s="61">
        <f t="shared" si="9"/>
        <v>1397</v>
      </c>
      <c r="S36" s="39">
        <f t="shared" si="9"/>
        <v>-108825.58199999999</v>
      </c>
      <c r="T36" s="61">
        <f t="shared" si="9"/>
        <v>-82636</v>
      </c>
      <c r="U36" s="39">
        <f t="shared" si="9"/>
        <v>-469937.73200000002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55703</v>
      </c>
      <c r="E39" s="38">
        <f t="shared" si="11"/>
        <v>73947.150000000023</v>
      </c>
      <c r="F39" s="64">
        <f>'TIE-OUT'!H39+RECLASS!H39</f>
        <v>0</v>
      </c>
      <c r="G39" s="68">
        <f>'TIE-OUT'!I39+RECLASS!I39</f>
        <v>0</v>
      </c>
      <c r="H39" s="127">
        <f>+Actuals!E180</f>
        <v>218177</v>
      </c>
      <c r="I39" s="128">
        <f>+Actuals!F180</f>
        <v>414099.95</v>
      </c>
      <c r="J39" s="127">
        <f>+Actuals!G180</f>
        <v>-164050</v>
      </c>
      <c r="K39" s="147">
        <f>+Actuals!H180</f>
        <v>-343144.05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1567</v>
      </c>
      <c r="S39" s="128">
        <f>+Actuals!P180</f>
        <v>2974.17</v>
      </c>
      <c r="T39" s="127">
        <f>+Actuals!Q180</f>
        <v>9</v>
      </c>
      <c r="U39" s="128">
        <f>+Actuals!R180</f>
        <v>17.079999999999998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f>+Actuals!AI180</f>
        <v>0</v>
      </c>
      <c r="AM39" s="128">
        <f>+Actuals!AJ180</f>
        <v>0</v>
      </c>
      <c r="AN39" s="127">
        <f>+Actuals!AK180</f>
        <v>0</v>
      </c>
      <c r="AO39" s="128">
        <f>+Actuals!AL180</f>
        <v>0</v>
      </c>
      <c r="AP39" s="127">
        <f>+Actuals!AM180</f>
        <v>0</v>
      </c>
      <c r="AQ39" s="128">
        <f>+Actuals!AN180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165506</v>
      </c>
      <c r="E40" s="38">
        <f t="shared" si="11"/>
        <v>345907.54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165506</v>
      </c>
      <c r="M40" s="128">
        <f>+Actuals!J181</f>
        <v>345907.54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+Actuals!AI181</f>
        <v>0</v>
      </c>
      <c r="AM40" s="128">
        <f>+Actuals!AJ181</f>
        <v>0</v>
      </c>
      <c r="AN40" s="127">
        <f>+Actuals!AK181</f>
        <v>0</v>
      </c>
      <c r="AO40" s="128">
        <f>+Actuals!AL181</f>
        <v>0</v>
      </c>
      <c r="AP40" s="127">
        <f>+Actuals!AM181</f>
        <v>0</v>
      </c>
      <c r="AQ40" s="128">
        <f>+Actuals!AN181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+Actuals!AI182</f>
        <v>0</v>
      </c>
      <c r="AM41" s="128">
        <f>+Actuals!AJ182</f>
        <v>0</v>
      </c>
      <c r="AN41" s="127">
        <f>+Actuals!AK182</f>
        <v>0</v>
      </c>
      <c r="AO41" s="128">
        <f>+Actuals!AL182</f>
        <v>0</v>
      </c>
      <c r="AP41" s="127">
        <f>+Actuals!AM182</f>
        <v>0</v>
      </c>
      <c r="AQ41" s="128">
        <f>+Actuals!AN182</f>
        <v>0</v>
      </c>
    </row>
    <row r="42" spans="1:43" x14ac:dyDescent="0.2">
      <c r="A42" s="9"/>
      <c r="B42" s="7"/>
      <c r="C42" s="53" t="s">
        <v>50</v>
      </c>
      <c r="D42" s="61">
        <f t="shared" ref="D42:AA42" si="12">SUM(D40:D41)</f>
        <v>165506</v>
      </c>
      <c r="E42" s="39">
        <f t="shared" si="12"/>
        <v>345907.54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165506</v>
      </c>
      <c r="M42" s="39">
        <f t="shared" si="12"/>
        <v>345907.54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AA43" si="14">D42+D39</f>
        <v>221209</v>
      </c>
      <c r="E43" s="39">
        <f t="shared" si="14"/>
        <v>419854.69</v>
      </c>
      <c r="F43" s="61">
        <f t="shared" si="14"/>
        <v>0</v>
      </c>
      <c r="G43" s="39">
        <f t="shared" si="14"/>
        <v>0</v>
      </c>
      <c r="H43" s="61">
        <f t="shared" si="14"/>
        <v>218177</v>
      </c>
      <c r="I43" s="39">
        <f t="shared" si="14"/>
        <v>414099.95</v>
      </c>
      <c r="J43" s="61">
        <f t="shared" si="14"/>
        <v>-164050</v>
      </c>
      <c r="K43" s="148">
        <f t="shared" si="14"/>
        <v>-343144.05</v>
      </c>
      <c r="L43" s="61">
        <f t="shared" si="14"/>
        <v>165506</v>
      </c>
      <c r="M43" s="39">
        <f t="shared" si="14"/>
        <v>345907.54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1567</v>
      </c>
      <c r="S43" s="39">
        <f t="shared" si="14"/>
        <v>2974.17</v>
      </c>
      <c r="T43" s="61">
        <f t="shared" si="14"/>
        <v>9</v>
      </c>
      <c r="U43" s="39">
        <f t="shared" si="14"/>
        <v>17.079999999999998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+Actuals!AI183</f>
        <v>0</v>
      </c>
      <c r="AM45" s="128">
        <f>+Actuals!AJ183</f>
        <v>0</v>
      </c>
      <c r="AN45" s="127">
        <f>+Actuals!AK183</f>
        <v>0</v>
      </c>
      <c r="AO45" s="128">
        <f>+Actuals!AL183</f>
        <v>0</v>
      </c>
      <c r="AP45" s="127">
        <f>+Actuals!AM183</f>
        <v>0</v>
      </c>
      <c r="AQ45" s="128">
        <f>+Actuals!AN183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+Actuals!AI184</f>
        <v>0</v>
      </c>
      <c r="AM47" s="128">
        <f>+Actuals!AJ184</f>
        <v>0</v>
      </c>
      <c r="AN47" s="127">
        <f>+Actuals!AK184</f>
        <v>0</v>
      </c>
      <c r="AO47" s="128">
        <f>+Actuals!AL184</f>
        <v>0</v>
      </c>
      <c r="AP47" s="127">
        <f>+Actuals!AM184</f>
        <v>0</v>
      </c>
      <c r="AQ47" s="128">
        <f>+Actuals!AN184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500879</v>
      </c>
      <c r="E49" s="38">
        <f>SUM(G49,I49,K49,M49,O49,Q49,S49,U49,W49,Y49,AA49,AC49,AE49,AG49)</f>
        <v>950668.34200000018</v>
      </c>
      <c r="F49" s="60">
        <f>'TIE-OUT'!H49+RECLASS!H49</f>
        <v>0</v>
      </c>
      <c r="G49" s="38">
        <f>'TIE-OUT'!I49+RECLASS!I49</f>
        <v>0</v>
      </c>
      <c r="H49" s="127">
        <f>+Actuals!E185</f>
        <v>1236509</v>
      </c>
      <c r="I49" s="128">
        <f>+Actuals!F185</f>
        <v>2346894.0819999999</v>
      </c>
      <c r="J49" s="127">
        <f>+Actuals!G185</f>
        <v>127139</v>
      </c>
      <c r="K49" s="147">
        <f>+Actuals!H185</f>
        <v>241309.82200000016</v>
      </c>
      <c r="L49" s="127">
        <f>+Actuals!I185</f>
        <v>-141267</v>
      </c>
      <c r="M49" s="128">
        <f>+Actuals!J185</f>
        <v>-268124.766</v>
      </c>
      <c r="N49" s="127">
        <f>+Actuals!K185</f>
        <v>-996397</v>
      </c>
      <c r="O49" s="128">
        <f>+Actuals!L185</f>
        <v>-1891161.5060000001</v>
      </c>
      <c r="P49" s="127">
        <f>+Actuals!M185</f>
        <v>-936</v>
      </c>
      <c r="Q49" s="128">
        <f>+Actuals!N185</f>
        <v>-1776.528</v>
      </c>
      <c r="R49" s="127">
        <f>+Actuals!O185</f>
        <v>1456</v>
      </c>
      <c r="S49" s="128">
        <f>+Actuals!P185</f>
        <v>2763.4879999999998</v>
      </c>
      <c r="T49" s="127">
        <f>+Actuals!Q185</f>
        <v>73281</v>
      </c>
      <c r="U49" s="128">
        <f>+Actuals!R185</f>
        <v>139087.33799999999</v>
      </c>
      <c r="V49" s="127">
        <f>+Actuals!S185</f>
        <v>0</v>
      </c>
      <c r="W49" s="128">
        <f>+Actuals!T185</f>
        <v>0</v>
      </c>
      <c r="X49" s="127">
        <f>+Actuals!U185</f>
        <v>201094</v>
      </c>
      <c r="Y49" s="128">
        <f>+Actuals!V185</f>
        <v>381676.41200000001</v>
      </c>
      <c r="Z49" s="127">
        <f>+Actuals!W265</f>
        <v>-201094</v>
      </c>
      <c r="AA49" s="128">
        <f>+Actuals!X265</f>
        <v>-381676.41200000001</v>
      </c>
      <c r="AB49" s="127">
        <f>+Actuals!Y265</f>
        <v>0</v>
      </c>
      <c r="AC49" s="128">
        <f>+Actuals!Z265</f>
        <v>0</v>
      </c>
      <c r="AD49" s="127">
        <f>+Actuals!AA265</f>
        <v>201094</v>
      </c>
      <c r="AE49" s="128">
        <f>+Actuals!AB265</f>
        <v>381676.41200000001</v>
      </c>
      <c r="AF49" s="127">
        <f>+Actuals!AC265</f>
        <v>0</v>
      </c>
      <c r="AG49" s="128">
        <f>+Actuals!AD265</f>
        <v>0</v>
      </c>
      <c r="AH49" s="127">
        <f>+Actuals!AE185</f>
        <v>0</v>
      </c>
      <c r="AI49" s="128">
        <f>+Actuals!AF185</f>
        <v>0</v>
      </c>
      <c r="AJ49" s="127">
        <f>+Actuals!AG185</f>
        <v>0</v>
      </c>
      <c r="AK49" s="128">
        <f>+Actuals!AH185</f>
        <v>0</v>
      </c>
      <c r="AL49" s="127">
        <f>+Actuals!AI185</f>
        <v>0</v>
      </c>
      <c r="AM49" s="128">
        <f>+Actuals!AJ185</f>
        <v>0</v>
      </c>
      <c r="AN49" s="127">
        <f>+Actuals!AK185</f>
        <v>0</v>
      </c>
      <c r="AO49" s="128">
        <f>+Actuals!AL185</f>
        <v>0</v>
      </c>
      <c r="AP49" s="127">
        <f>+Actuals!AM185</f>
        <v>0</v>
      </c>
      <c r="AQ49" s="128">
        <f>+Actuals!AN185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-242758</v>
      </c>
      <c r="E51" s="38">
        <f>SUM(G51,I51,K51,M51,O51,Q51,S51,U51,W51,Y51,AA51,AC51,AE51,AG51)</f>
        <v>-422432.16800000001</v>
      </c>
      <c r="F51" s="60">
        <f>'TIE-OUT'!H51+RECLASS!H51</f>
        <v>0</v>
      </c>
      <c r="G51" s="38">
        <f>'TIE-OUT'!I51+RECLASS!I51</f>
        <v>0</v>
      </c>
      <c r="H51" s="127">
        <f>+Actuals!E186</f>
        <v>-277886</v>
      </c>
      <c r="I51" s="128">
        <f>+Actuals!F186</f>
        <v>-527427.63</v>
      </c>
      <c r="J51" s="127">
        <f>+Actuals!G186</f>
        <v>33997</v>
      </c>
      <c r="K51" s="147">
        <f>+Actuals!H186</f>
        <v>64526.305999999997</v>
      </c>
      <c r="L51" s="127">
        <f>+Actuals!I186</f>
        <v>21322</v>
      </c>
      <c r="M51" s="128">
        <f>+Actuals!J186</f>
        <v>40469.156000000003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-20191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+Actuals!AE186</f>
        <v>0</v>
      </c>
      <c r="AI51" s="128">
        <f>+Actuals!AF186</f>
        <v>0</v>
      </c>
      <c r="AJ51" s="127">
        <f>+Actuals!AG186</f>
        <v>0</v>
      </c>
      <c r="AK51" s="128">
        <f>+Actuals!AH186</f>
        <v>0</v>
      </c>
      <c r="AL51" s="127">
        <f>+Actuals!AI186</f>
        <v>0</v>
      </c>
      <c r="AM51" s="128">
        <f>+Actuals!AJ186</f>
        <v>0</v>
      </c>
      <c r="AN51" s="127">
        <f>+Actuals!AK186</f>
        <v>0</v>
      </c>
      <c r="AO51" s="128">
        <f>+Actuals!AL186</f>
        <v>0</v>
      </c>
      <c r="AP51" s="127">
        <f>+Actuals!AM186</f>
        <v>0</v>
      </c>
      <c r="AQ51" s="128">
        <f>+Actuals!AN186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-19316374</v>
      </c>
      <c r="E54" s="38">
        <f>SUM(G54,I54,K54,M54,O54,Q54,S54,U54,W54,Y54,AA54,AC54,AE54,AG54)</f>
        <v>-654674.99999999988</v>
      </c>
      <c r="F54" s="64">
        <f>'TIE-OUT'!H54+RECLASS!H54</f>
        <v>0</v>
      </c>
      <c r="G54" s="68">
        <f>'TIE-OUT'!I54+RECLASS!I54</f>
        <v>0</v>
      </c>
      <c r="H54" s="127">
        <f>+Actuals!E187</f>
        <v>-26026889</v>
      </c>
      <c r="I54" s="128">
        <f>+Actuals!F187</f>
        <v>-685298.82</v>
      </c>
      <c r="J54" s="127">
        <f>+Actuals!G187</f>
        <v>6802819</v>
      </c>
      <c r="K54" s="147">
        <f>+Actuals!H187</f>
        <v>9071.390000000014</v>
      </c>
      <c r="L54" s="127">
        <f>+Actuals!I187</f>
        <v>-89742</v>
      </c>
      <c r="M54" s="128">
        <f>+Actuals!J187</f>
        <v>-22228.74</v>
      </c>
      <c r="N54" s="127">
        <f>+Actuals!K187</f>
        <v>-1192</v>
      </c>
      <c r="O54" s="128">
        <f>+Actuals!L187</f>
        <v>29317.79</v>
      </c>
      <c r="P54" s="127">
        <f>+Actuals!M187</f>
        <v>-1429</v>
      </c>
      <c r="Q54" s="128">
        <f>+Actuals!N187</f>
        <v>1963.88</v>
      </c>
      <c r="R54" s="127">
        <f>+Actuals!O187</f>
        <v>59</v>
      </c>
      <c r="S54" s="128">
        <f>+Actuals!P187</f>
        <v>12499.5</v>
      </c>
      <c r="T54" s="127">
        <f>+Actuals!Q187</f>
        <v>0</v>
      </c>
      <c r="U54" s="128">
        <f>+Actuals!R187</f>
        <v>0</v>
      </c>
      <c r="V54" s="127">
        <f>+Actuals!S187</f>
        <v>0</v>
      </c>
      <c r="W54" s="128">
        <f>+Actuals!T187</f>
        <v>0</v>
      </c>
      <c r="X54" s="127">
        <f>+Actuals!U187</f>
        <v>0</v>
      </c>
      <c r="Y54" s="128">
        <f>+Actuals!V187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  <c r="AF54" s="127">
        <f>+Actuals!AC267</f>
        <v>0</v>
      </c>
      <c r="AG54" s="128">
        <f>+Actuals!AD267</f>
        <v>0</v>
      </c>
      <c r="AH54" s="127">
        <f>+Actuals!AE187</f>
        <v>0</v>
      </c>
      <c r="AI54" s="128">
        <f>+Actuals!AF187</f>
        <v>0</v>
      </c>
      <c r="AJ54" s="127">
        <f>+Actuals!AG187</f>
        <v>0</v>
      </c>
      <c r="AK54" s="128">
        <f>+Actuals!AH187</f>
        <v>0</v>
      </c>
      <c r="AL54" s="127">
        <f>+Actuals!AI187</f>
        <v>0</v>
      </c>
      <c r="AM54" s="128">
        <f>+Actuals!AJ187</f>
        <v>0</v>
      </c>
      <c r="AN54" s="127">
        <f>+Actuals!AK187</f>
        <v>0</v>
      </c>
      <c r="AO54" s="128">
        <f>+Actuals!AL187</f>
        <v>0</v>
      </c>
      <c r="AP54" s="127">
        <f>+Actuals!AM187</f>
        <v>0</v>
      </c>
      <c r="AQ54" s="128">
        <f>+Actuals!AN187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-2099349.65</v>
      </c>
      <c r="F55" s="81">
        <f>'TIE-OUT'!H55+RECLASS!H55</f>
        <v>0</v>
      </c>
      <c r="G55" s="82">
        <f>'TIE-OUT'!I55+RECLASS!I55</f>
        <v>642852</v>
      </c>
      <c r="H55" s="127">
        <f>+Actuals!E188</f>
        <v>0</v>
      </c>
      <c r="I55" s="128">
        <f>+Actuals!F188</f>
        <v>-2500497.69</v>
      </c>
      <c r="J55" s="127">
        <f>+Actuals!G188</f>
        <v>0</v>
      </c>
      <c r="K55" s="147">
        <f>+Actuals!H188</f>
        <v>-200047.95</v>
      </c>
      <c r="L55" s="127">
        <f>+Actuals!I188</f>
        <v>0</v>
      </c>
      <c r="M55" s="128">
        <f>+Actuals!J188</f>
        <v>-6064.26</v>
      </c>
      <c r="N55" s="127">
        <f>+Actuals!K188</f>
        <v>0</v>
      </c>
      <c r="O55" s="128">
        <f>+Actuals!L188</f>
        <v>-47036.55</v>
      </c>
      <c r="P55" s="127">
        <f>+Actuals!M188</f>
        <v>0</v>
      </c>
      <c r="Q55" s="128">
        <f>+Actuals!N188</f>
        <v>33.4</v>
      </c>
      <c r="R55" s="127">
        <f>+Actuals!O188</f>
        <v>0</v>
      </c>
      <c r="S55" s="128">
        <f>+Actuals!P188</f>
        <v>11411.4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+Actuals!AI188</f>
        <v>0</v>
      </c>
      <c r="AM55" s="128">
        <f>+Actuals!AJ188</f>
        <v>0</v>
      </c>
      <c r="AN55" s="127">
        <f>+Actuals!AK188</f>
        <v>0</v>
      </c>
      <c r="AO55" s="128">
        <f>+Actuals!AL188</f>
        <v>0</v>
      </c>
      <c r="AP55" s="127">
        <f>+Actuals!AM188</f>
        <v>0</v>
      </c>
      <c r="AQ55" s="128">
        <f>+Actuals!AN188</f>
        <v>0</v>
      </c>
    </row>
    <row r="56" spans="1:43" x14ac:dyDescent="0.2">
      <c r="A56" s="9"/>
      <c r="B56" s="7" t="s">
        <v>59</v>
      </c>
      <c r="C56" s="6"/>
      <c r="D56" s="61">
        <f t="shared" ref="D56:AA56" si="16">SUM(D54:D55)</f>
        <v>-19316374</v>
      </c>
      <c r="E56" s="39">
        <f t="shared" si="16"/>
        <v>-2754024.65</v>
      </c>
      <c r="F56" s="61">
        <f t="shared" si="16"/>
        <v>0</v>
      </c>
      <c r="G56" s="39">
        <f t="shared" si="16"/>
        <v>642852</v>
      </c>
      <c r="H56" s="61">
        <f t="shared" si="16"/>
        <v>-26026889</v>
      </c>
      <c r="I56" s="39">
        <f t="shared" si="16"/>
        <v>-3185796.51</v>
      </c>
      <c r="J56" s="61">
        <f t="shared" si="16"/>
        <v>6802819</v>
      </c>
      <c r="K56" s="148">
        <f t="shared" si="16"/>
        <v>-190976.56</v>
      </c>
      <c r="L56" s="61">
        <f t="shared" si="16"/>
        <v>-89742</v>
      </c>
      <c r="M56" s="39">
        <f t="shared" si="16"/>
        <v>-28293</v>
      </c>
      <c r="N56" s="61">
        <f t="shared" si="16"/>
        <v>-1192</v>
      </c>
      <c r="O56" s="39">
        <f t="shared" si="16"/>
        <v>-17718.760000000002</v>
      </c>
      <c r="P56" s="61">
        <f t="shared" si="16"/>
        <v>-1429</v>
      </c>
      <c r="Q56" s="39">
        <f t="shared" si="16"/>
        <v>1997.2800000000002</v>
      </c>
      <c r="R56" s="61">
        <f t="shared" si="16"/>
        <v>59</v>
      </c>
      <c r="S56" s="39">
        <f t="shared" si="16"/>
        <v>23910.9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+Actuals!AI189</f>
        <v>0</v>
      </c>
      <c r="AM59" s="128">
        <f>+Actuals!AJ189</f>
        <v>0</v>
      </c>
      <c r="AN59" s="127">
        <f>+Actuals!AK189</f>
        <v>0</v>
      </c>
      <c r="AO59" s="128">
        <f>+Actuals!AL189</f>
        <v>0</v>
      </c>
      <c r="AP59" s="127">
        <f>+Actuals!AM189</f>
        <v>0</v>
      </c>
      <c r="AQ59" s="128">
        <f>+Actuals!AN189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+Actuals!AI190</f>
        <v>0</v>
      </c>
      <c r="AM60" s="128">
        <f>+Actuals!AJ190</f>
        <v>0</v>
      </c>
      <c r="AN60" s="127">
        <f>+Actuals!AK190</f>
        <v>0</v>
      </c>
      <c r="AO60" s="128">
        <f>+Actuals!AL190</f>
        <v>0</v>
      </c>
      <c r="AP60" s="127">
        <f>+Actuals!AM190</f>
        <v>0</v>
      </c>
      <c r="AQ60" s="128">
        <f>+Actuals!AN190</f>
        <v>0</v>
      </c>
    </row>
    <row r="61" spans="1:43" x14ac:dyDescent="0.2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+Actuals!AI191</f>
        <v>0</v>
      </c>
      <c r="AM64" s="128">
        <f>+Actuals!AJ191</f>
        <v>0</v>
      </c>
      <c r="AN64" s="127">
        <f>+Actuals!AK191</f>
        <v>0</v>
      </c>
      <c r="AO64" s="128">
        <f>+Actuals!AL191</f>
        <v>0</v>
      </c>
      <c r="AP64" s="127">
        <f>+Actuals!AM191</f>
        <v>0</v>
      </c>
      <c r="AQ64" s="128">
        <f>+Actuals!AN191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+Actuals!AI192</f>
        <v>0</v>
      </c>
      <c r="AM65" s="128">
        <f>+Actuals!AJ192</f>
        <v>0</v>
      </c>
      <c r="AN65" s="127">
        <f>+Actuals!AK192</f>
        <v>0</v>
      </c>
      <c r="AO65" s="128">
        <f>+Actuals!AL192</f>
        <v>0</v>
      </c>
      <c r="AP65" s="127">
        <f>+Actuals!AM192</f>
        <v>0</v>
      </c>
      <c r="AQ65" s="128">
        <f>+Actuals!AN192</f>
        <v>0</v>
      </c>
    </row>
    <row r="66" spans="1:43" x14ac:dyDescent="0.2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7684468.9400000004</v>
      </c>
      <c r="F70" s="64">
        <f>'TIE-OUT'!H70+RECLASS!H70</f>
        <v>0</v>
      </c>
      <c r="G70" s="68">
        <f>'TIE-OUT'!I70+RECLASS!I70</f>
        <v>7684468.9400000004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+Actuals!AI193</f>
        <v>0</v>
      </c>
      <c r="AM70" s="128">
        <f>+Actuals!AJ193</f>
        <v>0</v>
      </c>
      <c r="AN70" s="127">
        <f>+Actuals!AK193</f>
        <v>0</v>
      </c>
      <c r="AO70" s="128">
        <f>+Actuals!AL193</f>
        <v>0</v>
      </c>
      <c r="AP70" s="127">
        <f>+Actuals!AM193</f>
        <v>0</v>
      </c>
      <c r="AQ70" s="128">
        <f>+Actuals!AN193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-6061806</v>
      </c>
      <c r="F71" s="81">
        <f>'TIE-OUT'!H71+RECLASS!H71</f>
        <v>0</v>
      </c>
      <c r="G71" s="82">
        <f>'TIE-OUT'!I71+RECLASS!I71</f>
        <v>-6061806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+Actuals!AI194</f>
        <v>0</v>
      </c>
      <c r="AM71" s="128">
        <f>+Actuals!AJ194</f>
        <v>0</v>
      </c>
      <c r="AN71" s="127">
        <f>+Actuals!AK194</f>
        <v>0</v>
      </c>
      <c r="AO71" s="128">
        <f>+Actuals!AL194</f>
        <v>0</v>
      </c>
      <c r="AP71" s="127">
        <f>+Actuals!AM194</f>
        <v>0</v>
      </c>
      <c r="AQ71" s="128">
        <f>+Actuals!AN194</f>
        <v>0</v>
      </c>
    </row>
    <row r="72" spans="1:43" x14ac:dyDescent="0.2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1622662.9400000004</v>
      </c>
      <c r="F72" s="61">
        <f t="shared" si="22"/>
        <v>0</v>
      </c>
      <c r="G72" s="39">
        <f t="shared" si="22"/>
        <v>1622662.9400000004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+Actuals!AI195</f>
        <v>0</v>
      </c>
      <c r="AM73" s="128">
        <f>+Actuals!AJ195</f>
        <v>0</v>
      </c>
      <c r="AN73" s="127">
        <f>+Actuals!AK195</f>
        <v>0</v>
      </c>
      <c r="AO73" s="128">
        <f>+Actuals!AL195</f>
        <v>0</v>
      </c>
      <c r="AP73" s="127">
        <f>+Actuals!AM195</f>
        <v>0</v>
      </c>
      <c r="AQ73" s="128">
        <f>+Actuals!AN195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758679.64999999991</v>
      </c>
      <c r="F74" s="60">
        <f>'TIE-OUT'!H74+RECLASS!H74</f>
        <v>0</v>
      </c>
      <c r="G74" s="60">
        <f>'TIE-OUT'!I74+RECLASS!I74</f>
        <v>758679.64999999991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+Actuals!H196</f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+Actuals!AI196</f>
        <v>0</v>
      </c>
      <c r="AM74" s="128">
        <f>+Actuals!AJ196</f>
        <v>0</v>
      </c>
      <c r="AN74" s="127">
        <f>+Actuals!AK196</f>
        <v>0</v>
      </c>
      <c r="AO74" s="128">
        <f>+Actuals!AL196</f>
        <v>0</v>
      </c>
      <c r="AP74" s="127">
        <f>+Actuals!AM196</f>
        <v>0</v>
      </c>
      <c r="AQ74" s="128">
        <f>+Actuals!AN196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400</v>
      </c>
      <c r="F75" s="60">
        <f>'TIE-OUT'!H75+RECLASS!H75</f>
        <v>0</v>
      </c>
      <c r="G75" s="60">
        <f>'TIE-OUT'!I75+RECLASS!I75</f>
        <v>400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+Actuals!AI197</f>
        <v>0</v>
      </c>
      <c r="AM75" s="128">
        <f>+Actuals!AJ197</f>
        <v>0</v>
      </c>
      <c r="AN75" s="127">
        <f>+Actuals!AK197</f>
        <v>0</v>
      </c>
      <c r="AO75" s="128">
        <f>+Actuals!AL197</f>
        <v>0</v>
      </c>
      <c r="AP75" s="127">
        <f>+Actuals!AM197</f>
        <v>0</v>
      </c>
      <c r="AQ75" s="128">
        <f>+Actuals!AN197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-226594.83000000002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-27419.88</v>
      </c>
      <c r="J76" s="127">
        <f>+Actuals!G198</f>
        <v>0</v>
      </c>
      <c r="K76" s="147">
        <f>+Actuals!H198</f>
        <v>-199174.95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+Actuals!AI198</f>
        <v>0</v>
      </c>
      <c r="AM76" s="128">
        <f>+Actuals!AJ198</f>
        <v>0</v>
      </c>
      <c r="AN76" s="127">
        <f>+Actuals!AK198</f>
        <v>0</v>
      </c>
      <c r="AO76" s="128">
        <f>+Actuals!AL198</f>
        <v>0</v>
      </c>
      <c r="AP76" s="127">
        <f>+Actuals!AM198</f>
        <v>0</v>
      </c>
      <c r="AQ76" s="128">
        <f>+Actuals!AN198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-3036809</v>
      </c>
      <c r="F77" s="60">
        <f>'TIE-OUT'!H77+RECLASS!H77</f>
        <v>0</v>
      </c>
      <c r="G77" s="60">
        <f>'TIE-OUT'!I77+RECLASS!I77</f>
        <v>-3036809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+Actuals!AI199</f>
        <v>0</v>
      </c>
      <c r="AM77" s="128">
        <f>+Actuals!AJ199</f>
        <v>0</v>
      </c>
      <c r="AN77" s="127">
        <f>+Actuals!AK199</f>
        <v>0</v>
      </c>
      <c r="AO77" s="128">
        <f>+Actuals!AL199</f>
        <v>0</v>
      </c>
      <c r="AP77" s="127">
        <f>+Actuals!AM199</f>
        <v>0</v>
      </c>
      <c r="AQ77" s="128">
        <f>+Actuals!AN199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+Actuals!AI200</f>
        <v>0</v>
      </c>
      <c r="AM78" s="128">
        <f>+Actuals!AJ200</f>
        <v>0</v>
      </c>
      <c r="AN78" s="127">
        <f>+Actuals!AK200</f>
        <v>0</v>
      </c>
      <c r="AO78" s="128">
        <f>+Actuals!AL200</f>
        <v>0</v>
      </c>
      <c r="AP78" s="127">
        <f>+Actuals!AM200</f>
        <v>0</v>
      </c>
      <c r="AQ78" s="128">
        <f>+Actuals!AN200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+Actuals!AI201</f>
        <v>0</v>
      </c>
      <c r="AM79" s="128">
        <f>+Actuals!AJ201</f>
        <v>0</v>
      </c>
      <c r="AN79" s="127">
        <f>+Actuals!AK201</f>
        <v>0</v>
      </c>
      <c r="AO79" s="128">
        <f>+Actuals!AL201</f>
        <v>0</v>
      </c>
      <c r="AP79" s="127">
        <f>+Actuals!AM201</f>
        <v>0</v>
      </c>
      <c r="AQ79" s="128">
        <f>+Actuals!AN201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+Actuals!AI202</f>
        <v>0</v>
      </c>
      <c r="AM80" s="128">
        <f>+Actuals!AJ202</f>
        <v>0</v>
      </c>
      <c r="AN80" s="127">
        <f>+Actuals!AK202</f>
        <v>0</v>
      </c>
      <c r="AO80" s="128">
        <f>+Actuals!AL202</f>
        <v>0</v>
      </c>
      <c r="AP80" s="127">
        <f>+Actuals!AM202</f>
        <v>0</v>
      </c>
      <c r="AQ80" s="128">
        <f>+Actuals!AN202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354921.46</v>
      </c>
      <c r="F81" s="60">
        <f>'TIE-OUT'!H81+RECLASS!H81</f>
        <v>0</v>
      </c>
      <c r="G81" s="60">
        <f>'TIE-OUT'!I81+RECLASS!I81</f>
        <v>-197084</v>
      </c>
      <c r="H81" s="127">
        <f>+Actuals!E203</f>
        <v>0</v>
      </c>
      <c r="I81" s="128">
        <f>+Actuals!F203-465450+482252</f>
        <v>482252.07</v>
      </c>
      <c r="J81" s="127">
        <f>+Actuals!G203</f>
        <v>0</v>
      </c>
      <c r="K81" s="147">
        <f>+Actuals!H203</f>
        <v>69753.39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+Actuals!AI203</f>
        <v>0</v>
      </c>
      <c r="AM81" s="128">
        <f>+Actuals!AJ203</f>
        <v>0</v>
      </c>
      <c r="AN81" s="127">
        <f>+Actuals!AK203</f>
        <v>0</v>
      </c>
      <c r="AO81" s="128">
        <f>+Actuals!AL203</f>
        <v>0</v>
      </c>
      <c r="AP81" s="127">
        <f>+Actuals!AM203</f>
        <v>0</v>
      </c>
      <c r="AQ81" s="128">
        <f>+Actuals!AN203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-2016744.2120000552</v>
      </c>
      <c r="F82" s="92">
        <f>F16+F24+F29+F36+F43+F45+F47+F49</f>
        <v>0</v>
      </c>
      <c r="G82" s="93">
        <f>SUM(G72:G81)+G16+G24+G29+G36+G43+G45+G47+G49+G51+G56+G61+G66</f>
        <v>-4412196.22</v>
      </c>
      <c r="H82" s="92">
        <f>H16+H24+H29+H36+H43+H45+H47+H49</f>
        <v>0</v>
      </c>
      <c r="I82" s="93">
        <f>SUM(I72:I81)+I16+I24+I29+I36+I43+I45+I47+I49+I51+I56+I61+I66</f>
        <v>419950.02199995983</v>
      </c>
      <c r="J82" s="92">
        <f>J16+J24+J29+J36+J43+J45+J47+J49</f>
        <v>0</v>
      </c>
      <c r="K82" s="158">
        <f>SUM(K72:K81)+K16+K24+K29+K36+K43+K45+K47+K49+K51+K56+K61+K66</f>
        <v>12461221.511999998</v>
      </c>
      <c r="L82" s="92">
        <f>L16+L24+L29+L36+L43+L45+L47+L49</f>
        <v>0</v>
      </c>
      <c r="M82" s="93">
        <f>SUM(M72:M81)+M16+M24+M29+M36+M43+M45+M47+M49+M51+M56+M61+M66</f>
        <v>-43879.392000000007</v>
      </c>
      <c r="N82" s="92">
        <f>N16+N24+N29+N36+N43+N45+N47+N49</f>
        <v>0</v>
      </c>
      <c r="O82" s="93">
        <f>SUM(O72:O81)+O16+O24+O29+O36+O43+O45+O47+O49+O51+O56+O61+O66</f>
        <v>-667084.59999999986</v>
      </c>
      <c r="P82" s="92">
        <f>P16+P24+P29+P36+P43+P45+P47+P49</f>
        <v>0</v>
      </c>
      <c r="Q82" s="93">
        <f>SUM(Q72:Q81)+Q16+Q24+Q29+Q36+Q43+Q45+Q47+Q49+Q51+Q56+Q61+Q66</f>
        <v>337135.03200000006</v>
      </c>
      <c r="R82" s="92">
        <f>R16+R24+R29+R36+R43+R45+R47+R49</f>
        <v>0</v>
      </c>
      <c r="S82" s="93">
        <f>SUM(S72:S81)+S16+S24+S29+S36+S43+S45+S47+S49+S51+S56+S61+S66</f>
        <v>-90130.783999999985</v>
      </c>
      <c r="T82" s="92">
        <f>T16+T24+T29+T36+T43+T45+T47+T49</f>
        <v>0</v>
      </c>
      <c r="U82" s="93">
        <f>SUM(U72:U81)+U16+U24+U29+U36+U43+U45+U47+U49+U51+U56+U61+U66</f>
        <v>-10061344.194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39584.412000000011</v>
      </c>
      <c r="Z82" s="92">
        <f>Z16+Z24+Z29+Z36+Z43+Z45+Z47+Z49</f>
        <v>0</v>
      </c>
      <c r="AA82" s="93">
        <f>SUM(AA72:AA81)+AA16+AA24+AA29+AA36+AA43+AA45+AA47+AA49+AA51+AA56+AA61+AA66</f>
        <v>-39584.412000000011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39584.412000000011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 t="s">
        <v>178</v>
      </c>
      <c r="B85" s="3"/>
      <c r="F85" s="31"/>
      <c r="G85" s="31"/>
      <c r="H85" s="31"/>
      <c r="I85" s="31"/>
      <c r="K85"/>
      <c r="L85" s="45"/>
    </row>
    <row r="86" spans="1:43" s="3" customFormat="1" x14ac:dyDescent="0.2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76163.37</v>
      </c>
      <c r="F86" s="178">
        <f>'TIE-OUT'!H86+RECLASS!H86</f>
        <v>0</v>
      </c>
      <c r="G86" s="178">
        <f>'TIE-OUT'!I86+RECLASS!I86</f>
        <v>98335.37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f>-65000+42828</f>
        <v>-22172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</row>
    <row r="87" spans="1:43" s="3" customFormat="1" x14ac:dyDescent="0.2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'TIE-OUT'!H87+RECLASS!H87</f>
        <v>0</v>
      </c>
      <c r="G87" s="179">
        <f>'TIE-OUT'!I87+RECLASS!I87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</row>
    <row r="88" spans="1:43" s="3" customFormat="1" x14ac:dyDescent="0.2">
      <c r="A88" s="177"/>
      <c r="C88" s="10" t="s">
        <v>74</v>
      </c>
      <c r="D88" s="180">
        <f t="shared" si="26"/>
        <v>0</v>
      </c>
      <c r="E88" s="180">
        <f t="shared" si="26"/>
        <v>0</v>
      </c>
      <c r="F88" s="180">
        <f>'TIE-OUT'!H88+RECLASS!H88</f>
        <v>0</v>
      </c>
      <c r="G88" s="180">
        <f>'TIE-OUT'!I88+RECLASS!I88</f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</row>
    <row r="89" spans="1:43" s="143" customFormat="1" ht="20.25" customHeight="1" x14ac:dyDescent="0.2">
      <c r="A89" s="191"/>
      <c r="B89" s="192"/>
      <c r="C89" s="190" t="s">
        <v>184</v>
      </c>
      <c r="D89" s="193">
        <f>SUM(D86:D88)</f>
        <v>0</v>
      </c>
      <c r="E89" s="193">
        <f t="shared" ref="E89:M89" si="27">SUM(E86:E88)</f>
        <v>76163.37</v>
      </c>
      <c r="F89" s="193">
        <f t="shared" si="27"/>
        <v>0</v>
      </c>
      <c r="G89" s="193">
        <f t="shared" si="27"/>
        <v>98335.37</v>
      </c>
      <c r="H89" s="193">
        <f t="shared" si="27"/>
        <v>0</v>
      </c>
      <c r="I89" s="193">
        <f t="shared" si="27"/>
        <v>0</v>
      </c>
      <c r="J89" s="193">
        <f t="shared" si="27"/>
        <v>0</v>
      </c>
      <c r="K89" s="193">
        <f t="shared" si="27"/>
        <v>0</v>
      </c>
      <c r="L89" s="193">
        <f t="shared" si="27"/>
        <v>0</v>
      </c>
      <c r="M89" s="193">
        <f t="shared" si="27"/>
        <v>0</v>
      </c>
      <c r="N89" s="193">
        <f t="shared" ref="N89:AE89" si="28">SUM(N86:N88)</f>
        <v>0</v>
      </c>
      <c r="O89" s="193">
        <f t="shared" si="28"/>
        <v>0</v>
      </c>
      <c r="P89" s="193">
        <f t="shared" si="28"/>
        <v>0</v>
      </c>
      <c r="Q89" s="193">
        <f t="shared" si="28"/>
        <v>-22172</v>
      </c>
      <c r="R89" s="193">
        <f t="shared" si="28"/>
        <v>0</v>
      </c>
      <c r="S89" s="193">
        <f t="shared" si="28"/>
        <v>0</v>
      </c>
      <c r="T89" s="193">
        <f t="shared" si="28"/>
        <v>0</v>
      </c>
      <c r="U89" s="193">
        <f t="shared" si="28"/>
        <v>0</v>
      </c>
      <c r="V89" s="193">
        <f t="shared" si="28"/>
        <v>0</v>
      </c>
      <c r="W89" s="193">
        <f t="shared" si="28"/>
        <v>0</v>
      </c>
      <c r="X89" s="193">
        <f t="shared" si="28"/>
        <v>0</v>
      </c>
      <c r="Y89" s="193">
        <f t="shared" si="28"/>
        <v>0</v>
      </c>
      <c r="Z89" s="193">
        <f t="shared" si="28"/>
        <v>0</v>
      </c>
      <c r="AA89" s="193">
        <f t="shared" si="28"/>
        <v>0</v>
      </c>
      <c r="AB89" s="193">
        <f t="shared" si="28"/>
        <v>0</v>
      </c>
      <c r="AC89" s="193">
        <f t="shared" si="28"/>
        <v>0</v>
      </c>
      <c r="AD89" s="193">
        <f t="shared" si="28"/>
        <v>0</v>
      </c>
      <c r="AE89" s="193">
        <f t="shared" si="28"/>
        <v>0</v>
      </c>
      <c r="AF89" s="193">
        <f t="shared" ref="AF89:AQ89" si="29">SUM(AF86:AF88)</f>
        <v>0</v>
      </c>
      <c r="AG89" s="193">
        <f t="shared" si="29"/>
        <v>0</v>
      </c>
      <c r="AH89" s="193">
        <f t="shared" si="29"/>
        <v>0</v>
      </c>
      <c r="AI89" s="193">
        <f t="shared" si="29"/>
        <v>0</v>
      </c>
      <c r="AJ89" s="193">
        <f t="shared" si="29"/>
        <v>0</v>
      </c>
      <c r="AK89" s="193">
        <f t="shared" si="29"/>
        <v>0</v>
      </c>
      <c r="AL89" s="193">
        <f t="shared" si="29"/>
        <v>0</v>
      </c>
      <c r="AM89" s="193">
        <f t="shared" si="29"/>
        <v>0</v>
      </c>
      <c r="AN89" s="193">
        <f t="shared" si="29"/>
        <v>0</v>
      </c>
      <c r="AO89" s="193">
        <f t="shared" si="29"/>
        <v>0</v>
      </c>
      <c r="AP89" s="193">
        <f t="shared" si="29"/>
        <v>0</v>
      </c>
      <c r="AQ89" s="193">
        <f t="shared" si="29"/>
        <v>0</v>
      </c>
    </row>
    <row r="90" spans="1:43" x14ac:dyDescent="0.2">
      <c r="A90" s="4"/>
      <c r="B90" s="3"/>
      <c r="F90" s="31"/>
      <c r="G90" s="31"/>
      <c r="H90" s="31"/>
      <c r="I90" s="31"/>
      <c r="K90"/>
    </row>
    <row r="91" spans="1:43" s="143" customFormat="1" ht="20.25" customHeight="1" x14ac:dyDescent="0.2">
      <c r="A91" s="191"/>
      <c r="B91" s="192"/>
      <c r="C91" s="190" t="s">
        <v>187</v>
      </c>
      <c r="D91" s="193">
        <f>+D82+D89</f>
        <v>0</v>
      </c>
      <c r="E91" s="193">
        <f t="shared" ref="E91:M91" si="30">+E82+E89</f>
        <v>-1940580.8420000551</v>
      </c>
      <c r="F91" s="193">
        <f t="shared" si="30"/>
        <v>0</v>
      </c>
      <c r="G91" s="193">
        <f t="shared" si="30"/>
        <v>-4313860.8499999996</v>
      </c>
      <c r="H91" s="193">
        <f t="shared" si="30"/>
        <v>0</v>
      </c>
      <c r="I91" s="193">
        <f t="shared" si="30"/>
        <v>419950.02199995983</v>
      </c>
      <c r="J91" s="193">
        <f t="shared" si="30"/>
        <v>0</v>
      </c>
      <c r="K91" s="193">
        <f t="shared" si="30"/>
        <v>12461221.511999998</v>
      </c>
      <c r="L91" s="193">
        <f t="shared" si="30"/>
        <v>0</v>
      </c>
      <c r="M91" s="193">
        <f t="shared" si="30"/>
        <v>-43879.392000000007</v>
      </c>
      <c r="N91" s="193">
        <f t="shared" ref="N91:AE91" si="31">+N82+N89</f>
        <v>0</v>
      </c>
      <c r="O91" s="193">
        <f t="shared" si="31"/>
        <v>-667084.59999999986</v>
      </c>
      <c r="P91" s="193">
        <f t="shared" si="31"/>
        <v>0</v>
      </c>
      <c r="Q91" s="193">
        <f t="shared" si="31"/>
        <v>314963.03200000006</v>
      </c>
      <c r="R91" s="193">
        <f t="shared" si="31"/>
        <v>0</v>
      </c>
      <c r="S91" s="193">
        <f t="shared" si="31"/>
        <v>-90130.783999999985</v>
      </c>
      <c r="T91" s="193">
        <f t="shared" si="31"/>
        <v>0</v>
      </c>
      <c r="U91" s="193">
        <f t="shared" si="31"/>
        <v>-10061344.194</v>
      </c>
      <c r="V91" s="193">
        <f t="shared" si="31"/>
        <v>0</v>
      </c>
      <c r="W91" s="193">
        <f t="shared" si="31"/>
        <v>0</v>
      </c>
      <c r="X91" s="193">
        <f t="shared" si="31"/>
        <v>0</v>
      </c>
      <c r="Y91" s="193">
        <f t="shared" si="31"/>
        <v>39584.412000000011</v>
      </c>
      <c r="Z91" s="193">
        <f t="shared" si="31"/>
        <v>0</v>
      </c>
      <c r="AA91" s="193">
        <f t="shared" si="31"/>
        <v>-39584.412000000011</v>
      </c>
      <c r="AB91" s="193">
        <f t="shared" si="31"/>
        <v>0</v>
      </c>
      <c r="AC91" s="193">
        <f t="shared" si="31"/>
        <v>0</v>
      </c>
      <c r="AD91" s="193">
        <f t="shared" si="31"/>
        <v>0</v>
      </c>
      <c r="AE91" s="193">
        <f t="shared" si="31"/>
        <v>39584.412000000011</v>
      </c>
      <c r="AF91" s="193">
        <f t="shared" ref="AF91:AQ91" si="32">+AF82+AF89</f>
        <v>0</v>
      </c>
      <c r="AG91" s="193">
        <f t="shared" si="32"/>
        <v>0</v>
      </c>
      <c r="AH91" s="193">
        <f t="shared" si="32"/>
        <v>0</v>
      </c>
      <c r="AI91" s="193">
        <f t="shared" si="32"/>
        <v>0</v>
      </c>
      <c r="AJ91" s="193">
        <f t="shared" si="32"/>
        <v>0</v>
      </c>
      <c r="AK91" s="193">
        <f t="shared" si="32"/>
        <v>0</v>
      </c>
      <c r="AL91" s="193">
        <f t="shared" si="32"/>
        <v>0</v>
      </c>
      <c r="AM91" s="193">
        <f t="shared" si="32"/>
        <v>0</v>
      </c>
      <c r="AN91" s="193">
        <f t="shared" si="32"/>
        <v>0</v>
      </c>
      <c r="AO91" s="193">
        <f t="shared" si="32"/>
        <v>0</v>
      </c>
      <c r="AP91" s="193">
        <f t="shared" si="32"/>
        <v>0</v>
      </c>
      <c r="AQ91" s="193">
        <f t="shared" si="32"/>
        <v>0</v>
      </c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4"/>
  <sheetViews>
    <sheetView tabSelected="1" topLeftCell="A16" zoomScale="75" workbookViewId="0">
      <selection activeCell="B36" sqref="B36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171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0">
        <f>'CE-FLSH'!$M$82</f>
        <v>-100900.84472046234</v>
      </c>
      <c r="C11" s="60">
        <f>CE_GL!$E$82</f>
        <v>-1901547.7080000222</v>
      </c>
      <c r="D11" s="108">
        <f t="shared" ref="D11:D19" si="0">C11-B11</f>
        <v>-1800646.8632795599</v>
      </c>
      <c r="E11" s="31"/>
      <c r="F11" s="31">
        <f>CE_GL!G82</f>
        <v>-7032269.4699999988</v>
      </c>
      <c r="G11" s="31"/>
      <c r="H11" s="31"/>
    </row>
    <row r="12" spans="1:8" x14ac:dyDescent="0.2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-4412196.22</v>
      </c>
      <c r="G12" s="31"/>
      <c r="H12" s="31"/>
    </row>
    <row r="13" spans="1:8" x14ac:dyDescent="0.2">
      <c r="A13" s="102" t="s">
        <v>163</v>
      </c>
      <c r="B13" s="139">
        <f>'BGC-EGM-FLSH'!$M$82+'EAST-EGM-FLSH'!M82</f>
        <v>1161737.1113691651</v>
      </c>
      <c r="C13" s="60">
        <f>'BGC-EGM-GL'!$E$82+'EAST-EGM-GL'!E82</f>
        <v>-2016744.2120000552</v>
      </c>
      <c r="D13" s="108">
        <f t="shared" si="0"/>
        <v>-3178481.3233692204</v>
      </c>
      <c r="E13" s="31"/>
      <c r="F13" s="31">
        <f>'BGC-EGM-GL'!G82</f>
        <v>0</v>
      </c>
      <c r="G13" s="31"/>
      <c r="H13" s="31"/>
    </row>
    <row r="14" spans="1:8" x14ac:dyDescent="0.2">
      <c r="A14" s="102" t="s">
        <v>164</v>
      </c>
      <c r="B14" s="139">
        <f>'EAST-LRC-FLSH'!$M$82</f>
        <v>-4403951.9765562518</v>
      </c>
      <c r="C14" s="60">
        <f>'EAST-LRC-GL'!$E$82</f>
        <v>-1214601.5360000022</v>
      </c>
      <c r="D14" s="108">
        <f t="shared" si="0"/>
        <v>3189350.4405562496</v>
      </c>
      <c r="E14" s="31"/>
      <c r="F14" s="31">
        <f>'EAST-LRC-GL'!G82</f>
        <v>-105535.26000000001</v>
      </c>
      <c r="G14" s="31"/>
      <c r="H14" s="31"/>
    </row>
    <row r="15" spans="1:8" x14ac:dyDescent="0.2">
      <c r="A15" s="102" t="s">
        <v>178</v>
      </c>
      <c r="B15" s="139">
        <f>+'EAST-EGM-FLSH'!M89</f>
        <v>76163</v>
      </c>
      <c r="C15" s="60">
        <f>+'EAST-EGM-GL'!E89</f>
        <v>76163.37</v>
      </c>
      <c r="D15" s="108">
        <f>C15-B15</f>
        <v>0.36999999999534339</v>
      </c>
      <c r="E15" s="31"/>
      <c r="F15" s="31">
        <f>'EAST-LRC-GL'!G83</f>
        <v>0</v>
      </c>
      <c r="G15" s="31"/>
      <c r="H15" s="31"/>
    </row>
    <row r="16" spans="1:8" x14ac:dyDescent="0.2">
      <c r="A16" s="102" t="s">
        <v>17</v>
      </c>
      <c r="B16" s="139">
        <f>'TX-EGM-FLSH'!$M$82</f>
        <v>901522.31212170003</v>
      </c>
      <c r="C16" s="60">
        <f>'TX-EGM-GL'!$E$82</f>
        <v>2006169.2229999881</v>
      </c>
      <c r="D16" s="108">
        <f t="shared" si="0"/>
        <v>1104646.9108782881</v>
      </c>
      <c r="E16" s="31"/>
      <c r="F16" s="31">
        <f>'TX-EGM-GL'!G82</f>
        <v>-3542334.48</v>
      </c>
      <c r="G16" s="31"/>
      <c r="H16" s="31"/>
    </row>
    <row r="17" spans="1:8" x14ac:dyDescent="0.2">
      <c r="A17" s="102" t="s">
        <v>18</v>
      </c>
      <c r="B17" s="139">
        <f>'TX-HPL-FLSH'!$M$82</f>
        <v>53778.990112164873</v>
      </c>
      <c r="C17" s="60">
        <f>'TX-HPL-GL '!$E$82</f>
        <v>-1184057.9321999997</v>
      </c>
      <c r="D17" s="108">
        <f t="shared" si="0"/>
        <v>-1237836.9223121647</v>
      </c>
      <c r="E17" s="31"/>
      <c r="F17" s="31">
        <f>'TX-HPL-GL '!G82</f>
        <v>-685678.22</v>
      </c>
      <c r="G17" s="31"/>
      <c r="H17" s="31"/>
    </row>
    <row r="18" spans="1:8" x14ac:dyDescent="0.2">
      <c r="A18" s="102" t="s">
        <v>191</v>
      </c>
      <c r="B18" s="139">
        <f>'TX-EGM-FLSH'!$M$89</f>
        <v>602</v>
      </c>
      <c r="C18" s="60">
        <f>+'TX-EGM-GL'!E89</f>
        <v>966.14000000013039</v>
      </c>
      <c r="D18" s="108">
        <f>C18-B18</f>
        <v>364.14000000013039</v>
      </c>
      <c r="E18" s="31"/>
      <c r="F18" s="31">
        <f>'WE-GL '!G81</f>
        <v>0</v>
      </c>
      <c r="G18" s="31"/>
      <c r="H18" s="31"/>
    </row>
    <row r="19" spans="1:8" x14ac:dyDescent="0.2">
      <c r="A19" s="102" t="s">
        <v>19</v>
      </c>
      <c r="B19" s="139">
        <f>'WE-FLSH'!$M$82</f>
        <v>867666.30161481816</v>
      </c>
      <c r="C19" s="60">
        <f>'WE-GL '!$E$82</f>
        <v>1196649.5219999948</v>
      </c>
      <c r="D19" s="108">
        <f t="shared" si="0"/>
        <v>328983.2203851766</v>
      </c>
      <c r="E19" s="31"/>
      <c r="F19" s="31">
        <f>'WE-GL '!G82</f>
        <v>-1204254.1400000001</v>
      </c>
      <c r="G19" s="31"/>
      <c r="H19" s="31"/>
    </row>
    <row r="20" spans="1:8" x14ac:dyDescent="0.2">
      <c r="A20" s="102" t="s">
        <v>20</v>
      </c>
      <c r="B20" s="139">
        <f>STG_FLSH!$M$82</f>
        <v>305000</v>
      </c>
      <c r="C20" s="60">
        <f>STG_GL!$E$82</f>
        <v>2510094.6799999997</v>
      </c>
      <c r="D20" s="108">
        <f>C20-B20</f>
        <v>2205094.6799999997</v>
      </c>
      <c r="E20" s="31"/>
      <c r="F20" s="31">
        <f>STG_GL!G82</f>
        <v>7775423.6799999997</v>
      </c>
      <c r="G20" s="31"/>
      <c r="H20" s="31"/>
    </row>
    <row r="21" spans="1:8" x14ac:dyDescent="0.2">
      <c r="A21" s="102" t="s">
        <v>167</v>
      </c>
      <c r="B21" s="139">
        <f>ONT_FLSH!$M$82</f>
        <v>-91163.950000000012</v>
      </c>
      <c r="C21" s="60">
        <f>'ONT_GL '!$E$82</f>
        <v>287117.91999999597</v>
      </c>
      <c r="D21" s="108">
        <f>C21-B21</f>
        <v>378281.86999999598</v>
      </c>
      <c r="E21" s="31"/>
      <c r="F21" s="31">
        <f>'ONT_GL '!G82</f>
        <v>-953258.66</v>
      </c>
      <c r="G21" s="31"/>
      <c r="H21" s="31"/>
    </row>
    <row r="22" spans="1:8" x14ac:dyDescent="0.2">
      <c r="A22" s="102" t="s">
        <v>177</v>
      </c>
      <c r="B22" s="139">
        <f>ONT_FLSH!$M$89</f>
        <v>-29526</v>
      </c>
      <c r="C22" s="60">
        <f>+'ONT_GL '!E89</f>
        <v>-29525.88</v>
      </c>
      <c r="D22" s="108">
        <f>C22-B22</f>
        <v>0.11999999999898137</v>
      </c>
      <c r="E22" s="31"/>
      <c r="F22" s="31">
        <f>'ONT_GL '!G83</f>
        <v>0</v>
      </c>
      <c r="G22" s="31"/>
      <c r="H22" s="31"/>
    </row>
    <row r="23" spans="1:8" x14ac:dyDescent="0.2">
      <c r="A23" s="159" t="s">
        <v>116</v>
      </c>
      <c r="B23" s="139">
        <f>+BUG_FLSH!M82</f>
        <v>-114893.89905832335</v>
      </c>
      <c r="C23" s="60">
        <f>+BUG_GL!E82</f>
        <v>200842.25200000592</v>
      </c>
      <c r="D23" s="108">
        <f>C23-B23</f>
        <v>315736.15105832927</v>
      </c>
      <c r="E23" s="31"/>
      <c r="F23" s="31">
        <f>+BUG_GL!G82</f>
        <v>10010744.9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-1373966.9551171891</v>
      </c>
      <c r="C24" s="61">
        <f>SUM(C11:C23)</f>
        <v>-68474.16120009392</v>
      </c>
      <c r="D24" s="109">
        <f>SUM(D11:D23)</f>
        <v>1305492.7939170944</v>
      </c>
      <c r="E24" s="31"/>
      <c r="F24" s="61">
        <f>SUM(F11:F23)</f>
        <v>-149357.86999999918</v>
      </c>
      <c r="G24" s="31"/>
      <c r="H24" s="31"/>
    </row>
    <row r="25" spans="1:8" ht="21" customHeight="1" thickBot="1" x14ac:dyDescent="0.25">
      <c r="A25" s="103" t="s">
        <v>21</v>
      </c>
      <c r="B25" s="104">
        <f>TOTAL!$E$91</f>
        <v>-1373966.9551172087</v>
      </c>
      <c r="C25" s="104">
        <f>TOTAL!$G$91</f>
        <v>-68474.16120005527</v>
      </c>
      <c r="D25" s="110">
        <f>TOTAL!$I$91</f>
        <v>1305492.7939171067</v>
      </c>
      <c r="E25" s="31"/>
      <c r="F25" s="31">
        <f>'TIE-OUT'!E82+RECLASS!E82</f>
        <v>-149357.87000000599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1.9557774066925049E-8</v>
      </c>
      <c r="C27" s="45">
        <f>+C24-C25</f>
        <v>-3.8649886846542358E-8</v>
      </c>
      <c r="D27" s="45"/>
      <c r="E27" s="45"/>
      <c r="F27" s="45">
        <f>+F24-F25</f>
        <v>6.8102963268756866E-9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159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0">
        <f>+'[2]ST Warroom 99'!$B$42</f>
        <v>-1675369</v>
      </c>
      <c r="C30" s="161">
        <f>C11</f>
        <v>-1901547.7080000222</v>
      </c>
      <c r="D30" s="108">
        <f t="shared" ref="D30:D37" si="1">C30-B30</f>
        <v>-226178.70800002222</v>
      </c>
    </row>
    <row r="31" spans="1:8" x14ac:dyDescent="0.2">
      <c r="A31" s="102" t="s">
        <v>15</v>
      </c>
      <c r="B31" s="140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165</v>
      </c>
      <c r="B32" s="139">
        <f>+'[2]ST Warroom 99'!$C$42+'[2]ST Warroom 99'!$D$42+'[2]ST Warroom 99'!$E$42+'[2]ST Warroom 99'!$F$42</f>
        <v>-3155180</v>
      </c>
      <c r="C32" s="161">
        <f>C13+C14+C15</f>
        <v>-3155182.3780000573</v>
      </c>
      <c r="D32" s="108">
        <f t="shared" si="1"/>
        <v>-2.3780000573024154</v>
      </c>
    </row>
    <row r="33" spans="1:4" x14ac:dyDescent="0.2">
      <c r="A33" s="102" t="s">
        <v>160</v>
      </c>
      <c r="B33" s="139">
        <f>+'[2]ST Warroom 99'!$H$42+'[2]ST Warroom 99'!$I$42+'[2]ST Warroom 99'!$J$42+'[2]ST Warroom 99'!$K$42</f>
        <v>753878</v>
      </c>
      <c r="C33" s="60">
        <f>C16+C17+C18</f>
        <v>823077.43079998856</v>
      </c>
      <c r="D33" s="108">
        <f t="shared" si="1"/>
        <v>69199.430799988564</v>
      </c>
    </row>
    <row r="34" spans="1:4" x14ac:dyDescent="0.2">
      <c r="A34" s="102" t="s">
        <v>19</v>
      </c>
      <c r="B34" s="139">
        <f>+'[2]ST Warroom 99'!$L$42</f>
        <v>1205497</v>
      </c>
      <c r="C34" s="161">
        <f>C19</f>
        <v>1196649.5219999948</v>
      </c>
      <c r="D34" s="108">
        <f t="shared" si="1"/>
        <v>-8847.4780000052415</v>
      </c>
    </row>
    <row r="35" spans="1:4" x14ac:dyDescent="0.2">
      <c r="A35" s="102" t="s">
        <v>20</v>
      </c>
      <c r="B35" s="139">
        <f>+'[2]ST Warroom 99'!$M$42</f>
        <v>2510095</v>
      </c>
      <c r="C35" s="60">
        <f>C20</f>
        <v>2510094.6799999997</v>
      </c>
      <c r="D35" s="108">
        <f t="shared" si="1"/>
        <v>-0.32000000029802322</v>
      </c>
    </row>
    <row r="36" spans="1:4" x14ac:dyDescent="0.2">
      <c r="A36" s="102" t="s">
        <v>167</v>
      </c>
      <c r="B36" s="139">
        <f>+'[2]ST Warroom 99'!$O$42</f>
        <v>1027554</v>
      </c>
      <c r="C36" s="161">
        <f>+C21+C22</f>
        <v>257592.03999999596</v>
      </c>
      <c r="D36" s="108">
        <f t="shared" si="1"/>
        <v>-769961.96000000404</v>
      </c>
    </row>
    <row r="37" spans="1:4" x14ac:dyDescent="0.2">
      <c r="A37" s="159" t="s">
        <v>116</v>
      </c>
      <c r="B37" s="139">
        <f>+'[2]ST Warroom 99'!$G$42</f>
        <v>201713</v>
      </c>
      <c r="C37" s="161">
        <f>C23</f>
        <v>200842.25200000592</v>
      </c>
      <c r="D37" s="108">
        <f t="shared" si="1"/>
        <v>-870.74799999408424</v>
      </c>
    </row>
    <row r="38" spans="1:4" ht="13.5" thickBot="1" x14ac:dyDescent="0.25">
      <c r="A38" s="102" t="s">
        <v>10</v>
      </c>
      <c r="B38" s="61">
        <f>SUM(B30:B37)</f>
        <v>868188</v>
      </c>
      <c r="C38" s="61">
        <f>SUM(C30:C37)</f>
        <v>-68474.16120009392</v>
      </c>
      <c r="D38" s="109">
        <f>SUM(D30:D37)</f>
        <v>-936662.16120009462</v>
      </c>
    </row>
    <row r="39" spans="1:4" ht="13.5" thickBot="1" x14ac:dyDescent="0.25">
      <c r="A39" s="103" t="s">
        <v>161</v>
      </c>
      <c r="B39" s="104">
        <f>+B38</f>
        <v>868188</v>
      </c>
      <c r="C39" s="104">
        <f>TOTAL!$G$91</f>
        <v>-68474.16120005527</v>
      </c>
      <c r="D39" s="110">
        <f>C39-B39</f>
        <v>-936662.16120005527</v>
      </c>
    </row>
    <row r="41" spans="1:4" x14ac:dyDescent="0.2">
      <c r="C41" s="45">
        <f>C39-[1]OAvsACT!$C$45</f>
        <v>-8.5412000542273745</v>
      </c>
      <c r="D41" s="155">
        <f>-D39+[1]OAvsACT!$G$45</f>
        <v>8.5412000542273745</v>
      </c>
    </row>
    <row r="42" spans="1:4" x14ac:dyDescent="0.2">
      <c r="C42" s="45"/>
      <c r="D42" s="156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Q175"/>
  <sheetViews>
    <sheetView zoomScale="75" workbookViewId="0">
      <pane xSplit="3" ySplit="9" topLeftCell="P7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  <col min="75" max="104" width="0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>
        <f>CE_GL!ET8</f>
        <v>0</v>
      </c>
      <c r="AI8" s="27"/>
      <c r="AJ8" s="26">
        <f>CE_GL!EV8</f>
        <v>0</v>
      </c>
      <c r="AK8" s="27"/>
      <c r="AL8" s="26">
        <f>CE_GL!EX8</f>
        <v>0</v>
      </c>
      <c r="AM8" s="27"/>
      <c r="AN8" s="26">
        <f>CE_GL!EZ8</f>
        <v>0</v>
      </c>
      <c r="AO8" s="27"/>
      <c r="AP8" s="26">
        <f>CE_GL!FB8</f>
        <v>0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7068123</v>
      </c>
      <c r="E11" s="38">
        <f t="shared" si="0"/>
        <v>13761635.889999999</v>
      </c>
      <c r="F11" s="58">
        <f>'TIE-OUT'!J11+RECLASS!J11</f>
        <v>0</v>
      </c>
      <c r="G11" s="15">
        <f>'TIE-OUT'!K11+RECLASS!K11</f>
        <v>0</v>
      </c>
      <c r="H11" s="127">
        <f>+Actuals!E44</f>
        <v>7091384</v>
      </c>
      <c r="I11" s="128">
        <f>+Actuals!F44</f>
        <v>13977107.129999999</v>
      </c>
      <c r="J11" s="127">
        <f>+Actuals!G44</f>
        <v>-212902</v>
      </c>
      <c r="K11" s="147">
        <f>+Actuals!H44</f>
        <v>-613532.65</v>
      </c>
      <c r="L11" s="127">
        <f>+Actuals!I44</f>
        <v>0</v>
      </c>
      <c r="M11" s="128">
        <f>+Actuals!J44</f>
        <v>0.09</v>
      </c>
      <c r="N11" s="127">
        <f>+Actuals!K44</f>
        <v>72836</v>
      </c>
      <c r="O11" s="128">
        <f>+Actuals!L44</f>
        <v>136931.68</v>
      </c>
      <c r="P11" s="127">
        <f>+Actuals!M44</f>
        <v>0</v>
      </c>
      <c r="Q11" s="128">
        <f>+Actuals!N44</f>
        <v>0</v>
      </c>
      <c r="R11" s="127">
        <f>+Actuals!O44</f>
        <v>100000</v>
      </c>
      <c r="S11" s="128">
        <f>+Actuals!P44</f>
        <v>195170.01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16805</v>
      </c>
      <c r="AC11" s="128">
        <f>+Actuals!Z44</f>
        <v>65959.63</v>
      </c>
      <c r="AD11" s="127">
        <f>+Actuals!AA44</f>
        <v>0</v>
      </c>
      <c r="AE11" s="128">
        <f>+Actuals!AB44</f>
        <v>0</v>
      </c>
      <c r="AF11" s="127">
        <f>+Actuals!AC44</f>
        <v>0</v>
      </c>
      <c r="AG11" s="128">
        <f>+Actuals!AD44</f>
        <v>0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0</v>
      </c>
      <c r="AL11" s="127">
        <f>+Actuals!AI44</f>
        <v>0</v>
      </c>
      <c r="AM11" s="128">
        <f>+Actuals!AJ44</f>
        <v>0</v>
      </c>
      <c r="AN11" s="127">
        <f>+Actuals!AK44</f>
        <v>0</v>
      </c>
      <c r="AO11" s="128">
        <f>+Actuals!AL44</f>
        <v>0</v>
      </c>
      <c r="AP11" s="127">
        <f>+Actuals!AM44</f>
        <v>0</v>
      </c>
      <c r="AQ11" s="128">
        <f>+Actuals!AN44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154134.26999999999</v>
      </c>
      <c r="F12" s="58">
        <f>'TIE-OUT'!J12+RECLASS!J12</f>
        <v>0</v>
      </c>
      <c r="G12" s="15">
        <f>'TIE-OUT'!K12+RECLASS!K12</f>
        <v>154134.26999999999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47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  <c r="AN12" s="127">
        <f>+Actuals!AK45</f>
        <v>0</v>
      </c>
      <c r="AO12" s="128">
        <f>+Actuals!AL45</f>
        <v>0</v>
      </c>
      <c r="AP12" s="127">
        <f>+Actuals!AM45</f>
        <v>0</v>
      </c>
      <c r="AQ12" s="128">
        <f>+Actuals!AN45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  <c r="AN13" s="127">
        <f>+Actuals!AK46</f>
        <v>0</v>
      </c>
      <c r="AO13" s="128">
        <f>+Actuals!AL46</f>
        <v>0</v>
      </c>
      <c r="AP13" s="127">
        <f>+Actuals!AM46</f>
        <v>0</v>
      </c>
      <c r="AQ13" s="128">
        <f>+Actuals!AN46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  <c r="AN14" s="127">
        <f>+Actuals!AK47</f>
        <v>0</v>
      </c>
      <c r="AO14" s="128">
        <f>+Actuals!AL47</f>
        <v>0</v>
      </c>
      <c r="AP14" s="127">
        <f>+Actuals!AM47</f>
        <v>0</v>
      </c>
      <c r="AQ14" s="128">
        <f>+Actuals!AN47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  <c r="AN15" s="127">
        <f>+Actuals!AK48</f>
        <v>0</v>
      </c>
      <c r="AO15" s="128">
        <f>+Actuals!AL48</f>
        <v>0</v>
      </c>
      <c r="AP15" s="127">
        <f>+Actuals!AM48</f>
        <v>0</v>
      </c>
      <c r="AQ15" s="128">
        <f>+Actuals!AN48</f>
        <v>0</v>
      </c>
    </row>
    <row r="16" spans="1:43" x14ac:dyDescent="0.2">
      <c r="A16" s="9"/>
      <c r="B16" s="7" t="s">
        <v>32</v>
      </c>
      <c r="C16" s="6"/>
      <c r="D16" s="61">
        <f>SUM(D11:D15)</f>
        <v>7068123</v>
      </c>
      <c r="E16" s="39">
        <f>SUM(E11:E15)</f>
        <v>13915770.159999998</v>
      </c>
      <c r="F16" s="59">
        <f t="shared" ref="F16:AA16" si="1">SUM(F11:F15)</f>
        <v>0</v>
      </c>
      <c r="G16" s="23">
        <f t="shared" si="1"/>
        <v>154134.26999999999</v>
      </c>
      <c r="H16" s="61">
        <f t="shared" si="1"/>
        <v>7091384</v>
      </c>
      <c r="I16" s="39">
        <f t="shared" si="1"/>
        <v>13977107.129999999</v>
      </c>
      <c r="J16" s="61">
        <f t="shared" si="1"/>
        <v>-212902</v>
      </c>
      <c r="K16" s="148">
        <f t="shared" si="1"/>
        <v>-613532.65</v>
      </c>
      <c r="L16" s="61">
        <f t="shared" si="1"/>
        <v>0</v>
      </c>
      <c r="M16" s="39">
        <f t="shared" si="1"/>
        <v>0.09</v>
      </c>
      <c r="N16" s="61">
        <f t="shared" si="1"/>
        <v>72836</v>
      </c>
      <c r="O16" s="39">
        <f t="shared" si="1"/>
        <v>136931.68</v>
      </c>
      <c r="P16" s="61">
        <f t="shared" si="1"/>
        <v>0</v>
      </c>
      <c r="Q16" s="39">
        <f t="shared" si="1"/>
        <v>0</v>
      </c>
      <c r="R16" s="61">
        <f t="shared" si="1"/>
        <v>100000</v>
      </c>
      <c r="S16" s="39">
        <f t="shared" si="1"/>
        <v>195170.01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16805</v>
      </c>
      <c r="AC16" s="39">
        <f t="shared" si="2"/>
        <v>65959.63</v>
      </c>
      <c r="AD16" s="61">
        <f t="shared" si="2"/>
        <v>0</v>
      </c>
      <c r="AE16" s="39">
        <f t="shared" si="2"/>
        <v>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-1856613</v>
      </c>
      <c r="E19" s="38">
        <f t="shared" si="3"/>
        <v>-3655956.44</v>
      </c>
      <c r="F19" s="84">
        <f>'TIE-OUT'!J19+RECLASS!J19</f>
        <v>0</v>
      </c>
      <c r="G19" s="85">
        <f>'TIE-OUT'!K19+RECLASS!K19</f>
        <v>0</v>
      </c>
      <c r="H19" s="127">
        <f>+Actuals!E49</f>
        <v>-1857870</v>
      </c>
      <c r="I19" s="128">
        <f>+Actuals!F49</f>
        <v>-3675478.56</v>
      </c>
      <c r="J19" s="127">
        <f>+Actuals!G49</f>
        <v>95328</v>
      </c>
      <c r="K19" s="147">
        <f>+Actuals!H49+16470</f>
        <v>219819.48</v>
      </c>
      <c r="L19" s="127">
        <f>+Actuals!I49+5928</f>
        <v>5928</v>
      </c>
      <c r="M19" s="128">
        <f>+Actuals!J49+13479</f>
        <v>13153.68</v>
      </c>
      <c r="N19" s="127">
        <f>+Actuals!K49</f>
        <v>0</v>
      </c>
      <c r="O19" s="128">
        <f>+Actuals!L49</f>
        <v>0</v>
      </c>
      <c r="P19" s="127">
        <f>+Actuals!M49</f>
        <v>0</v>
      </c>
      <c r="Q19" s="128">
        <f>+Actuals!N49</f>
        <v>0</v>
      </c>
      <c r="R19" s="127">
        <f>+Actuals!O49</f>
        <v>-100000</v>
      </c>
      <c r="S19" s="128">
        <f>+Actuals!P49</f>
        <v>-212789.14</v>
      </c>
      <c r="T19" s="127">
        <f>+Actuals!Q49+1</f>
        <v>1</v>
      </c>
      <c r="U19" s="128">
        <f>+Actuals!R49-792</f>
        <v>-792</v>
      </c>
      <c r="V19" s="127">
        <f>+Actuals!S49</f>
        <v>0</v>
      </c>
      <c r="W19" s="128">
        <f>+Actuals!T49</f>
        <v>130.1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  <c r="AN19" s="127">
        <f>+Actuals!AK49</f>
        <v>0</v>
      </c>
      <c r="AO19" s="128">
        <f>+Actuals!AL49</f>
        <v>0</v>
      </c>
      <c r="AP19" s="127">
        <f>+Actuals!AM49</f>
        <v>0</v>
      </c>
      <c r="AQ19" s="128">
        <f>+Actuals!AN49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-259669.53</v>
      </c>
      <c r="F20" s="58">
        <f>'TIE-OUT'!J20+RECLASS!J20</f>
        <v>0</v>
      </c>
      <c r="G20" s="15">
        <f>'TIE-OUT'!K20+RECLASS!K20</f>
        <v>-259669.53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  <c r="AN20" s="127">
        <f>+Actuals!AK50</f>
        <v>0</v>
      </c>
      <c r="AO20" s="128">
        <f>+Actuals!AL50</f>
        <v>0</v>
      </c>
      <c r="AP20" s="127">
        <f>+Actuals!AM50</f>
        <v>0</v>
      </c>
      <c r="AQ20" s="128">
        <f>+Actuals!AN50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  <c r="AN21" s="127">
        <f>+Actuals!AK51</f>
        <v>0</v>
      </c>
      <c r="AO21" s="128">
        <f>+Actuals!AL51</f>
        <v>0</v>
      </c>
      <c r="AP21" s="127">
        <f>+Actuals!AM51</f>
        <v>0</v>
      </c>
      <c r="AQ21" s="128">
        <f>+Actuals!AN51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  <c r="AN22" s="127">
        <f>+Actuals!AK52</f>
        <v>0</v>
      </c>
      <c r="AO22" s="128">
        <f>+Actuals!AL52</f>
        <v>0</v>
      </c>
      <c r="AP22" s="127">
        <f>+Actuals!AM52</f>
        <v>0</v>
      </c>
      <c r="AQ22" s="128">
        <f>+Actuals!AN52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22461</v>
      </c>
      <c r="E23" s="38">
        <f t="shared" si="3"/>
        <v>48168.82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22461</v>
      </c>
      <c r="K23" s="147">
        <f>+Actuals!H53</f>
        <v>47196.63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-61</v>
      </c>
      <c r="U23" s="128">
        <f>+Actuals!R53</f>
        <v>850.19</v>
      </c>
      <c r="V23" s="127">
        <f>+Actuals!S53</f>
        <v>61</v>
      </c>
      <c r="W23" s="128">
        <f>+Actuals!T53</f>
        <v>122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  <c r="AN23" s="127">
        <f>+Actuals!AK53</f>
        <v>0</v>
      </c>
      <c r="AO23" s="128">
        <f>+Actuals!AL53</f>
        <v>0</v>
      </c>
      <c r="AP23" s="127">
        <f>+Actuals!AM53</f>
        <v>0</v>
      </c>
      <c r="AQ23" s="128">
        <f>+Actuals!AN53</f>
        <v>0</v>
      </c>
    </row>
    <row r="24" spans="1:43" x14ac:dyDescent="0.2">
      <c r="A24" s="9"/>
      <c r="B24" s="7" t="s">
        <v>35</v>
      </c>
      <c r="C24" s="6"/>
      <c r="D24" s="61">
        <f>SUM(D19:D23)</f>
        <v>-1834152</v>
      </c>
      <c r="E24" s="39">
        <f>SUM(E19:E23)</f>
        <v>-3867457.15</v>
      </c>
      <c r="F24" s="59">
        <f t="shared" ref="F24:AA24" si="4">SUM(F19:F23)</f>
        <v>0</v>
      </c>
      <c r="G24" s="23">
        <f t="shared" si="4"/>
        <v>-259669.53</v>
      </c>
      <c r="H24" s="61">
        <f t="shared" si="4"/>
        <v>-1857870</v>
      </c>
      <c r="I24" s="39">
        <f t="shared" si="4"/>
        <v>-3675478.56</v>
      </c>
      <c r="J24" s="61">
        <f t="shared" si="4"/>
        <v>117789</v>
      </c>
      <c r="K24" s="148">
        <f t="shared" si="4"/>
        <v>267016.11</v>
      </c>
      <c r="L24" s="61">
        <f t="shared" si="4"/>
        <v>5928</v>
      </c>
      <c r="M24" s="39">
        <f t="shared" si="4"/>
        <v>13153.68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-100000</v>
      </c>
      <c r="S24" s="39">
        <f t="shared" si="4"/>
        <v>-212789.14</v>
      </c>
      <c r="T24" s="61">
        <f t="shared" si="4"/>
        <v>-60</v>
      </c>
      <c r="U24" s="39">
        <f t="shared" si="4"/>
        <v>58.190000000000055</v>
      </c>
      <c r="V24" s="61">
        <f t="shared" si="4"/>
        <v>61</v>
      </c>
      <c r="W24" s="39">
        <f t="shared" si="4"/>
        <v>252.1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2374919</v>
      </c>
      <c r="E27" s="38">
        <f>SUM(G27,I27,K27,M27,O27,Q27,S27,U27,W27,Y27,AA27,AC27,AE27,AG27)</f>
        <v>5030088.0900000017</v>
      </c>
      <c r="F27" s="84">
        <f>'TIE-OUT'!J27+RECLASS!J27</f>
        <v>0</v>
      </c>
      <c r="G27" s="85">
        <f>'TIE-OUT'!K27+RECLASS!K27</f>
        <v>0</v>
      </c>
      <c r="H27" s="127">
        <f>+Actuals!E54+568150</f>
        <v>3500098</v>
      </c>
      <c r="I27" s="128">
        <f>+Actuals!F54+1174703</f>
        <v>7081904.4699999997</v>
      </c>
      <c r="J27" s="127">
        <f>+Actuals!G54</f>
        <v>-858636</v>
      </c>
      <c r="K27" s="147">
        <f>+Actuals!H54</f>
        <v>-1498648.73</v>
      </c>
      <c r="L27" s="127">
        <f>+Actuals!I54</f>
        <v>0</v>
      </c>
      <c r="M27" s="128">
        <f>+Actuals!J54</f>
        <v>-0.01</v>
      </c>
      <c r="N27" s="127">
        <f>+Actuals!K54</f>
        <v>-29845</v>
      </c>
      <c r="O27" s="128">
        <f>+Actuals!L54</f>
        <v>-69052.87</v>
      </c>
      <c r="P27" s="127">
        <f>+Actuals!M54</f>
        <v>7535</v>
      </c>
      <c r="Q27" s="128">
        <f>+Actuals!N54</f>
        <v>15070</v>
      </c>
      <c r="R27" s="127">
        <f>+Actuals!O54</f>
        <v>-232817</v>
      </c>
      <c r="S27" s="128">
        <f>+Actuals!P54</f>
        <v>-471909.38</v>
      </c>
      <c r="T27" s="127">
        <f>+Actuals!Q54+2356</f>
        <v>38026</v>
      </c>
      <c r="U27" s="128">
        <f>+Actuals!R54+4712</f>
        <v>83284.95</v>
      </c>
      <c r="V27" s="127">
        <f>+Actuals!S54</f>
        <v>-84440</v>
      </c>
      <c r="W27" s="128">
        <f>+Actuals!T54</f>
        <v>-179997.39</v>
      </c>
      <c r="X27" s="127">
        <f>+Actuals!U54</f>
        <v>4653</v>
      </c>
      <c r="Y27" s="128">
        <f>+Actuals!V54</f>
        <v>8727.48</v>
      </c>
      <c r="Z27" s="127">
        <f>+Actuals!W54</f>
        <v>30345</v>
      </c>
      <c r="AA27" s="128">
        <f>+Actuals!X54</f>
        <v>60709.57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  <c r="AN27" s="127">
        <f>+Actuals!AK54</f>
        <v>0</v>
      </c>
      <c r="AO27" s="128">
        <f>+Actuals!AL54</f>
        <v>0</v>
      </c>
      <c r="AP27" s="127">
        <f>+Actuals!AM54</f>
        <v>0</v>
      </c>
      <c r="AQ27" s="128">
        <f>+Actuals!AN54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-8603422</v>
      </c>
      <c r="E28" s="38">
        <f>SUM(G28,I28,K28,M28,O28,Q28,S28,U28,W28,Y28,AA28,AC28,AE28,AG28)</f>
        <v>-18354390.280000001</v>
      </c>
      <c r="F28" s="98">
        <f>'TIE-OUT'!J28+RECLASS!J28</f>
        <v>0</v>
      </c>
      <c r="G28" s="99">
        <f>'TIE-OUT'!K28+RECLASS!K28</f>
        <v>0</v>
      </c>
      <c r="H28" s="127">
        <f>+Actuals!E55-646515</f>
        <v>-9894603</v>
      </c>
      <c r="I28" s="128">
        <f>+Actuals!F55-1339395</f>
        <v>-20985865.789999999</v>
      </c>
      <c r="J28" s="127">
        <f>+Actuals!G55</f>
        <v>1025364</v>
      </c>
      <c r="K28" s="147">
        <f>+Actuals!H55-16470</f>
        <v>2187274.1</v>
      </c>
      <c r="L28" s="127">
        <f>+Actuals!I55</f>
        <v>0</v>
      </c>
      <c r="M28" s="128">
        <f>+Actuals!J55</f>
        <v>0</v>
      </c>
      <c r="N28" s="127">
        <f>+Actuals!K55</f>
        <v>21448</v>
      </c>
      <c r="O28" s="128">
        <f>+Actuals!L55</f>
        <v>47780.38</v>
      </c>
      <c r="P28" s="127">
        <f>+Actuals!M55</f>
        <v>-24032</v>
      </c>
      <c r="Q28" s="128">
        <f>+Actuals!N55</f>
        <v>14532.86</v>
      </c>
      <c r="R28" s="127">
        <f>+Actuals!O55</f>
        <v>112654</v>
      </c>
      <c r="S28" s="128">
        <f>+Actuals!P55</f>
        <v>61062.720000000001</v>
      </c>
      <c r="T28" s="127">
        <f>+Actuals!Q55-10195+7838</f>
        <v>106304</v>
      </c>
      <c r="U28" s="128">
        <f>+Actuals!R55-20390+16470</f>
        <v>210609.18</v>
      </c>
      <c r="V28" s="127">
        <f>+Actuals!S55</f>
        <v>14249</v>
      </c>
      <c r="W28" s="128">
        <f>+Actuals!T55</f>
        <v>33417.49</v>
      </c>
      <c r="X28" s="127">
        <f>+Actuals!U55</f>
        <v>65538</v>
      </c>
      <c r="Y28" s="128">
        <f>+Actuals!V55</f>
        <v>136288.69</v>
      </c>
      <c r="Z28" s="127">
        <f>+Actuals!W55</f>
        <v>-30345</v>
      </c>
      <c r="AA28" s="128">
        <f>+Actuals!X55</f>
        <v>-59491.15</v>
      </c>
      <c r="AB28" s="127">
        <f>+Actuals!Y55</f>
        <v>0</v>
      </c>
      <c r="AC28" s="128">
        <f>+Actuals!Z55</f>
        <v>1.24</v>
      </c>
      <c r="AD28" s="127">
        <f>+Actuals!AA55</f>
        <v>1</v>
      </c>
      <c r="AE28" s="128">
        <f>+Actuals!AB55</f>
        <v>2</v>
      </c>
      <c r="AF28" s="127">
        <f>+Actuals!AC55</f>
        <v>0</v>
      </c>
      <c r="AG28" s="128">
        <f>+Actuals!AD55</f>
        <v>-2</v>
      </c>
      <c r="AH28" s="127">
        <f>+Actuals!AE55</f>
        <v>0</v>
      </c>
      <c r="AI28" s="128">
        <f>+Actuals!AF55</f>
        <v>0</v>
      </c>
      <c r="AJ28" s="127">
        <f>+Actuals!AG55</f>
        <v>0</v>
      </c>
      <c r="AK28" s="128">
        <f>+Actuals!AH55</f>
        <v>0</v>
      </c>
      <c r="AL28" s="127">
        <f>+Actuals!AI55</f>
        <v>0</v>
      </c>
      <c r="AM28" s="128">
        <f>+Actuals!AJ55</f>
        <v>0</v>
      </c>
      <c r="AN28" s="127">
        <f>+Actuals!AK55</f>
        <v>0</v>
      </c>
      <c r="AO28" s="128">
        <f>+Actuals!AL55</f>
        <v>0</v>
      </c>
      <c r="AP28" s="127">
        <f>+Actuals!AM55</f>
        <v>0</v>
      </c>
      <c r="AQ28" s="128">
        <f>+Actuals!AN55</f>
        <v>0</v>
      </c>
    </row>
    <row r="29" spans="1:43" x14ac:dyDescent="0.2">
      <c r="A29" s="9"/>
      <c r="B29" s="7" t="s">
        <v>39</v>
      </c>
      <c r="C29" s="18"/>
      <c r="D29" s="61">
        <f>SUM(D27:D28)</f>
        <v>-6228503</v>
      </c>
      <c r="E29" s="39">
        <f>SUM(E27:E28)</f>
        <v>-13324302.189999999</v>
      </c>
      <c r="F29" s="59">
        <f t="shared" ref="F29:AA29" si="6">SUM(F27:F28)</f>
        <v>0</v>
      </c>
      <c r="G29" s="23">
        <f t="shared" si="6"/>
        <v>0</v>
      </c>
      <c r="H29" s="61">
        <f t="shared" si="6"/>
        <v>-6394505</v>
      </c>
      <c r="I29" s="39">
        <f t="shared" si="6"/>
        <v>-13903961.32</v>
      </c>
      <c r="J29" s="61">
        <f t="shared" si="6"/>
        <v>166728</v>
      </c>
      <c r="K29" s="148">
        <f t="shared" si="6"/>
        <v>688625.37000000011</v>
      </c>
      <c r="L29" s="61">
        <f t="shared" si="6"/>
        <v>0</v>
      </c>
      <c r="M29" s="39">
        <f t="shared" si="6"/>
        <v>-0.01</v>
      </c>
      <c r="N29" s="61">
        <f t="shared" si="6"/>
        <v>-8397</v>
      </c>
      <c r="O29" s="39">
        <f t="shared" si="6"/>
        <v>-21272.489999999998</v>
      </c>
      <c r="P29" s="61">
        <f t="shared" si="6"/>
        <v>-16497</v>
      </c>
      <c r="Q29" s="39">
        <f t="shared" si="6"/>
        <v>29602.86</v>
      </c>
      <c r="R29" s="61">
        <f t="shared" si="6"/>
        <v>-120163</v>
      </c>
      <c r="S29" s="39">
        <f t="shared" si="6"/>
        <v>-410846.66000000003</v>
      </c>
      <c r="T29" s="61">
        <f t="shared" si="6"/>
        <v>144330</v>
      </c>
      <c r="U29" s="39">
        <f t="shared" si="6"/>
        <v>293894.13</v>
      </c>
      <c r="V29" s="61">
        <f t="shared" si="6"/>
        <v>-70191</v>
      </c>
      <c r="W29" s="39">
        <f t="shared" si="6"/>
        <v>-146579.90000000002</v>
      </c>
      <c r="X29" s="61">
        <f t="shared" si="6"/>
        <v>70191</v>
      </c>
      <c r="Y29" s="39">
        <f t="shared" si="6"/>
        <v>145016.17000000001</v>
      </c>
      <c r="Z29" s="61">
        <f t="shared" si="6"/>
        <v>0</v>
      </c>
      <c r="AA29" s="39">
        <f t="shared" si="6"/>
        <v>1218.4199999999983</v>
      </c>
      <c r="AB29" s="61">
        <f t="shared" ref="AB29:AQ29" si="7">SUM(AB27:AB28)</f>
        <v>0</v>
      </c>
      <c r="AC29" s="39">
        <f t="shared" si="7"/>
        <v>1.24</v>
      </c>
      <c r="AD29" s="61">
        <f t="shared" si="7"/>
        <v>1</v>
      </c>
      <c r="AE29" s="39">
        <f t="shared" si="7"/>
        <v>2</v>
      </c>
      <c r="AF29" s="61">
        <f>SUM(AF27:AF28)</f>
        <v>0</v>
      </c>
      <c r="AG29" s="39">
        <f>SUM(AG27:AG28)</f>
        <v>-2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-10921</v>
      </c>
      <c r="E32" s="38">
        <f t="shared" si="8"/>
        <v>-20728.053000000044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15790</v>
      </c>
      <c r="K32" s="147">
        <f>+Actuals!H56</f>
        <v>29969.42</v>
      </c>
      <c r="L32" s="127">
        <f>+Actuals!I56</f>
        <v>37155</v>
      </c>
      <c r="M32" s="128">
        <f>+Actuals!J56</f>
        <v>98997.95</v>
      </c>
      <c r="N32" s="127">
        <f>+Actuals!K56</f>
        <v>0</v>
      </c>
      <c r="O32" s="128">
        <f>+Actuals!L56</f>
        <v>-6671.07</v>
      </c>
      <c r="P32" s="127">
        <f>+Actuals!M56</f>
        <v>32079</v>
      </c>
      <c r="Q32" s="128">
        <f>+Actuals!N56</f>
        <v>74564.955000000002</v>
      </c>
      <c r="R32" s="127">
        <f>+Actuals!O56</f>
        <v>0</v>
      </c>
      <c r="S32" s="128">
        <f>+Actuals!P56</f>
        <v>29673.376</v>
      </c>
      <c r="T32" s="127">
        <f>+Actuals!Q56</f>
        <v>0</v>
      </c>
      <c r="U32" s="128">
        <f>+Actuals!R56</f>
        <v>24146.815999999999</v>
      </c>
      <c r="V32" s="127">
        <f>+Actuals!S56</f>
        <v>414</v>
      </c>
      <c r="W32" s="128">
        <f>+Actuals!T56</f>
        <v>-88520.118000000002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-96359</v>
      </c>
      <c r="AC32" s="128">
        <f>+Actuals!Z56</f>
        <v>-182889.38200000001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  <c r="AN32" s="127">
        <f>+Actuals!AK56</f>
        <v>0</v>
      </c>
      <c r="AO32" s="128">
        <f>+Actuals!AL56</f>
        <v>0</v>
      </c>
      <c r="AP32" s="127">
        <f>+Actuals!AM56</f>
        <v>0</v>
      </c>
      <c r="AQ32" s="128">
        <f>+Actuals!AN56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f>+Actuals!AI57</f>
        <v>0</v>
      </c>
      <c r="AM33" s="128">
        <f>+Actuals!AJ57</f>
        <v>0</v>
      </c>
      <c r="AN33" s="127">
        <f>+Actuals!AK57</f>
        <v>0</v>
      </c>
      <c r="AO33" s="128">
        <f>+Actuals!AL57</f>
        <v>0</v>
      </c>
      <c r="AP33" s="127">
        <f>+Actuals!AM57</f>
        <v>0</v>
      </c>
      <c r="AQ33" s="128">
        <f>+Actuals!AN57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  <c r="AN34" s="127">
        <f>+Actuals!AK58</f>
        <v>0</v>
      </c>
      <c r="AO34" s="128">
        <f>+Actuals!AL58</f>
        <v>0</v>
      </c>
      <c r="AP34" s="127">
        <f>+Actuals!AM58</f>
        <v>0</v>
      </c>
      <c r="AQ34" s="128">
        <f>+Actuals!AN58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  <c r="AN35" s="127">
        <f>+Actuals!AK59</f>
        <v>0</v>
      </c>
      <c r="AO35" s="128">
        <f>+Actuals!AL59</f>
        <v>0</v>
      </c>
      <c r="AP35" s="127">
        <f>+Actuals!AM59</f>
        <v>0</v>
      </c>
      <c r="AQ35" s="128">
        <f>+Actuals!AN59</f>
        <v>0</v>
      </c>
    </row>
    <row r="36" spans="1:43" x14ac:dyDescent="0.2">
      <c r="A36" s="9"/>
      <c r="B36" s="7" t="s">
        <v>45</v>
      </c>
      <c r="C36" s="6"/>
      <c r="D36" s="61">
        <f>SUM(D32:D35)</f>
        <v>-10921</v>
      </c>
      <c r="E36" s="39">
        <f>SUM(E32:E35)</f>
        <v>-20728.053000000044</v>
      </c>
      <c r="F36" s="59">
        <f t="shared" ref="F36:AA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15790</v>
      </c>
      <c r="K36" s="148">
        <f t="shared" si="9"/>
        <v>29969.42</v>
      </c>
      <c r="L36" s="61">
        <f t="shared" si="9"/>
        <v>37155</v>
      </c>
      <c r="M36" s="39">
        <f t="shared" si="9"/>
        <v>98997.95</v>
      </c>
      <c r="N36" s="61">
        <f t="shared" si="9"/>
        <v>0</v>
      </c>
      <c r="O36" s="39">
        <f t="shared" si="9"/>
        <v>-6671.07</v>
      </c>
      <c r="P36" s="61">
        <f t="shared" si="9"/>
        <v>32079</v>
      </c>
      <c r="Q36" s="39">
        <f t="shared" si="9"/>
        <v>74564.955000000002</v>
      </c>
      <c r="R36" s="61">
        <f t="shared" si="9"/>
        <v>0</v>
      </c>
      <c r="S36" s="39">
        <f t="shared" si="9"/>
        <v>29673.376</v>
      </c>
      <c r="T36" s="61">
        <f t="shared" si="9"/>
        <v>0</v>
      </c>
      <c r="U36" s="39">
        <f t="shared" si="9"/>
        <v>24146.815999999999</v>
      </c>
      <c r="V36" s="61">
        <f t="shared" si="9"/>
        <v>414</v>
      </c>
      <c r="W36" s="39">
        <f t="shared" si="9"/>
        <v>-88520.118000000002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-96359</v>
      </c>
      <c r="AC36" s="39">
        <f t="shared" si="10"/>
        <v>-182889.38200000001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1714388</v>
      </c>
      <c r="E39" s="38">
        <f t="shared" si="11"/>
        <v>3223049.4399999995</v>
      </c>
      <c r="F39" s="84">
        <f>'TIE-OUT'!J39+RECLASS!J39</f>
        <v>0</v>
      </c>
      <c r="G39" s="85">
        <f>'TIE-OUT'!K39+RECLASS!K39</f>
        <v>0</v>
      </c>
      <c r="H39" s="127">
        <f>+Actuals!E60</f>
        <v>1082626</v>
      </c>
      <c r="I39" s="128">
        <f>+Actuals!F60</f>
        <v>2035336.88</v>
      </c>
      <c r="J39" s="127">
        <f>+Actuals!G60</f>
        <v>628053</v>
      </c>
      <c r="K39" s="147">
        <f>+Actuals!H60</f>
        <v>1180739.6399999999</v>
      </c>
      <c r="L39" s="127">
        <f>+Actuals!I60</f>
        <v>3708</v>
      </c>
      <c r="M39" s="128">
        <f>+Actuals!J60</f>
        <v>6971.04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1</v>
      </c>
      <c r="AC39" s="128">
        <f>+Actuals!Z60</f>
        <v>1.88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  <c r="AN39" s="127">
        <f>+Actuals!AK60</f>
        <v>0</v>
      </c>
      <c r="AO39" s="128">
        <f>+Actuals!AL60</f>
        <v>0</v>
      </c>
      <c r="AP39" s="127">
        <f>+Actuals!AM60</f>
        <v>0</v>
      </c>
      <c r="AQ39" s="128">
        <f>+Actuals!AN60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-709556</v>
      </c>
      <c r="E40" s="38">
        <f t="shared" si="11"/>
        <v>-1333965.28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-709556</v>
      </c>
      <c r="K40" s="147">
        <f>+Actuals!H61</f>
        <v>-1333965.28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  <c r="AN40" s="127">
        <f>+Actuals!AK61</f>
        <v>0</v>
      </c>
      <c r="AO40" s="128">
        <f>+Actuals!AL61</f>
        <v>0</v>
      </c>
      <c r="AP40" s="127">
        <f>+Actuals!AM61</f>
        <v>0</v>
      </c>
      <c r="AQ40" s="128">
        <f>+Actuals!AN61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  <c r="AN41" s="127">
        <f>+Actuals!AK62</f>
        <v>0</v>
      </c>
      <c r="AO41" s="128">
        <f>+Actuals!AL62</f>
        <v>0</v>
      </c>
      <c r="AP41" s="127">
        <f>+Actuals!AM62</f>
        <v>0</v>
      </c>
      <c r="AQ41" s="128">
        <f>+Actuals!AN62</f>
        <v>0</v>
      </c>
    </row>
    <row r="42" spans="1:43" x14ac:dyDescent="0.2">
      <c r="A42" s="9"/>
      <c r="B42" s="7"/>
      <c r="C42" s="53" t="s">
        <v>50</v>
      </c>
      <c r="D42" s="61">
        <f>SUM(D40:D41)</f>
        <v>-709556</v>
      </c>
      <c r="E42" s="39">
        <f>SUM(E40:E41)</f>
        <v>-1333965.28</v>
      </c>
      <c r="F42" s="59">
        <f t="shared" ref="F42:AA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-709556</v>
      </c>
      <c r="K42" s="148">
        <f t="shared" si="12"/>
        <v>-1333965.28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>D42+D39</f>
        <v>1004832</v>
      </c>
      <c r="E43" s="39">
        <f>E42+E39</f>
        <v>1889084.1599999995</v>
      </c>
      <c r="F43" s="59">
        <f t="shared" ref="F43:AA43" si="14">F42+F39</f>
        <v>0</v>
      </c>
      <c r="G43" s="23">
        <f t="shared" si="14"/>
        <v>0</v>
      </c>
      <c r="H43" s="61">
        <f t="shared" si="14"/>
        <v>1082626</v>
      </c>
      <c r="I43" s="39">
        <f t="shared" si="14"/>
        <v>2035336.88</v>
      </c>
      <c r="J43" s="61">
        <f t="shared" si="14"/>
        <v>-81503</v>
      </c>
      <c r="K43" s="148">
        <f t="shared" si="14"/>
        <v>-153225.64000000013</v>
      </c>
      <c r="L43" s="61">
        <f t="shared" si="14"/>
        <v>3708</v>
      </c>
      <c r="M43" s="39">
        <f t="shared" si="14"/>
        <v>6971.04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1</v>
      </c>
      <c r="AC43" s="39">
        <f t="shared" si="15"/>
        <v>1.88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-2985</v>
      </c>
      <c r="E45" s="38">
        <f>SUM(G45,I45,K45,M45,O45,Q45,S45,U45,W45,Y45,AA45,AC45,AE45,AG45)</f>
        <v>-5102.5600000000004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-2985</v>
      </c>
      <c r="K45" s="147">
        <f>+Actuals!H63</f>
        <v>-5761.05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658.49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  <c r="AN45" s="127">
        <f>+Actuals!AK63</f>
        <v>0</v>
      </c>
      <c r="AO45" s="128">
        <f>+Actuals!AL63</f>
        <v>0</v>
      </c>
      <c r="AP45" s="127">
        <f>+Actuals!AM63</f>
        <v>0</v>
      </c>
      <c r="AQ45" s="128">
        <f>+Actuals!AN63</f>
        <v>0</v>
      </c>
    </row>
    <row r="46" spans="1:43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72836</v>
      </c>
      <c r="K47" s="147">
        <f>+Actuals!H64</f>
        <v>136931.68</v>
      </c>
      <c r="L47" s="127">
        <f>+Actuals!I64</f>
        <v>0</v>
      </c>
      <c r="M47" s="128">
        <f>+Actuals!J64</f>
        <v>0</v>
      </c>
      <c r="N47" s="127">
        <f>+Actuals!K64</f>
        <v>-72836</v>
      </c>
      <c r="O47" s="128">
        <f>+Actuals!L64</f>
        <v>-136931.68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  <c r="AN47" s="127">
        <f>+Actuals!AK64</f>
        <v>0</v>
      </c>
      <c r="AO47" s="128">
        <f>+Actuals!AL64</f>
        <v>0</v>
      </c>
      <c r="AP47" s="127">
        <f>+Actuals!AM64</f>
        <v>0</v>
      </c>
      <c r="AQ47" s="128">
        <f>+Actuals!AN64</f>
        <v>0</v>
      </c>
    </row>
    <row r="48" spans="1:43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9534</v>
      </c>
      <c r="E49" s="38">
        <f>SUM(G49,I49,K49,M49,O49,Q49,S49,U49,W49,Y49,AA49,AC49,AE49,AG49)</f>
        <v>18095.526999999987</v>
      </c>
      <c r="F49" s="58">
        <f>'TIE-OUT'!J49+RECLASS!J49</f>
        <v>0</v>
      </c>
      <c r="G49" s="15">
        <f>'TIE-OUT'!K49+RECLASS!K49</f>
        <v>0</v>
      </c>
      <c r="H49" s="127">
        <f>+Actuals!E65</f>
        <v>78365</v>
      </c>
      <c r="I49" s="128">
        <f>+Actuals!F65</f>
        <v>164488.13500000001</v>
      </c>
      <c r="J49" s="127">
        <f>+Actuals!G65</f>
        <v>-75753</v>
      </c>
      <c r="K49" s="147">
        <f>+Actuals!H65</f>
        <v>-159530.56400000001</v>
      </c>
      <c r="L49" s="127">
        <f>+Actuals!I65</f>
        <v>-40863</v>
      </c>
      <c r="M49" s="128">
        <f>+Actuals!J65</f>
        <v>-77557.974000000002</v>
      </c>
      <c r="N49" s="127">
        <f>+Actuals!K65</f>
        <v>8397</v>
      </c>
      <c r="O49" s="128">
        <f>+Actuals!L65</f>
        <v>15937.505999999999</v>
      </c>
      <c r="P49" s="127">
        <f>+Actuals!M65</f>
        <v>-15582</v>
      </c>
      <c r="Q49" s="128">
        <f>+Actuals!N65</f>
        <v>-29574.635999999999</v>
      </c>
      <c r="R49" s="127">
        <f>+Actuals!O65</f>
        <v>120163</v>
      </c>
      <c r="S49" s="128">
        <f>+Actuals!P65</f>
        <v>228069.37400000001</v>
      </c>
      <c r="T49" s="127">
        <f>+Actuals!Q65</f>
        <v>-144270</v>
      </c>
      <c r="U49" s="128">
        <f>+Actuals!R65</f>
        <v>-273824.46000000002</v>
      </c>
      <c r="V49" s="127">
        <f>+Actuals!S65</f>
        <v>69716</v>
      </c>
      <c r="W49" s="128">
        <f>+Actuals!T65</f>
        <v>132320.96799999999</v>
      </c>
      <c r="X49" s="127">
        <f>+Actuals!U65</f>
        <v>-70191</v>
      </c>
      <c r="Y49" s="128">
        <f>+Actuals!V65</f>
        <v>-133222.51800000001</v>
      </c>
      <c r="Z49" s="127">
        <f>+Actuals!W65</f>
        <v>0</v>
      </c>
      <c r="AA49" s="128">
        <f>+Actuals!X65</f>
        <v>0</v>
      </c>
      <c r="AB49" s="127">
        <f>+Actuals!Y65</f>
        <v>79553</v>
      </c>
      <c r="AC49" s="128">
        <f>+Actuals!Z65</f>
        <v>150991.59400000001</v>
      </c>
      <c r="AD49" s="127">
        <f>+Actuals!AA65</f>
        <v>-1</v>
      </c>
      <c r="AE49" s="128">
        <f>+Actuals!AB65</f>
        <v>-1.8979999999999999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f>+Actuals!AI65</f>
        <v>0</v>
      </c>
      <c r="AM49" s="128">
        <f>+Actuals!AJ65</f>
        <v>0</v>
      </c>
      <c r="AN49" s="127">
        <f>+Actuals!AK65</f>
        <v>0</v>
      </c>
      <c r="AO49" s="128">
        <f>+Actuals!AL65</f>
        <v>0</v>
      </c>
      <c r="AP49" s="127">
        <f>+Actuals!AM65</f>
        <v>0</v>
      </c>
      <c r="AQ49" s="128">
        <f>+Actuals!AN65</f>
        <v>0</v>
      </c>
    </row>
    <row r="50" spans="1:43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-22353</v>
      </c>
      <c r="E51" s="38">
        <f>SUM(G51,I51,K51,M51,O51,Q51,S51,U51,W51,Y51,AA51,AC51,AE51,AG51)</f>
        <v>-63628.82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</f>
        <v>-22352</v>
      </c>
      <c r="K51" s="147">
        <f>+Actuals!H66-16470</f>
        <v>-63437.59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+Actuals!Q66-1</f>
        <v>-1</v>
      </c>
      <c r="U51" s="128">
        <f>+Actuals!R66+792</f>
        <v>-191.23000000000002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  <c r="AN51" s="127">
        <f>+Actuals!AK66</f>
        <v>0</v>
      </c>
      <c r="AO51" s="128">
        <f>+Actuals!AL66</f>
        <v>0</v>
      </c>
      <c r="AP51" s="127">
        <f>+Actuals!AM66</f>
        <v>0</v>
      </c>
      <c r="AQ51" s="128">
        <f>+Actuals!AN66</f>
        <v>0</v>
      </c>
    </row>
    <row r="52" spans="1:43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4993.28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4993.28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  <c r="AN54" s="127">
        <f>+Actuals!AK67</f>
        <v>0</v>
      </c>
      <c r="AO54" s="128">
        <f>+Actuals!AL67</f>
        <v>0</v>
      </c>
      <c r="AP54" s="127">
        <f>+Actuals!AM67</f>
        <v>0</v>
      </c>
      <c r="AQ54" s="128">
        <f>+Actuals!AN67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450000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+Actuals!F68+450000</f>
        <v>450000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  <c r="AN55" s="127">
        <f>+Actuals!AK68</f>
        <v>0</v>
      </c>
      <c r="AO55" s="128">
        <f>+Actuals!AL68</f>
        <v>0</v>
      </c>
      <c r="AP55" s="127">
        <f>+Actuals!AM68</f>
        <v>0</v>
      </c>
      <c r="AQ55" s="128">
        <f>+Actuals!AN68</f>
        <v>0</v>
      </c>
    </row>
    <row r="56" spans="1:43" x14ac:dyDescent="0.2">
      <c r="A56" s="9"/>
      <c r="B56" s="7" t="s">
        <v>59</v>
      </c>
      <c r="C56" s="6"/>
      <c r="D56" s="61">
        <f>SUM(D54:D55)</f>
        <v>0</v>
      </c>
      <c r="E56" s="39">
        <f>SUM(E54:E55)</f>
        <v>454993.28</v>
      </c>
      <c r="F56" s="59">
        <f t="shared" ref="F56:AA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450000</v>
      </c>
      <c r="J56" s="61">
        <f t="shared" si="16"/>
        <v>0</v>
      </c>
      <c r="K56" s="148">
        <f t="shared" si="16"/>
        <v>4993.28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3914648</v>
      </c>
      <c r="E59" s="38">
        <f>SUM(G59,I59,K59,M59,O59,Q59,S59,U59,W59,Y59,AA59,AC59,AE59,AG59)</f>
        <v>68674.12</v>
      </c>
      <c r="F59" s="84">
        <f>'TIE-OUT'!J59+RECLASS!J59</f>
        <v>0</v>
      </c>
      <c r="G59" s="85">
        <f>'TIE-OUT'!K59+RECLASS!K59</f>
        <v>0</v>
      </c>
      <c r="H59" s="127">
        <f>+Actuals!E69</f>
        <v>3944569</v>
      </c>
      <c r="I59" s="128">
        <f>+Actuals!F69</f>
        <v>79744.14</v>
      </c>
      <c r="J59" s="127">
        <f>+Actuals!G69</f>
        <v>-115120</v>
      </c>
      <c r="K59" s="147">
        <f>+Actuals!H69</f>
        <v>-3115.02</v>
      </c>
      <c r="L59" s="127">
        <f>+Actuals!I69</f>
        <v>0</v>
      </c>
      <c r="M59" s="128">
        <f>+Actuals!J69</f>
        <v>0</v>
      </c>
      <c r="N59" s="127">
        <f>+Actuals!K69</f>
        <v>60859</v>
      </c>
      <c r="O59" s="128">
        <f>+Actuals!L69</f>
        <v>0</v>
      </c>
      <c r="P59" s="127">
        <f>+Actuals!M69</f>
        <v>7535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-7955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16805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  <c r="AN59" s="127">
        <f>+Actuals!AK69</f>
        <v>0</v>
      </c>
      <c r="AO59" s="128">
        <f>+Actuals!AL69</f>
        <v>0</v>
      </c>
      <c r="AP59" s="127">
        <f>+Actuals!AM69</f>
        <v>0</v>
      </c>
      <c r="AQ59" s="128">
        <f>+Actuals!AN69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  <c r="AN60" s="127">
        <f>+Actuals!AK70</f>
        <v>0</v>
      </c>
      <c r="AO60" s="128">
        <f>+Actuals!AL70</f>
        <v>0</v>
      </c>
      <c r="AP60" s="127">
        <f>+Actuals!AM70</f>
        <v>0</v>
      </c>
      <c r="AQ60" s="128">
        <f>+Actuals!AN70</f>
        <v>0</v>
      </c>
    </row>
    <row r="61" spans="1:43" x14ac:dyDescent="0.2">
      <c r="A61" s="9"/>
      <c r="B61" s="62" t="s">
        <v>63</v>
      </c>
      <c r="C61" s="6"/>
      <c r="D61" s="61">
        <f>SUM(D59:D60)</f>
        <v>3914648</v>
      </c>
      <c r="E61" s="39">
        <f>SUM(E59:E60)</f>
        <v>68674.12</v>
      </c>
      <c r="F61" s="59">
        <f t="shared" ref="F61:AA61" si="18">SUM(F59:F60)</f>
        <v>0</v>
      </c>
      <c r="G61" s="23">
        <f t="shared" si="18"/>
        <v>0</v>
      </c>
      <c r="H61" s="61">
        <f t="shared" si="18"/>
        <v>3944569</v>
      </c>
      <c r="I61" s="39">
        <f t="shared" si="18"/>
        <v>79744.14</v>
      </c>
      <c r="J61" s="61">
        <f t="shared" si="18"/>
        <v>-115120</v>
      </c>
      <c r="K61" s="148">
        <f t="shared" si="18"/>
        <v>-3115.02</v>
      </c>
      <c r="L61" s="61">
        <f t="shared" si="18"/>
        <v>0</v>
      </c>
      <c r="M61" s="39">
        <f t="shared" si="18"/>
        <v>0</v>
      </c>
      <c r="N61" s="61">
        <f t="shared" si="18"/>
        <v>60859</v>
      </c>
      <c r="O61" s="39">
        <f t="shared" si="18"/>
        <v>0</v>
      </c>
      <c r="P61" s="61">
        <f t="shared" si="18"/>
        <v>7535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-7955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16805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-18959370</v>
      </c>
      <c r="E64" s="38">
        <f>SUM(G64,I64,K64,M64,O64,Q64,S64,U64,W64,Y64,AA64,AC64,AE64,AG64)</f>
        <v>-1969820.2100000002</v>
      </c>
      <c r="F64" s="84">
        <f>'TIE-OUT'!J64+RECLASS!J64</f>
        <v>0</v>
      </c>
      <c r="G64" s="85">
        <f>'TIE-OUT'!K64+RECLASS!K64</f>
        <v>0</v>
      </c>
      <c r="H64" s="127">
        <f>+Actuals!E71</f>
        <v>-10791071</v>
      </c>
      <c r="I64" s="128">
        <f>+Actuals!F71</f>
        <v>-1389358.76</v>
      </c>
      <c r="J64" s="127">
        <f>+Actuals!G71</f>
        <v>-8068006</v>
      </c>
      <c r="K64" s="147">
        <f>+Actuals!H71</f>
        <v>-582130.36</v>
      </c>
      <c r="L64" s="127">
        <f>+Actuals!I71</f>
        <v>0</v>
      </c>
      <c r="M64" s="128">
        <f>+Actuals!J71</f>
        <v>11698.12</v>
      </c>
      <c r="N64" s="127">
        <f>+Actuals!K71</f>
        <v>0</v>
      </c>
      <c r="O64" s="128">
        <f>+Actuals!L71</f>
        <v>0</v>
      </c>
      <c r="P64" s="127">
        <f>+Actuals!M71</f>
        <v>0</v>
      </c>
      <c r="Q64" s="128">
        <f>+Actuals!N71</f>
        <v>0</v>
      </c>
      <c r="R64" s="127">
        <f>+Actuals!O71</f>
        <v>-100000</v>
      </c>
      <c r="S64" s="128">
        <f>+Actuals!P71</f>
        <v>-10000</v>
      </c>
      <c r="T64" s="127">
        <f>+Actuals!Q71</f>
        <v>0</v>
      </c>
      <c r="U64" s="128">
        <f>+Actuals!R71</f>
        <v>461060.44</v>
      </c>
      <c r="V64" s="127">
        <f>+Actuals!S71</f>
        <v>-292</v>
      </c>
      <c r="W64" s="128">
        <f>+Actuals!T71</f>
        <v>-461089.64</v>
      </c>
      <c r="X64" s="127">
        <f>+Actuals!U71</f>
        <v>0</v>
      </c>
      <c r="Y64" s="128">
        <f>+Actuals!V71</f>
        <v>-0.01</v>
      </c>
      <c r="Z64" s="127">
        <f>+Actuals!W71</f>
        <v>0</v>
      </c>
      <c r="AA64" s="128">
        <f>+Actuals!X71</f>
        <v>0</v>
      </c>
      <c r="AB64" s="127">
        <f>+Actuals!Y71</f>
        <v>-1</v>
      </c>
      <c r="AC64" s="128">
        <f>+Actuals!Z71</f>
        <v>0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  <c r="AL64" s="127">
        <f>+Actuals!AI71</f>
        <v>0</v>
      </c>
      <c r="AM64" s="128">
        <f>+Actuals!AJ71</f>
        <v>0</v>
      </c>
      <c r="AN64" s="127">
        <f>+Actuals!AK71</f>
        <v>0</v>
      </c>
      <c r="AO64" s="128">
        <f>+Actuals!AL71</f>
        <v>0</v>
      </c>
      <c r="AP64" s="127">
        <f>+Actuals!AM71</f>
        <v>0</v>
      </c>
      <c r="AQ64" s="128">
        <f>+Actuals!AN71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17244982</v>
      </c>
      <c r="E65" s="38">
        <f>SUM(G65,I65,K65,M65,O65,Q65,S65,U65,W65,Y65,AA65,AC65,AE65,AG65)</f>
        <v>1689820.2</v>
      </c>
      <c r="F65" s="98">
        <f>'TIE-OUT'!J65+RECLASS!J65</f>
        <v>0</v>
      </c>
      <c r="G65" s="99">
        <f>'TIE-OUT'!K65+RECLASS!K65</f>
        <v>0</v>
      </c>
      <c r="H65" s="127">
        <f>+Actuals!E72</f>
        <v>10751556</v>
      </c>
      <c r="I65" s="128">
        <f>+Actuals!F72</f>
        <v>1385407.27</v>
      </c>
      <c r="J65" s="127">
        <f>+Actuals!G72</f>
        <v>6393134</v>
      </c>
      <c r="K65" s="147">
        <f>+Actuals!H72+170000</f>
        <v>306195.31</v>
      </c>
      <c r="L65" s="127">
        <f>+Actuals!I72</f>
        <v>0</v>
      </c>
      <c r="M65" s="128">
        <f>+Actuals!J72</f>
        <v>-11811.57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-0.02</v>
      </c>
      <c r="R65" s="127">
        <f>+Actuals!O72</f>
        <v>100000</v>
      </c>
      <c r="S65" s="128">
        <f>+Actuals!P72</f>
        <v>10000</v>
      </c>
      <c r="T65" s="127">
        <f>+Actuals!Q72</f>
        <v>0</v>
      </c>
      <c r="U65" s="128">
        <f>+Actuals!R72</f>
        <v>-461060.43</v>
      </c>
      <c r="V65" s="127">
        <f>+Actuals!S72</f>
        <v>292</v>
      </c>
      <c r="W65" s="128">
        <f>+Actuals!T72</f>
        <v>461089.63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0.01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  <c r="AN65" s="127">
        <f>+Actuals!AK72</f>
        <v>0</v>
      </c>
      <c r="AO65" s="128">
        <f>+Actuals!AL72</f>
        <v>0</v>
      </c>
      <c r="AP65" s="127">
        <f>+Actuals!AM72</f>
        <v>0</v>
      </c>
      <c r="AQ65" s="128">
        <f>+Actuals!AN72</f>
        <v>0</v>
      </c>
    </row>
    <row r="66" spans="1:43" x14ac:dyDescent="0.2">
      <c r="A66" s="9"/>
      <c r="B66" s="7" t="s">
        <v>66</v>
      </c>
      <c r="C66" s="6"/>
      <c r="D66" s="61">
        <f>SUM(D64:D65)</f>
        <v>-1714388</v>
      </c>
      <c r="E66" s="39">
        <f>SUM(E64:E65)</f>
        <v>-280000.01000000024</v>
      </c>
      <c r="F66" s="59">
        <f t="shared" ref="F66:AA66" si="20">SUM(F64:F65)</f>
        <v>0</v>
      </c>
      <c r="G66" s="23">
        <f t="shared" si="20"/>
        <v>0</v>
      </c>
      <c r="H66" s="61">
        <f t="shared" si="20"/>
        <v>-39515</v>
      </c>
      <c r="I66" s="39">
        <f t="shared" si="20"/>
        <v>-3951.4899999999907</v>
      </c>
      <c r="J66" s="61">
        <f t="shared" si="20"/>
        <v>-1674872</v>
      </c>
      <c r="K66" s="148">
        <f t="shared" si="20"/>
        <v>-275935.05</v>
      </c>
      <c r="L66" s="61">
        <f t="shared" si="20"/>
        <v>0</v>
      </c>
      <c r="M66" s="39">
        <f t="shared" si="20"/>
        <v>-113.44999999999891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-0.02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1.0000000009313226E-2</v>
      </c>
      <c r="V66" s="61">
        <f t="shared" si="20"/>
        <v>0</v>
      </c>
      <c r="W66" s="39">
        <f t="shared" si="20"/>
        <v>-1.0000000009313226E-2</v>
      </c>
      <c r="X66" s="61">
        <f t="shared" si="20"/>
        <v>0</v>
      </c>
      <c r="Y66" s="39">
        <f t="shared" si="20"/>
        <v>-0.01</v>
      </c>
      <c r="Z66" s="61">
        <f t="shared" si="20"/>
        <v>0</v>
      </c>
      <c r="AA66" s="39">
        <f t="shared" si="20"/>
        <v>0.01</v>
      </c>
      <c r="AB66" s="61">
        <f t="shared" ref="AB66:AQ66" si="21">SUM(AB64:AB65)</f>
        <v>-1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  <c r="AN70" s="127">
        <f>+Actuals!AK73</f>
        <v>0</v>
      </c>
      <c r="AO70" s="128">
        <f>+Actuals!AL73</f>
        <v>0</v>
      </c>
      <c r="AP70" s="127">
        <f>+Actuals!AM73</f>
        <v>0</v>
      </c>
      <c r="AQ70" s="128">
        <f>+Actuals!AN73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  <c r="AN71" s="127">
        <f>+Actuals!AK74</f>
        <v>0</v>
      </c>
      <c r="AO71" s="128">
        <f>+Actuals!AL74</f>
        <v>0</v>
      </c>
      <c r="AP71" s="127">
        <f>+Actuals!AM74</f>
        <v>0</v>
      </c>
      <c r="AQ71" s="128">
        <f>+Actuals!AN74</f>
        <v>0</v>
      </c>
    </row>
    <row r="72" spans="1:4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AA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  <c r="AN73" s="127">
        <f>+Actuals!AK75</f>
        <v>0</v>
      </c>
      <c r="AO73" s="128">
        <f>+Actuals!AL75</f>
        <v>0</v>
      </c>
      <c r="AP73" s="127">
        <f>+Actuals!AM75</f>
        <v>0</v>
      </c>
      <c r="AQ73" s="128">
        <f>+Actuals!AN75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  <c r="AN74" s="127">
        <f>+Actuals!AK76</f>
        <v>0</v>
      </c>
      <c r="AO74" s="128">
        <f>+Actuals!AL76</f>
        <v>0</v>
      </c>
      <c r="AP74" s="127">
        <f>+Actuals!AM76</f>
        <v>0</v>
      </c>
      <c r="AQ74" s="128">
        <f>+Actuals!AN76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  <c r="AN75" s="127">
        <f>+Actuals!AK77</f>
        <v>0</v>
      </c>
      <c r="AO75" s="128">
        <f>+Actuals!AL77</f>
        <v>0</v>
      </c>
      <c r="AP75" s="127">
        <f>+Actuals!AM77</f>
        <v>0</v>
      </c>
      <c r="AQ75" s="128">
        <f>+Actuals!AN77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  <c r="AN76" s="127">
        <f>+Actuals!AK78</f>
        <v>0</v>
      </c>
      <c r="AO76" s="128">
        <f>+Actuals!AL78</f>
        <v>0</v>
      </c>
      <c r="AP76" s="127">
        <f>+Actuals!AM78</f>
        <v>0</v>
      </c>
      <c r="AQ76" s="128">
        <f>+Actuals!AN78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  <c r="AN77" s="127">
        <f>+Actuals!AK79</f>
        <v>0</v>
      </c>
      <c r="AO77" s="128">
        <f>+Actuals!AL79</f>
        <v>0</v>
      </c>
      <c r="AP77" s="127">
        <f>+Actuals!AM79</f>
        <v>0</v>
      </c>
      <c r="AQ77" s="128">
        <f>+Actuals!AN79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  <c r="AN78" s="127">
        <f>+Actuals!AK80</f>
        <v>0</v>
      </c>
      <c r="AO78" s="128">
        <f>+Actuals!AL80</f>
        <v>0</v>
      </c>
      <c r="AP78" s="127">
        <f>+Actuals!AM80</f>
        <v>0</v>
      </c>
      <c r="AQ78" s="128">
        <f>+Actuals!AN80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  <c r="AN79" s="127">
        <f>+Actuals!AK81</f>
        <v>0</v>
      </c>
      <c r="AO79" s="128">
        <f>+Actuals!AL81</f>
        <v>0</v>
      </c>
      <c r="AP79" s="127">
        <f>+Actuals!AM81</f>
        <v>0</v>
      </c>
      <c r="AQ79" s="128">
        <f>+Actuals!AN81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  <c r="AN80" s="127">
        <f>+Actuals!AK82</f>
        <v>0</v>
      </c>
      <c r="AO80" s="128">
        <f>+Actuals!AL82</f>
        <v>0</v>
      </c>
      <c r="AP80" s="127">
        <f>+Actuals!AM82</f>
        <v>0</v>
      </c>
      <c r="AQ80" s="128">
        <f>+Actuals!AN82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  <c r="AN81" s="127">
        <f>+Actuals!AK83</f>
        <v>0</v>
      </c>
      <c r="AO81" s="128">
        <f>+Actuals!AL83</f>
        <v>0</v>
      </c>
      <c r="AP81" s="127">
        <f>+Actuals!AM83</f>
        <v>0</v>
      </c>
      <c r="AQ81" s="128">
        <f>+Actuals!AN83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5928</v>
      </c>
      <c r="E82" s="93">
        <f>SUM(E72:E81)+E16+E24+E29+E36+E43+E45+E47+E49+E51+E56+E61+E66</f>
        <v>-1214601.5360000022</v>
      </c>
      <c r="F82" s="92">
        <f>F16+F24+F29+F36+F43+F45+F47+F49</f>
        <v>0</v>
      </c>
      <c r="G82" s="93">
        <f>SUM(G72:G81)+G16+G24+G29+G36+G43+G45+G47+G49+G51+G56+G61+G66</f>
        <v>-105535.26000000001</v>
      </c>
      <c r="H82" s="92">
        <f>H16+H24+H29+H36+H43+H45+H47+H49</f>
        <v>0</v>
      </c>
      <c r="I82" s="93">
        <f>SUM(I72:I81)+I16+I24+I29+I36+I43+I45+I47+I49+I51+I56+I61+I66</f>
        <v>-876715.08500000194</v>
      </c>
      <c r="J82" s="92">
        <f>J16+J24+J29+J36+J43+J45+J47+J49</f>
        <v>0</v>
      </c>
      <c r="K82" s="112">
        <f>SUM(K72:K81)+K16+K24+K29+K36+K43+K45+K47+K49+K51+K56+K61+K66</f>
        <v>-147001.70400000009</v>
      </c>
      <c r="L82" s="92">
        <f>L16+L24+L29+L36+L43+L45+L47+L49</f>
        <v>5928</v>
      </c>
      <c r="M82" s="93">
        <f>SUM(M72:M81)+M16+M24+M29+M36+M43+M45+M47+M49+M51+M56+M61+M66</f>
        <v>41451.325999999986</v>
      </c>
      <c r="N82" s="92">
        <f>N16+N24+N29+N36+N43+N45+N47+N49</f>
        <v>0</v>
      </c>
      <c r="O82" s="93">
        <f>SUM(O72:O81)+O16+O24+O29+O36+O43+O45+O47+O49+O51+O56+O61+O66</f>
        <v>-12006.053999999998</v>
      </c>
      <c r="P82" s="92">
        <f>P16+P24+P29+P36+P43+P45+P47+P49</f>
        <v>0</v>
      </c>
      <c r="Q82" s="93">
        <f>SUM(Q72:Q81)+Q16+Q24+Q29+Q36+Q43+Q45+Q47+Q49+Q51+Q56+Q61+Q66</f>
        <v>74593.159</v>
      </c>
      <c r="R82" s="92">
        <f>R16+R24+R29+R36+R43+R45+R47+R49</f>
        <v>0</v>
      </c>
      <c r="S82" s="93">
        <f>SUM(S72:S81)+S16+S24+S29+S36+S43+S45+S47+S49+S51+S56+S61+S66</f>
        <v>-170723.04000000004</v>
      </c>
      <c r="T82" s="92">
        <f>T16+T24+T29+T36+T43+T45+T47+T49</f>
        <v>0</v>
      </c>
      <c r="U82" s="93">
        <f>SUM(U72:U81)+U16+U24+U29+U36+U43+U45+U47+U49+U51+U56+U61+U66</f>
        <v>44741.945999999974</v>
      </c>
      <c r="V82" s="92">
        <f>V16+V24+V29+V36+V43+V45+V47+V49</f>
        <v>0</v>
      </c>
      <c r="W82" s="93">
        <f>SUM(W72:W81)+W16+W24+W29+W36+W43+W45+W47+W49+W51+W56+W61+W66</f>
        <v>-110481.96000000002</v>
      </c>
      <c r="X82" s="92">
        <f>X16+X24+X29+X36+X43+X45+X47+X49</f>
        <v>0</v>
      </c>
      <c r="Y82" s="93">
        <f>SUM(Y72:Y81)+Y16+Y24+Y29+Y36+Y43+Y45+Y47+Y49+Y51+Y56+Y61+Y66</f>
        <v>11793.642000000002</v>
      </c>
      <c r="Z82" s="92">
        <f>Z16+Z24+Z29+Z36+Z43+Z45+Z47+Z49</f>
        <v>0</v>
      </c>
      <c r="AA82" s="93">
        <f>SUM(AA72:AA81)+AA16+AA24+AA29+AA36+AA43+AA45+AA47+AA49+AA51+AA56+AA61+AA66</f>
        <v>1218.4299999999982</v>
      </c>
      <c r="AB82" s="92">
        <f>AB16+AB24+AB29+AB36+AB43+AB45+AB47+AB49</f>
        <v>0</v>
      </c>
      <c r="AC82" s="93">
        <f>SUM(AC72:AC81)+AC16+AC24+AC29+AC36+AC43+AC45+AC47+AC49+AC51+AC56+AC61+AC66</f>
        <v>34064.962000000014</v>
      </c>
      <c r="AD82" s="92">
        <f>AD16+AD24+AD29+AD36+AD43+AD45+AD47+AD49</f>
        <v>0</v>
      </c>
      <c r="AE82" s="93">
        <f>SUM(AE72:AE81)+AE16+AE24+AE29+AE36+AE43+AE45+AE47+AE49+AE51+AE56+AE61+AE66</f>
        <v>0.10200000000000009</v>
      </c>
      <c r="AF82" s="92">
        <f>AF16+AF24+AF29+AF36+AF43+AF45+AF47+AF49</f>
        <v>0</v>
      </c>
      <c r="AG82" s="93">
        <f>SUM(AG72:AG81)+AG16+AG24+AG29+AG36+AG43+AG45+AG47+AG49+AG51+AG56+AG61+AG66</f>
        <v>-2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  <c r="I84" s="45"/>
      <c r="K84" s="149"/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CA187"/>
  <sheetViews>
    <sheetView zoomScale="75" workbookViewId="0">
      <pane xSplit="3" ySplit="9" topLeftCell="I79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85606448</v>
      </c>
      <c r="E11" s="38">
        <f t="shared" si="0"/>
        <v>175586829.01999998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88084496</v>
      </c>
      <c r="I11" s="38">
        <f>'EAST-EGM-GL'!I11+'EAST-LRC-GL'!I11</f>
        <v>173058106.28999999</v>
      </c>
      <c r="J11" s="60">
        <f>'EAST-EGM-GL'!J11+'EAST-LRC-GL'!J11</f>
        <v>-522119</v>
      </c>
      <c r="K11" s="38">
        <f>'EAST-EGM-GL'!K11+'EAST-LRC-GL'!K11</f>
        <v>14469917.229999999</v>
      </c>
      <c r="L11" s="60">
        <f>'EAST-EGM-GL'!L11+'EAST-LRC-GL'!L11</f>
        <v>-198</v>
      </c>
      <c r="M11" s="38">
        <f>'EAST-EGM-GL'!M11+'EAST-LRC-GL'!M11</f>
        <v>-191798.16</v>
      </c>
      <c r="N11" s="60">
        <f>'EAST-EGM-GL'!N11+'EAST-LRC-GL'!N11</f>
        <v>-2064015</v>
      </c>
      <c r="O11" s="38">
        <f>'EAST-EGM-GL'!O11+'EAST-LRC-GL'!O11</f>
        <v>-2482315.7599999998</v>
      </c>
      <c r="P11" s="60">
        <f>'EAST-EGM-GL'!P11+'EAST-LRC-GL'!P11</f>
        <v>-61</v>
      </c>
      <c r="Q11" s="38">
        <f>'EAST-EGM-GL'!Q11+'EAST-LRC-GL'!Q11</f>
        <v>16850.38</v>
      </c>
      <c r="R11" s="60">
        <f>'EAST-EGM-GL'!R11+'EAST-LRC-GL'!R11</f>
        <v>100000</v>
      </c>
      <c r="S11" s="38">
        <f>'EAST-EGM-GL'!S11+'EAST-LRC-GL'!S11</f>
        <v>195290.01</v>
      </c>
      <c r="T11" s="60">
        <f>'EAST-EGM-GL'!T11+'EAST-LRC-GL'!T11</f>
        <v>-8460</v>
      </c>
      <c r="U11" s="38">
        <f>'EAST-EGM-GL'!U11+'EAST-LRC-GL'!U11</f>
        <v>-9545180.5999999996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16805</v>
      </c>
      <c r="AC11" s="38">
        <f>'EAST-EGM-GL'!AC11+'EAST-LRC-GL'!AC11</f>
        <v>65959.63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'EAST-EGM-GL'!AF11+'EAST-LRC-GL'!AF11</f>
        <v>0</v>
      </c>
      <c r="AG11" s="38">
        <f>'EAST-EGM-GL'!AG11+'EAST-LRC-GL'!AG11</f>
        <v>0</v>
      </c>
      <c r="AH11" s="60">
        <f>'EAST-EGM-GL'!AT11+'EAST-LRC-GL'!AT11</f>
        <v>0</v>
      </c>
      <c r="AI11" s="38">
        <f>'EAST-EGM-GL'!AU11+'EAST-LRC-GL'!AU11</f>
        <v>0</v>
      </c>
      <c r="AJ11" s="60">
        <f>'EAST-EGM-GL'!AV11+'EAST-LRC-GL'!AV11</f>
        <v>0</v>
      </c>
      <c r="AK11" s="38">
        <f>'EAST-EGM-GL'!AW11+'EAST-LRC-GL'!AW11</f>
        <v>0</v>
      </c>
      <c r="AL11" s="60">
        <f>'EAST-EGM-GL'!AX11+'EAST-LRC-GL'!AX11</f>
        <v>0</v>
      </c>
      <c r="AM11" s="38">
        <f>'EAST-EGM-GL'!AY11+'EAST-LRC-GL'!AY11</f>
        <v>0</v>
      </c>
      <c r="AN11" s="60">
        <f>'EAST-EGM-GL'!AZ11+'EAST-LRC-GL'!AZ11</f>
        <v>0</v>
      </c>
      <c r="AO11" s="38">
        <f>'EAST-EGM-GL'!BA11+'EAST-LRC-GL'!BA11</f>
        <v>0</v>
      </c>
      <c r="AP11" s="60">
        <f>'EAST-EGM-GL'!BB11+'EAST-LRC-GL'!BB11</f>
        <v>0</v>
      </c>
      <c r="AQ11" s="38">
        <f>'EAST-EGM-GL'!BC11+'EAST-LRC-GL'!BC11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-3576326.7600000002</v>
      </c>
      <c r="F12" s="60">
        <f>('TIE-OUT'!J12+'TIE-OUT'!H12)+(RECLASS!J12+RECLASS!H12)</f>
        <v>0</v>
      </c>
      <c r="G12" s="38">
        <f>('TIE-OUT'!K12+'TIE-OUT'!I12)+(RECLASS!K12+RECLASS!I12)</f>
        <v>-3632426.7600000002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56100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'EAST-EGM-GL'!AT12+'EAST-LRC-GL'!AT12</f>
        <v>0</v>
      </c>
      <c r="AI12" s="38">
        <f>'EAST-EGM-GL'!AU12+'EAST-LRC-GL'!AU12</f>
        <v>0</v>
      </c>
      <c r="AJ12" s="60">
        <f>'EAST-EGM-GL'!AV12+'EAST-LRC-GL'!AV12</f>
        <v>0</v>
      </c>
      <c r="AK12" s="38">
        <f>'EAST-EGM-GL'!AW12+'EAST-LRC-GL'!AW12</f>
        <v>0</v>
      </c>
      <c r="AL12" s="60">
        <f>'EAST-EGM-GL'!AX12+'EAST-LRC-GL'!AX12</f>
        <v>0</v>
      </c>
      <c r="AM12" s="38">
        <f>'EAST-EGM-GL'!AY12+'EAST-LRC-GL'!AY12</f>
        <v>0</v>
      </c>
      <c r="AN12" s="60">
        <f>'EAST-EGM-GL'!AZ12+'EAST-LRC-GL'!AZ12</f>
        <v>0</v>
      </c>
      <c r="AO12" s="38">
        <f>'EAST-EGM-GL'!BA12+'EAST-LRC-GL'!BA12</f>
        <v>0</v>
      </c>
      <c r="AP12" s="60">
        <f>'EAST-EGM-GL'!BB12+'EAST-LRC-GL'!BB12</f>
        <v>0</v>
      </c>
      <c r="AQ12" s="38">
        <f>'EAST-EGM-GL'!BC12+'EAST-LRC-GL'!BC12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46521011</v>
      </c>
      <c r="E13" s="38">
        <f t="shared" si="0"/>
        <v>97011870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46521011</v>
      </c>
      <c r="I13" s="38">
        <f>'EAST-EGM-GL'!I13+'EAST-LRC-GL'!I13</f>
        <v>97011870</v>
      </c>
      <c r="J13" s="60">
        <f>'EAST-EGM-GL'!J13+'EAST-LRC-GL'!J13</f>
        <v>-202938</v>
      </c>
      <c r="K13" s="38">
        <f>'EAST-EGM-GL'!K13+'EAST-LRC-GL'!K13</f>
        <v>-425356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46</v>
      </c>
      <c r="Q13" s="38">
        <f>'EAST-EGM-GL'!Q13+'EAST-LRC-GL'!Q13</f>
        <v>10002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1416416</v>
      </c>
      <c r="U13" s="38">
        <f>'EAST-EGM-GL'!U13+'EAST-LRC-GL'!U13</f>
        <v>2756660</v>
      </c>
      <c r="V13" s="60">
        <f>'EAST-EGM-GL'!V13+'EAST-LRC-GL'!V13</f>
        <v>1801916</v>
      </c>
      <c r="W13" s="38">
        <f>'EAST-EGM-GL'!W13+'EAST-LRC-GL'!W13</f>
        <v>3575228</v>
      </c>
      <c r="X13" s="60">
        <f>'EAST-EGM-GL'!X13+'EAST-LRC-GL'!X13</f>
        <v>-3015440</v>
      </c>
      <c r="Y13" s="38">
        <f>'EAST-EGM-GL'!Y13+'EAST-LRC-GL'!Y13</f>
        <v>-5916534</v>
      </c>
      <c r="Z13" s="60">
        <f>'EAST-EGM-GL'!Z13+'EAST-LRC-GL'!Z13</f>
        <v>3015440</v>
      </c>
      <c r="AA13" s="38">
        <f>'EAST-EGM-GL'!AA13+'EAST-LRC-GL'!AA13</f>
        <v>5916534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-3015440</v>
      </c>
      <c r="AE13" s="38">
        <f>'EAST-EGM-GL'!AE13+'EAST-LRC-GL'!AE13</f>
        <v>-5916534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'EAST-EGM-GL'!AT13+'EAST-LRC-GL'!AT13</f>
        <v>0</v>
      </c>
      <c r="AI13" s="38">
        <f>'EAST-EGM-GL'!AU13+'EAST-LRC-GL'!AU13</f>
        <v>0</v>
      </c>
      <c r="AJ13" s="60">
        <f>'EAST-EGM-GL'!AV13+'EAST-LRC-GL'!AV13</f>
        <v>0</v>
      </c>
      <c r="AK13" s="38">
        <f>'EAST-EGM-GL'!AW13+'EAST-LRC-GL'!AW13</f>
        <v>0</v>
      </c>
      <c r="AL13" s="60">
        <f>'EAST-EGM-GL'!AX13+'EAST-LRC-GL'!AX13</f>
        <v>0</v>
      </c>
      <c r="AM13" s="38">
        <f>'EAST-EGM-GL'!AY13+'EAST-LRC-GL'!AY13</f>
        <v>0</v>
      </c>
      <c r="AN13" s="60">
        <f>'EAST-EGM-GL'!AZ13+'EAST-LRC-GL'!AZ13</f>
        <v>0</v>
      </c>
      <c r="AO13" s="38">
        <f>'EAST-EGM-GL'!BA13+'EAST-LRC-GL'!BA13</f>
        <v>0</v>
      </c>
      <c r="AP13" s="60">
        <f>'EAST-EGM-GL'!BB13+'EAST-LRC-GL'!BB13</f>
        <v>0</v>
      </c>
      <c r="AQ13" s="38">
        <f>'EAST-EGM-GL'!BC13+'EAST-LRC-GL'!BC13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'EAST-EGM-GL'!AT14+'EAST-LRC-GL'!AT14</f>
        <v>0</v>
      </c>
      <c r="AI14" s="38">
        <f>'EAST-EGM-GL'!AU14+'EAST-LRC-GL'!AU14</f>
        <v>0</v>
      </c>
      <c r="AJ14" s="60">
        <f>'EAST-EGM-GL'!AV14+'EAST-LRC-GL'!AV14</f>
        <v>0</v>
      </c>
      <c r="AK14" s="38">
        <f>'EAST-EGM-GL'!AW14+'EAST-LRC-GL'!AW14</f>
        <v>0</v>
      </c>
      <c r="AL14" s="60">
        <f>'EAST-EGM-GL'!AX14+'EAST-LRC-GL'!AX14</f>
        <v>0</v>
      </c>
      <c r="AM14" s="38">
        <f>'EAST-EGM-GL'!AY14+'EAST-LRC-GL'!AY14</f>
        <v>0</v>
      </c>
      <c r="AN14" s="60">
        <f>'EAST-EGM-GL'!AZ14+'EAST-LRC-GL'!AZ14</f>
        <v>0</v>
      </c>
      <c r="AO14" s="38">
        <f>'EAST-EGM-GL'!BA14+'EAST-LRC-GL'!BA14</f>
        <v>0</v>
      </c>
      <c r="AP14" s="60">
        <f>'EAST-EGM-GL'!BB14+'EAST-LRC-GL'!BB14</f>
        <v>0</v>
      </c>
      <c r="AQ14" s="38">
        <f>'EAST-EGM-GL'!BC14+'EAST-LRC-GL'!BC14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'EAST-EGM-GL'!AT15+'EAST-LRC-GL'!AT15</f>
        <v>0</v>
      </c>
      <c r="AI15" s="38">
        <f>'EAST-EGM-GL'!AU15+'EAST-LRC-GL'!AU15</f>
        <v>0</v>
      </c>
      <c r="AJ15" s="60">
        <f>'EAST-EGM-GL'!AV15+'EAST-LRC-GL'!AV15</f>
        <v>0</v>
      </c>
      <c r="AK15" s="38">
        <f>'EAST-EGM-GL'!AW15+'EAST-LRC-GL'!AW15</f>
        <v>0</v>
      </c>
      <c r="AL15" s="60">
        <f>'EAST-EGM-GL'!AX15+'EAST-LRC-GL'!AX15</f>
        <v>0</v>
      </c>
      <c r="AM15" s="38">
        <f>'EAST-EGM-GL'!AY15+'EAST-LRC-GL'!AY15</f>
        <v>0</v>
      </c>
      <c r="AN15" s="60">
        <f>'EAST-EGM-GL'!AZ15+'EAST-LRC-GL'!AZ15</f>
        <v>0</v>
      </c>
      <c r="AO15" s="38">
        <f>'EAST-EGM-GL'!BA15+'EAST-LRC-GL'!BA15</f>
        <v>0</v>
      </c>
      <c r="AP15" s="60">
        <f>'EAST-EGM-GL'!BB15+'EAST-LRC-GL'!BB15</f>
        <v>0</v>
      </c>
      <c r="AQ15" s="38">
        <f>'EAST-EGM-GL'!BC15+'EAST-LRC-GL'!BC15</f>
        <v>0</v>
      </c>
    </row>
    <row r="16" spans="1:43" x14ac:dyDescent="0.2">
      <c r="A16" s="9"/>
      <c r="B16" s="7" t="s">
        <v>32</v>
      </c>
      <c r="C16" s="6"/>
      <c r="D16" s="61">
        <f>SUM(D11:D15)</f>
        <v>132127459</v>
      </c>
      <c r="E16" s="39">
        <f>SUM(E11:E15)</f>
        <v>269022372.25999999</v>
      </c>
      <c r="F16" s="61">
        <f t="shared" ref="F16:AA16" si="1">SUM(F11:F15)</f>
        <v>0</v>
      </c>
      <c r="G16" s="39">
        <f t="shared" si="1"/>
        <v>-3632426.7600000002</v>
      </c>
      <c r="H16" s="61">
        <f t="shared" si="1"/>
        <v>134605507</v>
      </c>
      <c r="I16" s="39">
        <f t="shared" si="1"/>
        <v>270069976.28999996</v>
      </c>
      <c r="J16" s="61">
        <f t="shared" si="1"/>
        <v>-725057</v>
      </c>
      <c r="K16" s="39">
        <f t="shared" si="1"/>
        <v>14100661.229999999</v>
      </c>
      <c r="L16" s="61">
        <f t="shared" si="1"/>
        <v>-198</v>
      </c>
      <c r="M16" s="39">
        <f t="shared" si="1"/>
        <v>-191798.16</v>
      </c>
      <c r="N16" s="61">
        <f t="shared" si="1"/>
        <v>-2064015</v>
      </c>
      <c r="O16" s="39">
        <f t="shared" si="1"/>
        <v>-2482315.7599999998</v>
      </c>
      <c r="P16" s="61">
        <f t="shared" si="1"/>
        <v>-15</v>
      </c>
      <c r="Q16" s="39">
        <f t="shared" si="1"/>
        <v>26852.38</v>
      </c>
      <c r="R16" s="61">
        <f t="shared" si="1"/>
        <v>100000</v>
      </c>
      <c r="S16" s="39">
        <f t="shared" si="1"/>
        <v>195290.01</v>
      </c>
      <c r="T16" s="61">
        <f t="shared" si="1"/>
        <v>1407956</v>
      </c>
      <c r="U16" s="39">
        <f t="shared" si="1"/>
        <v>-6788520.5999999996</v>
      </c>
      <c r="V16" s="61">
        <f t="shared" si="1"/>
        <v>1801916</v>
      </c>
      <c r="W16" s="39">
        <f t="shared" si="1"/>
        <v>3575228</v>
      </c>
      <c r="X16" s="61">
        <f t="shared" si="1"/>
        <v>-3015440</v>
      </c>
      <c r="Y16" s="39">
        <f t="shared" si="1"/>
        <v>-5916534</v>
      </c>
      <c r="Z16" s="61">
        <f t="shared" si="1"/>
        <v>3015440</v>
      </c>
      <c r="AA16" s="39">
        <f t="shared" si="1"/>
        <v>5916534</v>
      </c>
      <c r="AB16" s="61">
        <f t="shared" ref="AB16:AQ16" si="2">SUM(AB11:AB15)</f>
        <v>16805</v>
      </c>
      <c r="AC16" s="39">
        <f t="shared" si="2"/>
        <v>65959.63</v>
      </c>
      <c r="AD16" s="61">
        <f t="shared" si="2"/>
        <v>-3015440</v>
      </c>
      <c r="AE16" s="39">
        <f t="shared" si="2"/>
        <v>-5916534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-89227403</v>
      </c>
      <c r="E19" s="38">
        <f t="shared" si="3"/>
        <v>-175496738.19000006</v>
      </c>
      <c r="F19" s="64">
        <f>('TIE-OUT'!J19+'TIE-OUT'!H19)+(RECLASS!J19+RECLASS!H19)</f>
        <v>0</v>
      </c>
      <c r="G19" s="68">
        <f>('TIE-OUT'!K19+'TIE-OUT'!I19)+(RECLASS!K19+RECLASS!I19)</f>
        <v>-19344</v>
      </c>
      <c r="H19" s="60">
        <f>'EAST-EGM-GL'!H19+'EAST-LRC-GL'!H19</f>
        <v>-92343518</v>
      </c>
      <c r="I19" s="38">
        <f>'EAST-EGM-GL'!I19+'EAST-LRC-GL'!I19</f>
        <v>-176249165.56000003</v>
      </c>
      <c r="J19" s="60">
        <f>'EAST-EGM-GL'!J19+'EAST-LRC-GL'!J19</f>
        <v>244831</v>
      </c>
      <c r="K19" s="38">
        <f>'EAST-EGM-GL'!K19+'EAST-LRC-GL'!K19</f>
        <v>-2395122.61</v>
      </c>
      <c r="L19" s="60">
        <f>'EAST-EGM-GL'!L19+'EAST-LRC-GL'!L19</f>
        <v>-175270</v>
      </c>
      <c r="M19" s="38">
        <f>'EAST-EGM-GL'!M19+'EAST-LRC-GL'!M19</f>
        <v>-277700.59000000003</v>
      </c>
      <c r="N19" s="60">
        <f>'EAST-EGM-GL'!N19+'EAST-LRC-GL'!N19</f>
        <v>3129818</v>
      </c>
      <c r="O19" s="38">
        <f>'EAST-EGM-GL'!O19+'EAST-LRC-GL'!O19</f>
        <v>3862462.79</v>
      </c>
      <c r="P19" s="60">
        <f>'EAST-EGM-GL'!P19+'EAST-LRC-GL'!P19</f>
        <v>326</v>
      </c>
      <c r="Q19" s="38">
        <f>'EAST-EGM-GL'!Q19+'EAST-LRC-GL'!Q19</f>
        <v>-16412.310000000001</v>
      </c>
      <c r="R19" s="60">
        <f>'EAST-EGM-GL'!R19+'EAST-LRC-GL'!R19</f>
        <v>-101397</v>
      </c>
      <c r="S19" s="38">
        <f>'EAST-EGM-GL'!S19+'EAST-LRC-GL'!S19</f>
        <v>-215463.73</v>
      </c>
      <c r="T19" s="60">
        <f>'EAST-EGM-GL'!T19+'EAST-LRC-GL'!T19</f>
        <v>17807</v>
      </c>
      <c r="U19" s="38">
        <f>'EAST-EGM-GL'!U19+'EAST-LRC-GL'!U19</f>
        <v>-186122.28</v>
      </c>
      <c r="V19" s="60">
        <f>'EAST-EGM-GL'!V19+'EAST-LRC-GL'!V19</f>
        <v>0</v>
      </c>
      <c r="W19" s="38">
        <f>'EAST-EGM-GL'!W19+'EAST-LRC-GL'!W19</f>
        <v>130.1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'EAST-EGM-GL'!AF19+'EAST-LRC-GL'!AF19</f>
        <v>0</v>
      </c>
      <c r="AG19" s="38">
        <f>'EAST-EGM-GL'!AG19+'EAST-LRC-GL'!AG19</f>
        <v>0</v>
      </c>
      <c r="AH19" s="60">
        <f>'EAST-EGM-GL'!AT19+'EAST-LRC-GL'!AT19</f>
        <v>0</v>
      </c>
      <c r="AI19" s="38">
        <f>'EAST-EGM-GL'!AU19+'EAST-LRC-GL'!AU19</f>
        <v>0</v>
      </c>
      <c r="AJ19" s="60">
        <f>'EAST-EGM-GL'!AV19+'EAST-LRC-GL'!AV19</f>
        <v>0</v>
      </c>
      <c r="AK19" s="38">
        <f>'EAST-EGM-GL'!AW19+'EAST-LRC-GL'!AW19</f>
        <v>0</v>
      </c>
      <c r="AL19" s="60">
        <f>'EAST-EGM-GL'!AX19+'EAST-LRC-GL'!AX19</f>
        <v>0</v>
      </c>
      <c r="AM19" s="38">
        <f>'EAST-EGM-GL'!AY19+'EAST-LRC-GL'!AY19</f>
        <v>0</v>
      </c>
      <c r="AN19" s="60">
        <f>'EAST-EGM-GL'!AZ19+'EAST-LRC-GL'!AZ19</f>
        <v>0</v>
      </c>
      <c r="AO19" s="38">
        <f>'EAST-EGM-GL'!BA19+'EAST-LRC-GL'!BA19</f>
        <v>0</v>
      </c>
      <c r="AP19" s="60">
        <f>'EAST-EGM-GL'!BB19+'EAST-LRC-GL'!BB19</f>
        <v>0</v>
      </c>
      <c r="AQ19" s="38">
        <f>'EAST-EGM-GL'!BC19+'EAST-LRC-GL'!BC19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-656662.31000000006</v>
      </c>
      <c r="F20" s="60">
        <f>('TIE-OUT'!J20+'TIE-OUT'!H20)+(RECLASS!J20+RECLASS!H20)</f>
        <v>0</v>
      </c>
      <c r="G20" s="38">
        <f>('TIE-OUT'!K20+'TIE-OUT'!I20)+(RECLASS!K20+RECLASS!I20)</f>
        <v>-656662.31000000006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'EAST-EGM-GL'!AT20+'EAST-LRC-GL'!AT20</f>
        <v>0</v>
      </c>
      <c r="AI20" s="38">
        <f>'EAST-EGM-GL'!AU20+'EAST-LRC-GL'!AU20</f>
        <v>0</v>
      </c>
      <c r="AJ20" s="60">
        <f>'EAST-EGM-GL'!AV20+'EAST-LRC-GL'!AV20</f>
        <v>0</v>
      </c>
      <c r="AK20" s="38">
        <f>'EAST-EGM-GL'!AW20+'EAST-LRC-GL'!AW20</f>
        <v>0</v>
      </c>
      <c r="AL20" s="60">
        <f>'EAST-EGM-GL'!AX20+'EAST-LRC-GL'!AX20</f>
        <v>0</v>
      </c>
      <c r="AM20" s="38">
        <f>'EAST-EGM-GL'!AY20+'EAST-LRC-GL'!AY20</f>
        <v>0</v>
      </c>
      <c r="AN20" s="60">
        <f>'EAST-EGM-GL'!AZ20+'EAST-LRC-GL'!AZ20</f>
        <v>0</v>
      </c>
      <c r="AO20" s="38">
        <f>'EAST-EGM-GL'!BA20+'EAST-LRC-GL'!BA20</f>
        <v>0</v>
      </c>
      <c r="AP20" s="60">
        <f>'EAST-EGM-GL'!BB20+'EAST-LRC-GL'!BB20</f>
        <v>0</v>
      </c>
      <c r="AQ20" s="38">
        <f>'EAST-EGM-GL'!BC20+'EAST-LRC-GL'!BC20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-36200601</v>
      </c>
      <c r="E21" s="38">
        <f t="shared" si="3"/>
        <v>-77799344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-36200601</v>
      </c>
      <c r="I21" s="38">
        <f>'EAST-EGM-GL'!I21+'EAST-LRC-GL'!I21</f>
        <v>-77799344</v>
      </c>
      <c r="J21" s="60">
        <f>'EAST-EGM-GL'!J21+'EAST-LRC-GL'!J21</f>
        <v>403986</v>
      </c>
      <c r="K21" s="38">
        <f>'EAST-EGM-GL'!K21+'EAST-LRC-GL'!K21</f>
        <v>757446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-1416416</v>
      </c>
      <c r="U21" s="38">
        <f>'EAST-EGM-GL'!U21+'EAST-LRC-GL'!U21</f>
        <v>-2756660</v>
      </c>
      <c r="V21" s="60">
        <f>'EAST-EGM-GL'!V21+'EAST-LRC-GL'!V21</f>
        <v>-1801916</v>
      </c>
      <c r="W21" s="38">
        <f>'EAST-EGM-GL'!W21+'EAST-LRC-GL'!W21</f>
        <v>-3575228</v>
      </c>
      <c r="X21" s="60">
        <f>'EAST-EGM-GL'!X21+'EAST-LRC-GL'!X21</f>
        <v>2814346</v>
      </c>
      <c r="Y21" s="38">
        <f>'EAST-EGM-GL'!Y21+'EAST-LRC-GL'!Y21</f>
        <v>5574442</v>
      </c>
      <c r="Z21" s="60">
        <f>'EAST-EGM-GL'!Z21+'EAST-LRC-GL'!Z21</f>
        <v>-2814346</v>
      </c>
      <c r="AA21" s="38">
        <f>'EAST-EGM-GL'!AA21+'EAST-LRC-GL'!AA21</f>
        <v>-5574442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2814346</v>
      </c>
      <c r="AE21" s="38">
        <f>'EAST-EGM-GL'!AE21+'EAST-LRC-GL'!AE21</f>
        <v>5574442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'EAST-EGM-GL'!AT21+'EAST-LRC-GL'!AT21</f>
        <v>0</v>
      </c>
      <c r="AI21" s="38">
        <f>'EAST-EGM-GL'!AU21+'EAST-LRC-GL'!AU21</f>
        <v>0</v>
      </c>
      <c r="AJ21" s="60">
        <f>'EAST-EGM-GL'!AV21+'EAST-LRC-GL'!AV21</f>
        <v>0</v>
      </c>
      <c r="AK21" s="38">
        <f>'EAST-EGM-GL'!AW21+'EAST-LRC-GL'!AW21</f>
        <v>0</v>
      </c>
      <c r="AL21" s="60">
        <f>'EAST-EGM-GL'!AX21+'EAST-LRC-GL'!AX21</f>
        <v>0</v>
      </c>
      <c r="AM21" s="38">
        <f>'EAST-EGM-GL'!AY21+'EAST-LRC-GL'!AY21</f>
        <v>0</v>
      </c>
      <c r="AN21" s="60">
        <f>'EAST-EGM-GL'!AZ21+'EAST-LRC-GL'!AZ21</f>
        <v>0</v>
      </c>
      <c r="AO21" s="38">
        <f>'EAST-EGM-GL'!BA21+'EAST-LRC-GL'!BA21</f>
        <v>0</v>
      </c>
      <c r="AP21" s="60">
        <f>'EAST-EGM-GL'!BB21+'EAST-LRC-GL'!BB21</f>
        <v>0</v>
      </c>
      <c r="AQ21" s="38">
        <f>'EAST-EGM-GL'!BC21+'EAST-LRC-GL'!BC21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'EAST-EGM-GL'!AT22+'EAST-LRC-GL'!AT22</f>
        <v>0</v>
      </c>
      <c r="AI22" s="38">
        <f>'EAST-EGM-GL'!AU22+'EAST-LRC-GL'!AU22</f>
        <v>0</v>
      </c>
      <c r="AJ22" s="60">
        <f>'EAST-EGM-GL'!AV22+'EAST-LRC-GL'!AV22</f>
        <v>0</v>
      </c>
      <c r="AK22" s="38">
        <f>'EAST-EGM-GL'!AW22+'EAST-LRC-GL'!AW22</f>
        <v>0</v>
      </c>
      <c r="AL22" s="60">
        <f>'EAST-EGM-GL'!AX22+'EAST-LRC-GL'!AX22</f>
        <v>0</v>
      </c>
      <c r="AM22" s="38">
        <f>'EAST-EGM-GL'!AY22+'EAST-LRC-GL'!AY22</f>
        <v>0</v>
      </c>
      <c r="AN22" s="60">
        <f>'EAST-EGM-GL'!AZ22+'EAST-LRC-GL'!AZ22</f>
        <v>0</v>
      </c>
      <c r="AO22" s="38">
        <f>'EAST-EGM-GL'!BA22+'EAST-LRC-GL'!BA22</f>
        <v>0</v>
      </c>
      <c r="AP22" s="60">
        <f>'EAST-EGM-GL'!BB22+'EAST-LRC-GL'!BB22</f>
        <v>0</v>
      </c>
      <c r="AQ22" s="38">
        <f>'EAST-EGM-GL'!BC22+'EAST-LRC-GL'!BC22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245028</v>
      </c>
      <c r="E23" s="38">
        <f t="shared" si="3"/>
        <v>470600.98800000001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277886</v>
      </c>
      <c r="I23" s="38">
        <f>'EAST-EGM-GL'!I23+'EAST-LRC-GL'!I23</f>
        <v>527427.63</v>
      </c>
      <c r="J23" s="60">
        <f>'EAST-EGM-GL'!J23+'EAST-LRC-GL'!J23</f>
        <v>-11536</v>
      </c>
      <c r="K23" s="38">
        <f>'EAST-EGM-GL'!K23+'EAST-LRC-GL'!K23</f>
        <v>-17329.675999999999</v>
      </c>
      <c r="L23" s="60">
        <f>'EAST-EGM-GL'!L23+'EAST-LRC-GL'!L23</f>
        <v>-21322</v>
      </c>
      <c r="M23" s="38">
        <f>'EAST-EGM-GL'!M23+'EAST-LRC-GL'!M23</f>
        <v>-40469.156000000003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-61</v>
      </c>
      <c r="U23" s="38">
        <f>'EAST-EGM-GL'!U23+'EAST-LRC-GL'!U23</f>
        <v>850.19</v>
      </c>
      <c r="V23" s="60">
        <f>'EAST-EGM-GL'!V23+'EAST-LRC-GL'!V23</f>
        <v>61</v>
      </c>
      <c r="W23" s="38">
        <f>'EAST-EGM-GL'!W23+'EAST-LRC-GL'!W23</f>
        <v>122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0</v>
      </c>
      <c r="AG23" s="38">
        <f>'EAST-EGM-GL'!AG23+'EAST-LRC-GL'!AG23</f>
        <v>0</v>
      </c>
      <c r="AH23" s="60">
        <f>'EAST-EGM-GL'!AT23+'EAST-LRC-GL'!AT23</f>
        <v>0</v>
      </c>
      <c r="AI23" s="38">
        <f>'EAST-EGM-GL'!AU23+'EAST-LRC-GL'!AU23</f>
        <v>0</v>
      </c>
      <c r="AJ23" s="60">
        <f>'EAST-EGM-GL'!AV23+'EAST-LRC-GL'!AV23</f>
        <v>0</v>
      </c>
      <c r="AK23" s="38">
        <f>'EAST-EGM-GL'!AW23+'EAST-LRC-GL'!AW23</f>
        <v>0</v>
      </c>
      <c r="AL23" s="60">
        <f>'EAST-EGM-GL'!AX23+'EAST-LRC-GL'!AX23</f>
        <v>0</v>
      </c>
      <c r="AM23" s="38">
        <f>'EAST-EGM-GL'!AY23+'EAST-LRC-GL'!AY23</f>
        <v>0</v>
      </c>
      <c r="AN23" s="60">
        <f>'EAST-EGM-GL'!AZ23+'EAST-LRC-GL'!AZ23</f>
        <v>0</v>
      </c>
      <c r="AO23" s="38">
        <f>'EAST-EGM-GL'!BA23+'EAST-LRC-GL'!BA23</f>
        <v>0</v>
      </c>
      <c r="AP23" s="60">
        <f>'EAST-EGM-GL'!BB23+'EAST-LRC-GL'!BB23</f>
        <v>0</v>
      </c>
      <c r="AQ23" s="38">
        <f>'EAST-EGM-GL'!BC23+'EAST-LRC-GL'!BC23</f>
        <v>0</v>
      </c>
    </row>
    <row r="24" spans="1:43" x14ac:dyDescent="0.2">
      <c r="A24" s="9"/>
      <c r="B24" s="7" t="s">
        <v>35</v>
      </c>
      <c r="C24" s="6"/>
      <c r="D24" s="61">
        <f>SUM(D19:D23)</f>
        <v>-125182976</v>
      </c>
      <c r="E24" s="39">
        <f>SUM(E19:E23)</f>
        <v>-253482143.51200005</v>
      </c>
      <c r="F24" s="61">
        <f t="shared" ref="F24:AA24" si="4">SUM(F19:F23)</f>
        <v>0</v>
      </c>
      <c r="G24" s="39">
        <f t="shared" si="4"/>
        <v>-676006.31</v>
      </c>
      <c r="H24" s="61">
        <f t="shared" si="4"/>
        <v>-128266233</v>
      </c>
      <c r="I24" s="39">
        <f t="shared" si="4"/>
        <v>-253521081.93000004</v>
      </c>
      <c r="J24" s="61">
        <f t="shared" si="4"/>
        <v>637281</v>
      </c>
      <c r="K24" s="39">
        <f t="shared" si="4"/>
        <v>-1655006.2859999998</v>
      </c>
      <c r="L24" s="61">
        <f t="shared" si="4"/>
        <v>-196592</v>
      </c>
      <c r="M24" s="39">
        <f t="shared" si="4"/>
        <v>-318169.74600000004</v>
      </c>
      <c r="N24" s="61">
        <f t="shared" si="4"/>
        <v>3129818</v>
      </c>
      <c r="O24" s="39">
        <f t="shared" si="4"/>
        <v>3862462.79</v>
      </c>
      <c r="P24" s="61">
        <f t="shared" si="4"/>
        <v>326</v>
      </c>
      <c r="Q24" s="39">
        <f t="shared" si="4"/>
        <v>-16412.310000000001</v>
      </c>
      <c r="R24" s="61">
        <f t="shared" si="4"/>
        <v>-101397</v>
      </c>
      <c r="S24" s="39">
        <f t="shared" si="4"/>
        <v>-215463.73</v>
      </c>
      <c r="T24" s="61">
        <f t="shared" si="4"/>
        <v>-1398670</v>
      </c>
      <c r="U24" s="39">
        <f t="shared" si="4"/>
        <v>-2941932.09</v>
      </c>
      <c r="V24" s="61">
        <f t="shared" si="4"/>
        <v>-1801855</v>
      </c>
      <c r="W24" s="39">
        <f t="shared" si="4"/>
        <v>-3574975.9</v>
      </c>
      <c r="X24" s="61">
        <f t="shared" si="4"/>
        <v>2814346</v>
      </c>
      <c r="Y24" s="39">
        <f t="shared" si="4"/>
        <v>5574442</v>
      </c>
      <c r="Z24" s="61">
        <f t="shared" si="4"/>
        <v>-2814346</v>
      </c>
      <c r="AA24" s="39">
        <f t="shared" si="4"/>
        <v>-5574442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2814346</v>
      </c>
      <c r="AE24" s="39">
        <f t="shared" si="5"/>
        <v>5574442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2374919</v>
      </c>
      <c r="E27" s="38">
        <f>SUM(G27,I27,K27,M27,O27,Q27,S27,U27,W27,Y27,AA27,AC27,AE27,AG27)</f>
        <v>5028520.5900000017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3500098</v>
      </c>
      <c r="I27" s="38">
        <f>'EAST-EGM-GL'!I27+'EAST-LRC-GL'!I27</f>
        <v>7081904.4699999997</v>
      </c>
      <c r="J27" s="60">
        <f>'EAST-EGM-GL'!J27+'EAST-LRC-GL'!J27</f>
        <v>-858636</v>
      </c>
      <c r="K27" s="38">
        <f>'EAST-EGM-GL'!K27+'EAST-LRC-GL'!K27</f>
        <v>-1500216.23</v>
      </c>
      <c r="L27" s="60">
        <f>'EAST-EGM-GL'!L27+'EAST-LRC-GL'!L27</f>
        <v>0</v>
      </c>
      <c r="M27" s="38">
        <f>'EAST-EGM-GL'!M27+'EAST-LRC-GL'!M27</f>
        <v>-0.01</v>
      </c>
      <c r="N27" s="60">
        <f>'EAST-EGM-GL'!N27+'EAST-LRC-GL'!N27</f>
        <v>-29845</v>
      </c>
      <c r="O27" s="38">
        <f>'EAST-EGM-GL'!O27+'EAST-LRC-GL'!O27</f>
        <v>-69052.87</v>
      </c>
      <c r="P27" s="60">
        <f>'EAST-EGM-GL'!P27+'EAST-LRC-GL'!P27</f>
        <v>7535</v>
      </c>
      <c r="Q27" s="38">
        <f>'EAST-EGM-GL'!Q27+'EAST-LRC-GL'!Q27</f>
        <v>15070</v>
      </c>
      <c r="R27" s="60">
        <f>'EAST-EGM-GL'!R27+'EAST-LRC-GL'!R27</f>
        <v>-232817</v>
      </c>
      <c r="S27" s="38">
        <f>'EAST-EGM-GL'!S27+'EAST-LRC-GL'!S27</f>
        <v>-471909.38</v>
      </c>
      <c r="T27" s="60">
        <f>'EAST-EGM-GL'!T27+'EAST-LRC-GL'!T27</f>
        <v>38026</v>
      </c>
      <c r="U27" s="38">
        <f>'EAST-EGM-GL'!U27+'EAST-LRC-GL'!U27</f>
        <v>83284.95</v>
      </c>
      <c r="V27" s="60">
        <f>'EAST-EGM-GL'!V27+'EAST-LRC-GL'!V27</f>
        <v>-84440</v>
      </c>
      <c r="W27" s="38">
        <f>'EAST-EGM-GL'!W27+'EAST-LRC-GL'!W27</f>
        <v>-179997.39</v>
      </c>
      <c r="X27" s="60">
        <f>'EAST-EGM-GL'!X27+'EAST-LRC-GL'!X27</f>
        <v>4653</v>
      </c>
      <c r="Y27" s="38">
        <f>'EAST-EGM-GL'!Y27+'EAST-LRC-GL'!Y27</f>
        <v>8727.48</v>
      </c>
      <c r="Z27" s="60">
        <f>'EAST-EGM-GL'!Z27+'EAST-LRC-GL'!Z27</f>
        <v>30345</v>
      </c>
      <c r="AA27" s="38">
        <f>'EAST-EGM-GL'!AA27+'EAST-LRC-GL'!AA27</f>
        <v>60709.57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0</v>
      </c>
      <c r="AG27" s="38">
        <f>'EAST-EGM-GL'!AG27+'EAST-LRC-GL'!AG27</f>
        <v>0</v>
      </c>
      <c r="AH27" s="60">
        <f>'EAST-EGM-GL'!AT27+'EAST-LRC-GL'!AT27</f>
        <v>0</v>
      </c>
      <c r="AI27" s="38">
        <f>'EAST-EGM-GL'!AU27+'EAST-LRC-GL'!AU27</f>
        <v>0</v>
      </c>
      <c r="AJ27" s="60">
        <f>'EAST-EGM-GL'!AV27+'EAST-LRC-GL'!AV27</f>
        <v>0</v>
      </c>
      <c r="AK27" s="38">
        <f>'EAST-EGM-GL'!AW27+'EAST-LRC-GL'!AW27</f>
        <v>0</v>
      </c>
      <c r="AL27" s="60">
        <f>'EAST-EGM-GL'!AX27+'EAST-LRC-GL'!AX27</f>
        <v>0</v>
      </c>
      <c r="AM27" s="38">
        <f>'EAST-EGM-GL'!AY27+'EAST-LRC-GL'!AY27</f>
        <v>0</v>
      </c>
      <c r="AN27" s="60">
        <f>'EAST-EGM-GL'!AZ27+'EAST-LRC-GL'!AZ27</f>
        <v>0</v>
      </c>
      <c r="AO27" s="38">
        <f>'EAST-EGM-GL'!BA27+'EAST-LRC-GL'!BA27</f>
        <v>0</v>
      </c>
      <c r="AP27" s="60">
        <f>'EAST-EGM-GL'!BB27+'EAST-LRC-GL'!BB27</f>
        <v>0</v>
      </c>
      <c r="AQ27" s="38">
        <f>'EAST-EGM-GL'!BC27+'EAST-LRC-GL'!BC27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-10930098</v>
      </c>
      <c r="E28" s="38">
        <f>SUM(G28,I28,K28,M28,O28,Q28,S28,U28,W28,Y28,AA28,AC28,AE28,AG28)</f>
        <v>-23285823.689999998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-12190443</v>
      </c>
      <c r="I28" s="38">
        <f>'EAST-EGM-GL'!I28+'EAST-LRC-GL'!I28</f>
        <v>-25832552.829999998</v>
      </c>
      <c r="J28" s="60">
        <f>'EAST-EGM-GL'!J28+'EAST-LRC-GL'!J28</f>
        <v>997551</v>
      </c>
      <c r="K28" s="38">
        <f>'EAST-EGM-GL'!K28+'EAST-LRC-GL'!K28</f>
        <v>2111252.12</v>
      </c>
      <c r="L28" s="60">
        <f>'EAST-EGM-GL'!L28+'EAST-LRC-GL'!L28</f>
        <v>0</v>
      </c>
      <c r="M28" s="38">
        <f>'EAST-EGM-GL'!M28+'EAST-LRC-GL'!M28</f>
        <v>-325.22000000000003</v>
      </c>
      <c r="N28" s="60">
        <f>'EAST-EGM-GL'!N28+'EAST-LRC-GL'!N28</f>
        <v>21448</v>
      </c>
      <c r="O28" s="38">
        <f>'EAST-EGM-GL'!O28+'EAST-LRC-GL'!O28</f>
        <v>47780.38</v>
      </c>
      <c r="P28" s="60">
        <f>'EAST-EGM-GL'!P28+'EAST-LRC-GL'!P28</f>
        <v>-24032</v>
      </c>
      <c r="Q28" s="38">
        <f>'EAST-EGM-GL'!Q28+'EAST-LRC-GL'!Q28</f>
        <v>14532.86</v>
      </c>
      <c r="R28" s="60">
        <f>'EAST-EGM-GL'!R28+'EAST-LRC-GL'!R28</f>
        <v>109631</v>
      </c>
      <c r="S28" s="38">
        <f>'EAST-EGM-GL'!S28+'EAST-LRC-GL'!S28</f>
        <v>52663.55</v>
      </c>
      <c r="T28" s="60">
        <f>'EAST-EGM-GL'!T28+'EAST-LRC-GL'!T28</f>
        <v>106304</v>
      </c>
      <c r="U28" s="38">
        <f>'EAST-EGM-GL'!U28+'EAST-LRC-GL'!U28</f>
        <v>210609.18</v>
      </c>
      <c r="V28" s="60">
        <f>'EAST-EGM-GL'!V28+'EAST-LRC-GL'!V28</f>
        <v>14249</v>
      </c>
      <c r="W28" s="38">
        <f>'EAST-EGM-GL'!W28+'EAST-LRC-GL'!W28</f>
        <v>33417.49</v>
      </c>
      <c r="X28" s="60">
        <f>'EAST-EGM-GL'!X28+'EAST-LRC-GL'!X28</f>
        <v>65538</v>
      </c>
      <c r="Y28" s="38">
        <f>'EAST-EGM-GL'!Y28+'EAST-LRC-GL'!Y28</f>
        <v>136288.69</v>
      </c>
      <c r="Z28" s="60">
        <f>'EAST-EGM-GL'!Z28+'EAST-LRC-GL'!Z28</f>
        <v>-30345</v>
      </c>
      <c r="AA28" s="38">
        <f>'EAST-EGM-GL'!AA28+'EAST-LRC-GL'!AA28</f>
        <v>-59491.15</v>
      </c>
      <c r="AB28" s="60">
        <f>'EAST-EGM-GL'!AB28+'EAST-LRC-GL'!AB28</f>
        <v>0</v>
      </c>
      <c r="AC28" s="38">
        <f>'EAST-EGM-GL'!AC28+'EAST-LRC-GL'!AC28</f>
        <v>1.24</v>
      </c>
      <c r="AD28" s="60">
        <f>'EAST-EGM-GL'!AD28+'EAST-LRC-GL'!AD28</f>
        <v>1</v>
      </c>
      <c r="AE28" s="38">
        <f>'EAST-EGM-GL'!AE28+'EAST-LRC-GL'!AE28</f>
        <v>2</v>
      </c>
      <c r="AF28" s="60">
        <f>'EAST-EGM-GL'!AF28+'EAST-LRC-GL'!AF28</f>
        <v>0</v>
      </c>
      <c r="AG28" s="38">
        <f>'EAST-EGM-GL'!AG28+'EAST-LRC-GL'!AG28</f>
        <v>-2</v>
      </c>
      <c r="AH28" s="60">
        <f>'EAST-EGM-GL'!AT28+'EAST-LRC-GL'!AT28</f>
        <v>0</v>
      </c>
      <c r="AI28" s="38">
        <f>'EAST-EGM-GL'!AU28+'EAST-LRC-GL'!AU28</f>
        <v>0</v>
      </c>
      <c r="AJ28" s="60">
        <f>'EAST-EGM-GL'!AV28+'EAST-LRC-GL'!AV28</f>
        <v>0</v>
      </c>
      <c r="AK28" s="38">
        <f>'EAST-EGM-GL'!AW28+'EAST-LRC-GL'!AW28</f>
        <v>0</v>
      </c>
      <c r="AL28" s="60">
        <f>'EAST-EGM-GL'!AX28+'EAST-LRC-GL'!AX28</f>
        <v>0</v>
      </c>
      <c r="AM28" s="38">
        <f>'EAST-EGM-GL'!AY28+'EAST-LRC-GL'!AY28</f>
        <v>0</v>
      </c>
      <c r="AN28" s="60">
        <f>'EAST-EGM-GL'!AZ28+'EAST-LRC-GL'!AZ28</f>
        <v>0</v>
      </c>
      <c r="AO28" s="38">
        <f>'EAST-EGM-GL'!BA28+'EAST-LRC-GL'!BA28</f>
        <v>0</v>
      </c>
      <c r="AP28" s="60">
        <f>'EAST-EGM-GL'!BB28+'EAST-LRC-GL'!BB28</f>
        <v>0</v>
      </c>
      <c r="AQ28" s="38">
        <f>'EAST-EGM-GL'!BC28+'EAST-LRC-GL'!BC28</f>
        <v>0</v>
      </c>
    </row>
    <row r="29" spans="1:43" x14ac:dyDescent="0.2">
      <c r="A29" s="9"/>
      <c r="B29" s="7" t="s">
        <v>39</v>
      </c>
      <c r="C29" s="18"/>
      <c r="D29" s="61">
        <f>SUM(D27:D28)</f>
        <v>-8555179</v>
      </c>
      <c r="E29" s="39">
        <f>SUM(E27:E28)</f>
        <v>-18257303.099999994</v>
      </c>
      <c r="F29" s="61">
        <f t="shared" ref="F29:AA29" si="6">SUM(F27:F28)</f>
        <v>0</v>
      </c>
      <c r="G29" s="39">
        <f t="shared" si="6"/>
        <v>0</v>
      </c>
      <c r="H29" s="61">
        <f t="shared" si="6"/>
        <v>-8690345</v>
      </c>
      <c r="I29" s="39">
        <f t="shared" si="6"/>
        <v>-18750648.359999999</v>
      </c>
      <c r="J29" s="61">
        <f t="shared" si="6"/>
        <v>138915</v>
      </c>
      <c r="K29" s="39">
        <f t="shared" si="6"/>
        <v>611035.89000000013</v>
      </c>
      <c r="L29" s="61">
        <f t="shared" si="6"/>
        <v>0</v>
      </c>
      <c r="M29" s="39">
        <f t="shared" si="6"/>
        <v>-325.23</v>
      </c>
      <c r="N29" s="61">
        <f t="shared" si="6"/>
        <v>-8397</v>
      </c>
      <c r="O29" s="39">
        <f t="shared" si="6"/>
        <v>-21272.489999999998</v>
      </c>
      <c r="P29" s="61">
        <f t="shared" si="6"/>
        <v>-16497</v>
      </c>
      <c r="Q29" s="39">
        <f t="shared" si="6"/>
        <v>29602.86</v>
      </c>
      <c r="R29" s="61">
        <f t="shared" si="6"/>
        <v>-123186</v>
      </c>
      <c r="S29" s="39">
        <f t="shared" si="6"/>
        <v>-419245.83</v>
      </c>
      <c r="T29" s="61">
        <f t="shared" si="6"/>
        <v>144330</v>
      </c>
      <c r="U29" s="39">
        <f t="shared" si="6"/>
        <v>293894.13</v>
      </c>
      <c r="V29" s="61">
        <f t="shared" si="6"/>
        <v>-70191</v>
      </c>
      <c r="W29" s="39">
        <f t="shared" si="6"/>
        <v>-146579.90000000002</v>
      </c>
      <c r="X29" s="61">
        <f t="shared" si="6"/>
        <v>70191</v>
      </c>
      <c r="Y29" s="39">
        <f t="shared" si="6"/>
        <v>145016.17000000001</v>
      </c>
      <c r="Z29" s="61">
        <f t="shared" si="6"/>
        <v>0</v>
      </c>
      <c r="AA29" s="39">
        <f t="shared" si="6"/>
        <v>1218.4199999999983</v>
      </c>
      <c r="AB29" s="61">
        <f t="shared" ref="AB29:AQ29" si="7">SUM(AB27:AB28)</f>
        <v>0</v>
      </c>
      <c r="AC29" s="39">
        <f t="shared" si="7"/>
        <v>1.24</v>
      </c>
      <c r="AD29" s="61">
        <f t="shared" si="7"/>
        <v>1</v>
      </c>
      <c r="AE29" s="39">
        <f t="shared" si="7"/>
        <v>2</v>
      </c>
      <c r="AF29" s="61">
        <f>SUM(AF27:AF28)</f>
        <v>0</v>
      </c>
      <c r="AG29" s="39">
        <f>SUM(AG27:AG28)</f>
        <v>-2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288667</v>
      </c>
      <c r="E32" s="38">
        <f t="shared" si="8"/>
        <v>547890.14300000004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-254600</v>
      </c>
      <c r="I32" s="38">
        <f>'EAST-EGM-GL'!I32+'EAST-LRC-GL'!I32</f>
        <v>-483230.8</v>
      </c>
      <c r="J32" s="60">
        <f>'EAST-EGM-GL'!J32+'EAST-LRC-GL'!J32</f>
        <v>409354</v>
      </c>
      <c r="K32" s="38">
        <f>'EAST-EGM-GL'!K32+'EAST-LRC-GL'!K32</f>
        <v>840460.44000000006</v>
      </c>
      <c r="L32" s="60">
        <f>'EAST-EGM-GL'!L32+'EAST-LRC-GL'!L32</f>
        <v>271407</v>
      </c>
      <c r="M32" s="38">
        <f>'EAST-EGM-GL'!M32+'EAST-LRC-GL'!M32</f>
        <v>603636.19400000002</v>
      </c>
      <c r="N32" s="60">
        <f>'EAST-EGM-GL'!N32+'EAST-LRC-GL'!N32</f>
        <v>-68628</v>
      </c>
      <c r="O32" s="38">
        <f>'EAST-EGM-GL'!O32+'EAST-LRC-GL'!O32</f>
        <v>-148677.71400000001</v>
      </c>
      <c r="P32" s="60">
        <f>'EAST-EGM-GL'!P32+'EAST-LRC-GL'!P32</f>
        <v>32709</v>
      </c>
      <c r="Q32" s="38">
        <f>'EAST-EGM-GL'!Q32+'EAST-LRC-GL'!Q32</f>
        <v>401049.07500000001</v>
      </c>
      <c r="R32" s="60">
        <f>'EAST-EGM-GL'!R32+'EAST-LRC-GL'!R32</f>
        <v>1397</v>
      </c>
      <c r="S32" s="38">
        <f>'EAST-EGM-GL'!S32+'EAST-LRC-GL'!S32</f>
        <v>-79152.205999999991</v>
      </c>
      <c r="T32" s="60">
        <f>'EAST-EGM-GL'!T32+'EAST-LRC-GL'!T32</f>
        <v>-7027</v>
      </c>
      <c r="U32" s="38">
        <f>'EAST-EGM-GL'!U32+'EAST-LRC-GL'!U32</f>
        <v>-314785.34600000002</v>
      </c>
      <c r="V32" s="60">
        <f>'EAST-EGM-GL'!V32+'EAST-LRC-GL'!V32</f>
        <v>414</v>
      </c>
      <c r="W32" s="38">
        <f>'EAST-EGM-GL'!W32+'EAST-LRC-GL'!W32</f>
        <v>-88520.118000000002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-96359</v>
      </c>
      <c r="AC32" s="38">
        <f>'EAST-EGM-GL'!AC32+'EAST-LRC-GL'!AC32</f>
        <v>-182889.38200000001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'EAST-EGM-GL'!AF32+'EAST-LRC-GL'!AF32</f>
        <v>0</v>
      </c>
      <c r="AG32" s="38">
        <f>'EAST-EGM-GL'!AG32+'EAST-LRC-GL'!AG32</f>
        <v>0</v>
      </c>
      <c r="AH32" s="60">
        <f>'EAST-EGM-GL'!AT32+'EAST-LRC-GL'!AT32</f>
        <v>0</v>
      </c>
      <c r="AI32" s="38">
        <f>'EAST-EGM-GL'!AU32+'EAST-LRC-GL'!AU32</f>
        <v>0</v>
      </c>
      <c r="AJ32" s="60">
        <f>'EAST-EGM-GL'!AV32+'EAST-LRC-GL'!AV32</f>
        <v>0</v>
      </c>
      <c r="AK32" s="38">
        <f>'EAST-EGM-GL'!AW32+'EAST-LRC-GL'!AW32</f>
        <v>0</v>
      </c>
      <c r="AL32" s="60">
        <f>'EAST-EGM-GL'!AX32+'EAST-LRC-GL'!AX32</f>
        <v>0</v>
      </c>
      <c r="AM32" s="38">
        <f>'EAST-EGM-GL'!AY32+'EAST-LRC-GL'!AY32</f>
        <v>0</v>
      </c>
      <c r="AN32" s="60">
        <f>'EAST-EGM-GL'!AZ32+'EAST-LRC-GL'!AZ32</f>
        <v>0</v>
      </c>
      <c r="AO32" s="38">
        <f>'EAST-EGM-GL'!BA32+'EAST-LRC-GL'!BA32</f>
        <v>0</v>
      </c>
      <c r="AP32" s="60">
        <f>'EAST-EGM-GL'!BB32+'EAST-LRC-GL'!BB32</f>
        <v>0</v>
      </c>
      <c r="AQ32" s="38">
        <f>'EAST-EGM-GL'!BC32+'EAST-LRC-GL'!BC32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-529977</v>
      </c>
      <c r="E33" s="38">
        <f t="shared" si="8"/>
        <v>-1099530.46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-360677</v>
      </c>
      <c r="K33" s="38">
        <f>'EAST-EGM-GL'!K33+'EAST-LRC-GL'!K33</f>
        <v>-756198.97</v>
      </c>
      <c r="L33" s="60">
        <f>'EAST-EGM-GL'!L33+'EAST-LRC-GL'!L33</f>
        <v>-55948</v>
      </c>
      <c r="M33" s="38">
        <f>'EAST-EGM-GL'!M33+'EAST-LRC-GL'!M33</f>
        <v>-115400.25</v>
      </c>
      <c r="N33" s="60">
        <f>'EAST-EGM-GL'!N33+'EAST-LRC-GL'!N33</f>
        <v>-25887</v>
      </c>
      <c r="O33" s="38">
        <f>'EAST-EGM-GL'!O33+'EAST-LRC-GL'!O33</f>
        <v>-54426.93</v>
      </c>
      <c r="P33" s="60">
        <f>'EAST-EGM-GL'!P33+'EAST-LRC-GL'!P33</f>
        <v>-5</v>
      </c>
      <c r="Q33" s="38">
        <f>'EAST-EGM-GL'!Q33+'EAST-LRC-GL'!Q33</f>
        <v>-9.91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-87460</v>
      </c>
      <c r="U33" s="38">
        <f>'EAST-EGM-GL'!U33+'EAST-LRC-GL'!U33</f>
        <v>-173494.39999999999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'EAST-EGM-GL'!AT33+'EAST-LRC-GL'!AT33</f>
        <v>0</v>
      </c>
      <c r="AI33" s="38">
        <f>'EAST-EGM-GL'!AU33+'EAST-LRC-GL'!AU33</f>
        <v>0</v>
      </c>
      <c r="AJ33" s="60">
        <f>'EAST-EGM-GL'!AV33+'EAST-LRC-GL'!AV33</f>
        <v>0</v>
      </c>
      <c r="AK33" s="38">
        <f>'EAST-EGM-GL'!AW33+'EAST-LRC-GL'!AW33</f>
        <v>0</v>
      </c>
      <c r="AL33" s="60">
        <f>'EAST-EGM-GL'!AX33+'EAST-LRC-GL'!AX33</f>
        <v>0</v>
      </c>
      <c r="AM33" s="38">
        <f>'EAST-EGM-GL'!AY33+'EAST-LRC-GL'!AY33</f>
        <v>0</v>
      </c>
      <c r="AN33" s="60">
        <f>'EAST-EGM-GL'!AZ33+'EAST-LRC-GL'!AZ33</f>
        <v>0</v>
      </c>
      <c r="AO33" s="38">
        <f>'EAST-EGM-GL'!BA33+'EAST-LRC-GL'!BA33</f>
        <v>0</v>
      </c>
      <c r="AP33" s="60">
        <f>'EAST-EGM-GL'!BB33+'EAST-LRC-GL'!BB33</f>
        <v>0</v>
      </c>
      <c r="AQ33" s="38">
        <f>'EAST-EGM-GL'!BC33+'EAST-LRC-GL'!BC33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134471</v>
      </c>
      <c r="E34" s="38">
        <f t="shared" si="8"/>
        <v>268946.80000000005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24500</v>
      </c>
      <c r="K34" s="38">
        <f>'EAST-EGM-GL'!K34+'EAST-LRC-GL'!K34</f>
        <v>50053.5</v>
      </c>
      <c r="L34" s="60">
        <f>'EAST-EGM-GL'!L34+'EAST-LRC-GL'!L34</f>
        <v>175</v>
      </c>
      <c r="M34" s="38">
        <f>'EAST-EGM-GL'!M34+'EAST-LRC-GL'!M34</f>
        <v>370.58</v>
      </c>
      <c r="N34" s="60">
        <f>'EAST-EGM-GL'!N34+'EAST-LRC-GL'!N34</f>
        <v>97945</v>
      </c>
      <c r="O34" s="38">
        <f>'EAST-EGM-GL'!O34+'EAST-LRC-GL'!O34</f>
        <v>195013.89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11851</v>
      </c>
      <c r="U34" s="38">
        <f>'EAST-EGM-GL'!U34+'EAST-LRC-GL'!U34</f>
        <v>23508.83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0</v>
      </c>
      <c r="AG34" s="38">
        <f>'EAST-EGM-GL'!AG34+'EAST-LRC-GL'!AG34</f>
        <v>0</v>
      </c>
      <c r="AH34" s="60">
        <f>'EAST-EGM-GL'!AT34+'EAST-LRC-GL'!AT34</f>
        <v>0</v>
      </c>
      <c r="AI34" s="38">
        <f>'EAST-EGM-GL'!AU34+'EAST-LRC-GL'!AU34</f>
        <v>0</v>
      </c>
      <c r="AJ34" s="60">
        <f>'EAST-EGM-GL'!AV34+'EAST-LRC-GL'!AV34</f>
        <v>0</v>
      </c>
      <c r="AK34" s="38">
        <f>'EAST-EGM-GL'!AW34+'EAST-LRC-GL'!AW34</f>
        <v>0</v>
      </c>
      <c r="AL34" s="60">
        <f>'EAST-EGM-GL'!AX34+'EAST-LRC-GL'!AX34</f>
        <v>0</v>
      </c>
      <c r="AM34" s="38">
        <f>'EAST-EGM-GL'!AY34+'EAST-LRC-GL'!AY34</f>
        <v>0</v>
      </c>
      <c r="AN34" s="60">
        <f>'EAST-EGM-GL'!AZ34+'EAST-LRC-GL'!AZ34</f>
        <v>0</v>
      </c>
      <c r="AO34" s="38">
        <f>'EAST-EGM-GL'!BA34+'EAST-LRC-GL'!BA34</f>
        <v>0</v>
      </c>
      <c r="AP34" s="60">
        <f>'EAST-EGM-GL'!BB34+'EAST-LRC-GL'!BB34</f>
        <v>0</v>
      </c>
      <c r="AQ34" s="38">
        <f>'EAST-EGM-GL'!BC34+'EAST-LRC-GL'!BC34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-10006</v>
      </c>
      <c r="E35" s="38">
        <f t="shared" si="8"/>
        <v>18979.990000000002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-10006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18980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'EAST-EGM-GL'!AT35+'EAST-LRC-GL'!AT35</f>
        <v>0</v>
      </c>
      <c r="AI35" s="38">
        <f>'EAST-EGM-GL'!AU35+'EAST-LRC-GL'!AU35</f>
        <v>0</v>
      </c>
      <c r="AJ35" s="60">
        <f>'EAST-EGM-GL'!AV35+'EAST-LRC-GL'!AV35</f>
        <v>0</v>
      </c>
      <c r="AK35" s="38">
        <f>'EAST-EGM-GL'!AW35+'EAST-LRC-GL'!AW35</f>
        <v>0</v>
      </c>
      <c r="AL35" s="60">
        <f>'EAST-EGM-GL'!AX35+'EAST-LRC-GL'!AX35</f>
        <v>0</v>
      </c>
      <c r="AM35" s="38">
        <f>'EAST-EGM-GL'!AY35+'EAST-LRC-GL'!AY35</f>
        <v>0</v>
      </c>
      <c r="AN35" s="60">
        <f>'EAST-EGM-GL'!AZ35+'EAST-LRC-GL'!AZ35</f>
        <v>0</v>
      </c>
      <c r="AO35" s="38">
        <f>'EAST-EGM-GL'!BA35+'EAST-LRC-GL'!BA35</f>
        <v>0</v>
      </c>
      <c r="AP35" s="60">
        <f>'EAST-EGM-GL'!BB35+'EAST-LRC-GL'!BB35</f>
        <v>0</v>
      </c>
      <c r="AQ35" s="38">
        <f>'EAST-EGM-GL'!BC35+'EAST-LRC-GL'!BC35</f>
        <v>0</v>
      </c>
    </row>
    <row r="36" spans="1:43" x14ac:dyDescent="0.2">
      <c r="A36" s="9"/>
      <c r="B36" s="7" t="s">
        <v>45</v>
      </c>
      <c r="C36" s="6"/>
      <c r="D36" s="61">
        <f>SUM(D32:D35)</f>
        <v>-116845</v>
      </c>
      <c r="E36" s="39">
        <f>SUM(E32:E35)</f>
        <v>-263713.52699999989</v>
      </c>
      <c r="F36" s="61">
        <f t="shared" ref="F36:AA36" si="9">SUM(F32:F35)</f>
        <v>0</v>
      </c>
      <c r="G36" s="39">
        <f t="shared" si="9"/>
        <v>0</v>
      </c>
      <c r="H36" s="61">
        <f t="shared" si="9"/>
        <v>-264606</v>
      </c>
      <c r="I36" s="39">
        <f t="shared" si="9"/>
        <v>-483230.81</v>
      </c>
      <c r="J36" s="61">
        <f t="shared" si="9"/>
        <v>73177</v>
      </c>
      <c r="K36" s="39">
        <f t="shared" si="9"/>
        <v>134314.97000000009</v>
      </c>
      <c r="L36" s="61">
        <f t="shared" si="9"/>
        <v>215634</v>
      </c>
      <c r="M36" s="39">
        <f t="shared" si="9"/>
        <v>488606.52400000003</v>
      </c>
      <c r="N36" s="61">
        <f t="shared" si="9"/>
        <v>3430</v>
      </c>
      <c r="O36" s="39">
        <f t="shared" si="9"/>
        <v>-8090.7539999999863</v>
      </c>
      <c r="P36" s="61">
        <f t="shared" si="9"/>
        <v>32704</v>
      </c>
      <c r="Q36" s="39">
        <f t="shared" si="9"/>
        <v>401039.16500000004</v>
      </c>
      <c r="R36" s="61">
        <f t="shared" si="9"/>
        <v>1397</v>
      </c>
      <c r="S36" s="39">
        <f t="shared" si="9"/>
        <v>-79152.205999999991</v>
      </c>
      <c r="T36" s="61">
        <f t="shared" si="9"/>
        <v>-82636</v>
      </c>
      <c r="U36" s="39">
        <f t="shared" si="9"/>
        <v>-445790.91600000003</v>
      </c>
      <c r="V36" s="61">
        <f t="shared" si="9"/>
        <v>414</v>
      </c>
      <c r="W36" s="39">
        <f t="shared" si="9"/>
        <v>-88520.118000000002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-96359</v>
      </c>
      <c r="AC36" s="39">
        <f t="shared" si="10"/>
        <v>-182889.38200000001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1770091</v>
      </c>
      <c r="E39" s="38">
        <f t="shared" si="11"/>
        <v>3296996.59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1300803</v>
      </c>
      <c r="I39" s="38">
        <f>'EAST-EGM-GL'!I39+'EAST-LRC-GL'!I39</f>
        <v>2449436.83</v>
      </c>
      <c r="J39" s="60">
        <f>'EAST-EGM-GL'!J39+'EAST-LRC-GL'!J39</f>
        <v>464003</v>
      </c>
      <c r="K39" s="38">
        <f>'EAST-EGM-GL'!K39+'EAST-LRC-GL'!K39</f>
        <v>837595.58999999985</v>
      </c>
      <c r="L39" s="60">
        <f>'EAST-EGM-GL'!L39+'EAST-LRC-GL'!L39</f>
        <v>3708</v>
      </c>
      <c r="M39" s="38">
        <f>'EAST-EGM-GL'!M39+'EAST-LRC-GL'!M39</f>
        <v>6971.04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1567</v>
      </c>
      <c r="S39" s="38">
        <f>'EAST-EGM-GL'!S39+'EAST-LRC-GL'!S39</f>
        <v>2974.17</v>
      </c>
      <c r="T39" s="60">
        <f>'EAST-EGM-GL'!T39+'EAST-LRC-GL'!T39</f>
        <v>9</v>
      </c>
      <c r="U39" s="38">
        <f>'EAST-EGM-GL'!U39+'EAST-LRC-GL'!U39</f>
        <v>17.079999999999998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1</v>
      </c>
      <c r="AC39" s="38">
        <f>'EAST-EGM-GL'!AC39+'EAST-LRC-GL'!AC39</f>
        <v>1.88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'EAST-EGM-GL'!AF39+'EAST-LRC-GL'!AF39</f>
        <v>0</v>
      </c>
      <c r="AG39" s="38">
        <f>'EAST-EGM-GL'!AG39+'EAST-LRC-GL'!AG39</f>
        <v>0</v>
      </c>
      <c r="AH39" s="60">
        <f>'EAST-EGM-GL'!AT39+'EAST-LRC-GL'!AT39</f>
        <v>0</v>
      </c>
      <c r="AI39" s="38">
        <f>'EAST-EGM-GL'!AU39+'EAST-LRC-GL'!AU39</f>
        <v>0</v>
      </c>
      <c r="AJ39" s="60">
        <f>'EAST-EGM-GL'!AV39+'EAST-LRC-GL'!AV39</f>
        <v>0</v>
      </c>
      <c r="AK39" s="38">
        <f>'EAST-EGM-GL'!AW39+'EAST-LRC-GL'!AW39</f>
        <v>0</v>
      </c>
      <c r="AL39" s="60">
        <f>'EAST-EGM-GL'!AX39+'EAST-LRC-GL'!AX39</f>
        <v>0</v>
      </c>
      <c r="AM39" s="38">
        <f>'EAST-EGM-GL'!AY39+'EAST-LRC-GL'!AY39</f>
        <v>0</v>
      </c>
      <c r="AN39" s="60">
        <f>'EAST-EGM-GL'!AZ39+'EAST-LRC-GL'!AZ39</f>
        <v>0</v>
      </c>
      <c r="AO39" s="38">
        <f>'EAST-EGM-GL'!BA39+'EAST-LRC-GL'!BA39</f>
        <v>0</v>
      </c>
      <c r="AP39" s="60">
        <f>'EAST-EGM-GL'!BB39+'EAST-LRC-GL'!BB39</f>
        <v>0</v>
      </c>
      <c r="AQ39" s="38">
        <f>'EAST-EGM-GL'!BC39+'EAST-LRC-GL'!BC39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-544050</v>
      </c>
      <c r="E40" s="38">
        <f t="shared" si="11"/>
        <v>-988057.74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-709556</v>
      </c>
      <c r="K40" s="38">
        <f>'EAST-EGM-GL'!K40+'EAST-LRC-GL'!K40</f>
        <v>-1333965.28</v>
      </c>
      <c r="L40" s="60">
        <f>'EAST-EGM-GL'!L40+'EAST-LRC-GL'!L40</f>
        <v>165506</v>
      </c>
      <c r="M40" s="38">
        <f>'EAST-EGM-GL'!M40+'EAST-LRC-GL'!M40</f>
        <v>345907.54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'EAST-EGM-GL'!AT40+'EAST-LRC-GL'!AT40</f>
        <v>0</v>
      </c>
      <c r="AI40" s="38">
        <f>'EAST-EGM-GL'!AU40+'EAST-LRC-GL'!AU40</f>
        <v>0</v>
      </c>
      <c r="AJ40" s="60">
        <f>'EAST-EGM-GL'!AV40+'EAST-LRC-GL'!AV40</f>
        <v>0</v>
      </c>
      <c r="AK40" s="38">
        <f>'EAST-EGM-GL'!AW40+'EAST-LRC-GL'!AW40</f>
        <v>0</v>
      </c>
      <c r="AL40" s="60">
        <f>'EAST-EGM-GL'!AX40+'EAST-LRC-GL'!AX40</f>
        <v>0</v>
      </c>
      <c r="AM40" s="38">
        <f>'EAST-EGM-GL'!AY40+'EAST-LRC-GL'!AY40</f>
        <v>0</v>
      </c>
      <c r="AN40" s="60">
        <f>'EAST-EGM-GL'!AZ40+'EAST-LRC-GL'!AZ40</f>
        <v>0</v>
      </c>
      <c r="AO40" s="38">
        <f>'EAST-EGM-GL'!BA40+'EAST-LRC-GL'!BA40</f>
        <v>0</v>
      </c>
      <c r="AP40" s="60">
        <f>'EAST-EGM-GL'!BB40+'EAST-LRC-GL'!BB40</f>
        <v>0</v>
      </c>
      <c r="AQ40" s="38">
        <f>'EAST-EGM-GL'!BC40+'EAST-LRC-GL'!BC40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'EAST-EGM-GL'!AT41+'EAST-LRC-GL'!AT41</f>
        <v>0</v>
      </c>
      <c r="AI41" s="38">
        <f>'EAST-EGM-GL'!AU41+'EAST-LRC-GL'!AU41</f>
        <v>0</v>
      </c>
      <c r="AJ41" s="60">
        <f>'EAST-EGM-GL'!AV41+'EAST-LRC-GL'!AV41</f>
        <v>0</v>
      </c>
      <c r="AK41" s="38">
        <f>'EAST-EGM-GL'!AW41+'EAST-LRC-GL'!AW41</f>
        <v>0</v>
      </c>
      <c r="AL41" s="60">
        <f>'EAST-EGM-GL'!AX41+'EAST-LRC-GL'!AX41</f>
        <v>0</v>
      </c>
      <c r="AM41" s="38">
        <f>'EAST-EGM-GL'!AY41+'EAST-LRC-GL'!AY41</f>
        <v>0</v>
      </c>
      <c r="AN41" s="60">
        <f>'EAST-EGM-GL'!AZ41+'EAST-LRC-GL'!AZ41</f>
        <v>0</v>
      </c>
      <c r="AO41" s="38">
        <f>'EAST-EGM-GL'!BA41+'EAST-LRC-GL'!BA41</f>
        <v>0</v>
      </c>
      <c r="AP41" s="60">
        <f>'EAST-EGM-GL'!BB41+'EAST-LRC-GL'!BB41</f>
        <v>0</v>
      </c>
      <c r="AQ41" s="38">
        <f>'EAST-EGM-GL'!BC41+'EAST-LRC-GL'!BC41</f>
        <v>0</v>
      </c>
    </row>
    <row r="42" spans="1:43" x14ac:dyDescent="0.2">
      <c r="A42" s="9"/>
      <c r="B42" s="7"/>
      <c r="C42" s="53" t="s">
        <v>50</v>
      </c>
      <c r="D42" s="61">
        <f>SUM(D40:D41)</f>
        <v>-544050</v>
      </c>
      <c r="E42" s="39">
        <f>SUM(E40:E41)</f>
        <v>-988057.74</v>
      </c>
      <c r="F42" s="61">
        <f t="shared" ref="F42:AA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-709556</v>
      </c>
      <c r="K42" s="39">
        <f t="shared" si="12"/>
        <v>-1333965.28</v>
      </c>
      <c r="L42" s="61">
        <f t="shared" si="12"/>
        <v>165506</v>
      </c>
      <c r="M42" s="39">
        <f t="shared" si="12"/>
        <v>345907.54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>D42+D39</f>
        <v>1226041</v>
      </c>
      <c r="E43" s="39">
        <f>E42+E39</f>
        <v>2308938.8499999996</v>
      </c>
      <c r="F43" s="61">
        <f t="shared" ref="F43:AA43" si="14">F42+F39</f>
        <v>0</v>
      </c>
      <c r="G43" s="39">
        <f t="shared" si="14"/>
        <v>0</v>
      </c>
      <c r="H43" s="61">
        <f t="shared" si="14"/>
        <v>1300803</v>
      </c>
      <c r="I43" s="39">
        <f t="shared" si="14"/>
        <v>2449436.83</v>
      </c>
      <c r="J43" s="61">
        <f t="shared" si="14"/>
        <v>-245553</v>
      </c>
      <c r="K43" s="39">
        <f t="shared" si="14"/>
        <v>-496369.69000000018</v>
      </c>
      <c r="L43" s="61">
        <f t="shared" si="14"/>
        <v>169214</v>
      </c>
      <c r="M43" s="39">
        <f t="shared" si="14"/>
        <v>352878.57999999996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1567</v>
      </c>
      <c r="S43" s="39">
        <f t="shared" si="14"/>
        <v>2974.17</v>
      </c>
      <c r="T43" s="61">
        <f t="shared" si="14"/>
        <v>9</v>
      </c>
      <c r="U43" s="39">
        <f t="shared" si="14"/>
        <v>17.079999999999998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1</v>
      </c>
      <c r="AC43" s="39">
        <f t="shared" si="15"/>
        <v>1.88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-2985</v>
      </c>
      <c r="E45" s="38">
        <f>SUM(G45,I45,K45,M45,O45,Q45,S45,U45,W45,Y45,AA45,AC45,AE45,AG45)</f>
        <v>-5102.5600000000004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-2985</v>
      </c>
      <c r="K45" s="38">
        <f>'EAST-EGM-GL'!K45+'EAST-LRC-GL'!K45</f>
        <v>-5761.05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658.49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'EAST-EGM-GL'!AT45+'EAST-LRC-GL'!AT45</f>
        <v>0</v>
      </c>
      <c r="AI45" s="38">
        <f>'EAST-EGM-GL'!AU45+'EAST-LRC-GL'!AU45</f>
        <v>0</v>
      </c>
      <c r="AJ45" s="60">
        <f>'EAST-EGM-GL'!AV45+'EAST-LRC-GL'!AV45</f>
        <v>0</v>
      </c>
      <c r="AK45" s="38">
        <f>'EAST-EGM-GL'!AW45+'EAST-LRC-GL'!AW45</f>
        <v>0</v>
      </c>
      <c r="AL45" s="60">
        <f>'EAST-EGM-GL'!AX45+'EAST-LRC-GL'!AX45</f>
        <v>0</v>
      </c>
      <c r="AM45" s="38">
        <f>'EAST-EGM-GL'!AY45+'EAST-LRC-GL'!AY45</f>
        <v>0</v>
      </c>
      <c r="AN45" s="60">
        <f>'EAST-EGM-GL'!AZ45+'EAST-LRC-GL'!AZ45</f>
        <v>0</v>
      </c>
      <c r="AO45" s="38">
        <f>'EAST-EGM-GL'!BA45+'EAST-LRC-GL'!BA45</f>
        <v>0</v>
      </c>
      <c r="AP45" s="60">
        <f>'EAST-EGM-GL'!BB45+'EAST-LRC-GL'!BB45</f>
        <v>0</v>
      </c>
      <c r="AQ45" s="38">
        <f>'EAST-EGM-GL'!BC45+'EAST-LRC-GL'!BC45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72836</v>
      </c>
      <c r="K47" s="38">
        <f>'EAST-EGM-GL'!K47+'EAST-LRC-GL'!K47</f>
        <v>136931.68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-72836</v>
      </c>
      <c r="O47" s="38">
        <f>'EAST-EGM-GL'!O47+'EAST-LRC-GL'!O47</f>
        <v>-136931.68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'EAST-EGM-GL'!AT47+'EAST-LRC-GL'!AT47</f>
        <v>0</v>
      </c>
      <c r="AI47" s="38">
        <f>'EAST-EGM-GL'!AU47+'EAST-LRC-GL'!AU47</f>
        <v>0</v>
      </c>
      <c r="AJ47" s="60">
        <f>'EAST-EGM-GL'!AV47+'EAST-LRC-GL'!AV47</f>
        <v>0</v>
      </c>
      <c r="AK47" s="38">
        <f>'EAST-EGM-GL'!AW47+'EAST-LRC-GL'!AW47</f>
        <v>0</v>
      </c>
      <c r="AL47" s="60">
        <f>'EAST-EGM-GL'!AX47+'EAST-LRC-GL'!AX47</f>
        <v>0</v>
      </c>
      <c r="AM47" s="38">
        <f>'EAST-EGM-GL'!AY47+'EAST-LRC-GL'!AY47</f>
        <v>0</v>
      </c>
      <c r="AN47" s="60">
        <f>'EAST-EGM-GL'!AZ47+'EAST-LRC-GL'!AZ47</f>
        <v>0</v>
      </c>
      <c r="AO47" s="38">
        <f>'EAST-EGM-GL'!BA47+'EAST-LRC-GL'!BA47</f>
        <v>0</v>
      </c>
      <c r="AP47" s="60">
        <f>'EAST-EGM-GL'!BB47+'EAST-LRC-GL'!BB47</f>
        <v>0</v>
      </c>
      <c r="AQ47" s="38">
        <f>'EAST-EGM-GL'!BC47+'EAST-LRC-GL'!BC47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510413</v>
      </c>
      <c r="E49" s="38">
        <f>SUM(G49,I49,K49,M49,O49,Q49,S49,U49,W49,Y49,AA49,AC49,AE49,AG49)</f>
        <v>968763.86900000041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1314874</v>
      </c>
      <c r="I49" s="38">
        <f>'EAST-EGM-GL'!I49+'EAST-LRC-GL'!I49</f>
        <v>2511382.2170000002</v>
      </c>
      <c r="J49" s="60">
        <f>'EAST-EGM-GL'!J49+'EAST-LRC-GL'!J49</f>
        <v>51386</v>
      </c>
      <c r="K49" s="38">
        <f>'EAST-EGM-GL'!K49+'EAST-LRC-GL'!K49</f>
        <v>81779.258000000147</v>
      </c>
      <c r="L49" s="60">
        <f>'EAST-EGM-GL'!L49+'EAST-LRC-GL'!L49</f>
        <v>-182130</v>
      </c>
      <c r="M49" s="38">
        <f>'EAST-EGM-GL'!M49+'EAST-LRC-GL'!M49</f>
        <v>-345682.74</v>
      </c>
      <c r="N49" s="60">
        <f>'EAST-EGM-GL'!N49+'EAST-LRC-GL'!N49</f>
        <v>-988000</v>
      </c>
      <c r="O49" s="38">
        <f>'EAST-EGM-GL'!O49+'EAST-LRC-GL'!O49</f>
        <v>-1875224</v>
      </c>
      <c r="P49" s="60">
        <f>'EAST-EGM-GL'!P49+'EAST-LRC-GL'!P49</f>
        <v>-16518</v>
      </c>
      <c r="Q49" s="38">
        <f>'EAST-EGM-GL'!Q49+'EAST-LRC-GL'!Q49</f>
        <v>-31351.163999999997</v>
      </c>
      <c r="R49" s="60">
        <f>'EAST-EGM-GL'!R49+'EAST-LRC-GL'!R49</f>
        <v>121619</v>
      </c>
      <c r="S49" s="38">
        <f>'EAST-EGM-GL'!S49+'EAST-LRC-GL'!S49</f>
        <v>230832.86200000002</v>
      </c>
      <c r="T49" s="60">
        <f>'EAST-EGM-GL'!T49+'EAST-LRC-GL'!T49</f>
        <v>-70989</v>
      </c>
      <c r="U49" s="38">
        <f>'EAST-EGM-GL'!U49+'EAST-LRC-GL'!U49</f>
        <v>-134737.12200000003</v>
      </c>
      <c r="V49" s="60">
        <f>'EAST-EGM-GL'!V49+'EAST-LRC-GL'!V49</f>
        <v>69716</v>
      </c>
      <c r="W49" s="38">
        <f>'EAST-EGM-GL'!W49+'EAST-LRC-GL'!W49</f>
        <v>132320.96799999999</v>
      </c>
      <c r="X49" s="60">
        <f>'EAST-EGM-GL'!X49+'EAST-LRC-GL'!X49</f>
        <v>130903</v>
      </c>
      <c r="Y49" s="38">
        <f>'EAST-EGM-GL'!Y49+'EAST-LRC-GL'!Y49</f>
        <v>248453.894</v>
      </c>
      <c r="Z49" s="60">
        <f>'EAST-EGM-GL'!Z49+'EAST-LRC-GL'!Z49</f>
        <v>-201094</v>
      </c>
      <c r="AA49" s="38">
        <f>'EAST-EGM-GL'!AA49+'EAST-LRC-GL'!AA49</f>
        <v>-381676.41200000001</v>
      </c>
      <c r="AB49" s="60">
        <f>'EAST-EGM-GL'!AB49+'EAST-LRC-GL'!AB49</f>
        <v>79553</v>
      </c>
      <c r="AC49" s="38">
        <f>'EAST-EGM-GL'!AC49+'EAST-LRC-GL'!AC49</f>
        <v>150991.59400000001</v>
      </c>
      <c r="AD49" s="60">
        <f>'EAST-EGM-GL'!AD49+'EAST-LRC-GL'!AD49</f>
        <v>201093</v>
      </c>
      <c r="AE49" s="38">
        <f>'EAST-EGM-GL'!AE49+'EAST-LRC-GL'!AE49</f>
        <v>381674.51400000002</v>
      </c>
      <c r="AF49" s="60">
        <f>'EAST-EGM-GL'!AF49+'EAST-LRC-GL'!AF49</f>
        <v>0</v>
      </c>
      <c r="AG49" s="38">
        <f>'EAST-EGM-GL'!AG49+'EAST-LRC-GL'!AG49</f>
        <v>0</v>
      </c>
      <c r="AH49" s="60">
        <f>'EAST-EGM-GL'!AT49+'EAST-LRC-GL'!AT49</f>
        <v>0</v>
      </c>
      <c r="AI49" s="38">
        <f>'EAST-EGM-GL'!AU49+'EAST-LRC-GL'!AU49</f>
        <v>0</v>
      </c>
      <c r="AJ49" s="60">
        <f>'EAST-EGM-GL'!AV49+'EAST-LRC-GL'!AV49</f>
        <v>0</v>
      </c>
      <c r="AK49" s="38">
        <f>'EAST-EGM-GL'!AW49+'EAST-LRC-GL'!AW49</f>
        <v>0</v>
      </c>
      <c r="AL49" s="60">
        <f>'EAST-EGM-GL'!AX49+'EAST-LRC-GL'!AX49</f>
        <v>0</v>
      </c>
      <c r="AM49" s="38">
        <f>'EAST-EGM-GL'!AY49+'EAST-LRC-GL'!AY49</f>
        <v>0</v>
      </c>
      <c r="AN49" s="60">
        <f>'EAST-EGM-GL'!AZ49+'EAST-LRC-GL'!AZ49</f>
        <v>0</v>
      </c>
      <c r="AO49" s="38">
        <f>'EAST-EGM-GL'!BA49+'EAST-LRC-GL'!BA49</f>
        <v>0</v>
      </c>
      <c r="AP49" s="60">
        <f>'EAST-EGM-GL'!BB49+'EAST-LRC-GL'!BB49</f>
        <v>0</v>
      </c>
      <c r="AQ49" s="38">
        <f>'EAST-EGM-GL'!BC49+'EAST-LRC-GL'!BC49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-265111</v>
      </c>
      <c r="E51" s="38">
        <f>SUM(G51,I51,K51,M51,O51,Q51,S51,U51,W51,Y51,AA51,AC51,AE51,AG51)</f>
        <v>-486060.98799999995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-277886</v>
      </c>
      <c r="I51" s="38">
        <f>'EAST-EGM-GL'!I51+'EAST-LRC-GL'!I51</f>
        <v>-527427.63</v>
      </c>
      <c r="J51" s="60">
        <f>'EAST-EGM-GL'!J51+'EAST-LRC-GL'!J51</f>
        <v>11645</v>
      </c>
      <c r="K51" s="38">
        <f>'EAST-EGM-GL'!K51+'EAST-LRC-GL'!K51</f>
        <v>1088.7160000000003</v>
      </c>
      <c r="L51" s="60">
        <f>'EAST-EGM-GL'!L51+'EAST-LRC-GL'!L51</f>
        <v>21322</v>
      </c>
      <c r="M51" s="38">
        <f>'EAST-EGM-GL'!M51+'EAST-LRC-GL'!M51</f>
        <v>40469.156000000003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-20192</v>
      </c>
      <c r="U51" s="38">
        <f>'EAST-EGM-GL'!U51+'EAST-LRC-GL'!U51</f>
        <v>-191.23000000000002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0</v>
      </c>
      <c r="AG51" s="38">
        <f>'EAST-EGM-GL'!AG51+'EAST-LRC-GL'!AG51</f>
        <v>0</v>
      </c>
      <c r="AH51" s="60">
        <f>'EAST-EGM-GL'!AT51+'EAST-LRC-GL'!AT51</f>
        <v>0</v>
      </c>
      <c r="AI51" s="38">
        <f>'EAST-EGM-GL'!AU51+'EAST-LRC-GL'!AU51</f>
        <v>0</v>
      </c>
      <c r="AJ51" s="60">
        <f>'EAST-EGM-GL'!AV51+'EAST-LRC-GL'!AV51</f>
        <v>0</v>
      </c>
      <c r="AK51" s="38">
        <f>'EAST-EGM-GL'!AW51+'EAST-LRC-GL'!AW51</f>
        <v>0</v>
      </c>
      <c r="AL51" s="60">
        <f>'EAST-EGM-GL'!AX51+'EAST-LRC-GL'!AX51</f>
        <v>0</v>
      </c>
      <c r="AM51" s="38">
        <f>'EAST-EGM-GL'!AY51+'EAST-LRC-GL'!AY51</f>
        <v>0</v>
      </c>
      <c r="AN51" s="60">
        <f>'EAST-EGM-GL'!AZ51+'EAST-LRC-GL'!AZ51</f>
        <v>0</v>
      </c>
      <c r="AO51" s="38">
        <f>'EAST-EGM-GL'!BA51+'EAST-LRC-GL'!BA51</f>
        <v>0</v>
      </c>
      <c r="AP51" s="60">
        <f>'EAST-EGM-GL'!BB51+'EAST-LRC-GL'!BB51</f>
        <v>0</v>
      </c>
      <c r="AQ51" s="38">
        <f>'EAST-EGM-GL'!BC51+'EAST-LRC-GL'!BC51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-19316374</v>
      </c>
      <c r="E54" s="38">
        <f>SUM(G54,I54,K54,M54,O54,Q54,S54,U54,W54,Y54,AA54,AC54,AE54,AG54)</f>
        <v>-649681.71999999986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-26026889</v>
      </c>
      <c r="I54" s="38">
        <f>'EAST-EGM-GL'!I54+'EAST-LRC-GL'!I54</f>
        <v>-685298.82</v>
      </c>
      <c r="J54" s="60">
        <f>'EAST-EGM-GL'!J54+'EAST-LRC-GL'!J54</f>
        <v>6802819</v>
      </c>
      <c r="K54" s="38">
        <f>'EAST-EGM-GL'!K54+'EAST-LRC-GL'!K54</f>
        <v>14064.670000000013</v>
      </c>
      <c r="L54" s="60">
        <f>'EAST-EGM-GL'!L54+'EAST-LRC-GL'!L54</f>
        <v>-89742</v>
      </c>
      <c r="M54" s="38">
        <f>'EAST-EGM-GL'!M54+'EAST-LRC-GL'!M54</f>
        <v>-22228.74</v>
      </c>
      <c r="N54" s="60">
        <f>'EAST-EGM-GL'!N54+'EAST-LRC-GL'!N54</f>
        <v>-1192</v>
      </c>
      <c r="O54" s="38">
        <f>'EAST-EGM-GL'!O54+'EAST-LRC-GL'!O54</f>
        <v>29317.79</v>
      </c>
      <c r="P54" s="60">
        <f>'EAST-EGM-GL'!P54+'EAST-LRC-GL'!P54</f>
        <v>-1429</v>
      </c>
      <c r="Q54" s="38">
        <f>'EAST-EGM-GL'!Q54+'EAST-LRC-GL'!Q54</f>
        <v>1963.88</v>
      </c>
      <c r="R54" s="60">
        <f>'EAST-EGM-GL'!R54+'EAST-LRC-GL'!R54</f>
        <v>59</v>
      </c>
      <c r="S54" s="38">
        <f>'EAST-EGM-GL'!S54+'EAST-LRC-GL'!S54</f>
        <v>12499.5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'EAST-EGM-GL'!AF54+'EAST-LRC-GL'!AF54</f>
        <v>0</v>
      </c>
      <c r="AG54" s="38">
        <f>'EAST-EGM-GL'!AG54+'EAST-LRC-GL'!AG54</f>
        <v>0</v>
      </c>
      <c r="AH54" s="60">
        <f>'EAST-EGM-GL'!AT54+'EAST-LRC-GL'!AT54</f>
        <v>0</v>
      </c>
      <c r="AI54" s="38">
        <f>'EAST-EGM-GL'!AU54+'EAST-LRC-GL'!AU54</f>
        <v>0</v>
      </c>
      <c r="AJ54" s="60">
        <f>'EAST-EGM-GL'!AV54+'EAST-LRC-GL'!AV54</f>
        <v>0</v>
      </c>
      <c r="AK54" s="38">
        <f>'EAST-EGM-GL'!AW54+'EAST-LRC-GL'!AW54</f>
        <v>0</v>
      </c>
      <c r="AL54" s="60">
        <f>'EAST-EGM-GL'!AX54+'EAST-LRC-GL'!AX54</f>
        <v>0</v>
      </c>
      <c r="AM54" s="38">
        <f>'EAST-EGM-GL'!AY54+'EAST-LRC-GL'!AY54</f>
        <v>0</v>
      </c>
      <c r="AN54" s="60">
        <f>'EAST-EGM-GL'!AZ54+'EAST-LRC-GL'!AZ54</f>
        <v>0</v>
      </c>
      <c r="AO54" s="38">
        <f>'EAST-EGM-GL'!BA54+'EAST-LRC-GL'!BA54</f>
        <v>0</v>
      </c>
      <c r="AP54" s="60">
        <f>'EAST-EGM-GL'!BB54+'EAST-LRC-GL'!BB54</f>
        <v>0</v>
      </c>
      <c r="AQ54" s="38">
        <f>'EAST-EGM-GL'!BC54+'EAST-LRC-GL'!BC54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-1649349.6500000001</v>
      </c>
      <c r="F55" s="81">
        <f>('TIE-OUT'!J55+'TIE-OUT'!H55)+(RECLASS!J55+RECLASS!H55)</f>
        <v>0</v>
      </c>
      <c r="G55" s="82">
        <f>('TIE-OUT'!K55+'TIE-OUT'!I55)+(RECLASS!K55+RECLASS!I55)</f>
        <v>642852</v>
      </c>
      <c r="H55" s="60">
        <f>'EAST-EGM-GL'!H55+'EAST-LRC-GL'!H55</f>
        <v>0</v>
      </c>
      <c r="I55" s="38">
        <f>'EAST-EGM-GL'!I55+'EAST-LRC-GL'!I55</f>
        <v>-2050497.69</v>
      </c>
      <c r="J55" s="60">
        <f>'EAST-EGM-GL'!J55+'EAST-LRC-GL'!J55</f>
        <v>0</v>
      </c>
      <c r="K55" s="38">
        <f>'EAST-EGM-GL'!K55+'EAST-LRC-GL'!K55</f>
        <v>-200047.95</v>
      </c>
      <c r="L55" s="60">
        <f>'EAST-EGM-GL'!L55+'EAST-LRC-GL'!L55</f>
        <v>0</v>
      </c>
      <c r="M55" s="38">
        <f>'EAST-EGM-GL'!M55+'EAST-LRC-GL'!M55</f>
        <v>-6064.26</v>
      </c>
      <c r="N55" s="60">
        <f>'EAST-EGM-GL'!N55+'EAST-LRC-GL'!N55</f>
        <v>0</v>
      </c>
      <c r="O55" s="38">
        <f>'EAST-EGM-GL'!O55+'EAST-LRC-GL'!O55</f>
        <v>-47036.55</v>
      </c>
      <c r="P55" s="60">
        <f>'EAST-EGM-GL'!P55+'EAST-LRC-GL'!P55</f>
        <v>0</v>
      </c>
      <c r="Q55" s="38">
        <f>'EAST-EGM-GL'!Q55+'EAST-LRC-GL'!Q55</f>
        <v>33.4</v>
      </c>
      <c r="R55" s="60">
        <f>'EAST-EGM-GL'!R55+'EAST-LRC-GL'!R55</f>
        <v>0</v>
      </c>
      <c r="S55" s="38">
        <f>'EAST-EGM-GL'!S55+'EAST-LRC-GL'!S55</f>
        <v>11411.4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'EAST-EGM-GL'!AT55+'EAST-LRC-GL'!AT55</f>
        <v>0</v>
      </c>
      <c r="AI55" s="38">
        <f>'EAST-EGM-GL'!AU55+'EAST-LRC-GL'!AU55</f>
        <v>0</v>
      </c>
      <c r="AJ55" s="60">
        <f>'EAST-EGM-GL'!AV55+'EAST-LRC-GL'!AV55</f>
        <v>0</v>
      </c>
      <c r="AK55" s="38">
        <f>'EAST-EGM-GL'!AW55+'EAST-LRC-GL'!AW55</f>
        <v>0</v>
      </c>
      <c r="AL55" s="60">
        <f>'EAST-EGM-GL'!AX55+'EAST-LRC-GL'!AX55</f>
        <v>0</v>
      </c>
      <c r="AM55" s="38">
        <f>'EAST-EGM-GL'!AY55+'EAST-LRC-GL'!AY55</f>
        <v>0</v>
      </c>
      <c r="AN55" s="60">
        <f>'EAST-EGM-GL'!AZ55+'EAST-LRC-GL'!AZ55</f>
        <v>0</v>
      </c>
      <c r="AO55" s="38">
        <f>'EAST-EGM-GL'!BA55+'EAST-LRC-GL'!BA55</f>
        <v>0</v>
      </c>
      <c r="AP55" s="60">
        <f>'EAST-EGM-GL'!BB55+'EAST-LRC-GL'!BB55</f>
        <v>0</v>
      </c>
      <c r="AQ55" s="38">
        <f>'EAST-EGM-GL'!BC55+'EAST-LRC-GL'!BC55</f>
        <v>0</v>
      </c>
    </row>
    <row r="56" spans="1:43" x14ac:dyDescent="0.2">
      <c r="A56" s="9"/>
      <c r="B56" s="7" t="s">
        <v>59</v>
      </c>
      <c r="C56" s="6"/>
      <c r="D56" s="61">
        <f>SUM(D54:D55)</f>
        <v>-19316374</v>
      </c>
      <c r="E56" s="39">
        <f>SUM(E54:E55)</f>
        <v>-2299031.37</v>
      </c>
      <c r="F56" s="61">
        <f t="shared" ref="F56:AA56" si="16">SUM(F54:F55)</f>
        <v>0</v>
      </c>
      <c r="G56" s="39">
        <f t="shared" si="16"/>
        <v>642852</v>
      </c>
      <c r="H56" s="61">
        <f t="shared" si="16"/>
        <v>-26026889</v>
      </c>
      <c r="I56" s="39">
        <f t="shared" si="16"/>
        <v>-2735796.51</v>
      </c>
      <c r="J56" s="61">
        <f t="shared" si="16"/>
        <v>6802819</v>
      </c>
      <c r="K56" s="39">
        <f t="shared" si="16"/>
        <v>-185983.28</v>
      </c>
      <c r="L56" s="61">
        <f t="shared" si="16"/>
        <v>-89742</v>
      </c>
      <c r="M56" s="39">
        <f t="shared" si="16"/>
        <v>-28293</v>
      </c>
      <c r="N56" s="61">
        <f t="shared" si="16"/>
        <v>-1192</v>
      </c>
      <c r="O56" s="39">
        <f t="shared" si="16"/>
        <v>-17718.760000000002</v>
      </c>
      <c r="P56" s="61">
        <f t="shared" si="16"/>
        <v>-1429</v>
      </c>
      <c r="Q56" s="39">
        <f t="shared" si="16"/>
        <v>1997.2800000000002</v>
      </c>
      <c r="R56" s="61">
        <f t="shared" si="16"/>
        <v>59</v>
      </c>
      <c r="S56" s="39">
        <f t="shared" si="16"/>
        <v>23910.9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3914648</v>
      </c>
      <c r="E59" s="38">
        <f>SUM(G59,I59,K59,M59,O59,Q59,S59,U59,W59,Y59,AA59,AC59,AE59,AG59)</f>
        <v>68674.12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3944569</v>
      </c>
      <c r="I59" s="38">
        <f>'EAST-EGM-GL'!I59+'EAST-LRC-GL'!I59</f>
        <v>79744.14</v>
      </c>
      <c r="J59" s="60">
        <f>'EAST-EGM-GL'!J59+'EAST-LRC-GL'!J59</f>
        <v>-115120</v>
      </c>
      <c r="K59" s="38">
        <f>'EAST-EGM-GL'!K59+'EAST-LRC-GL'!K59</f>
        <v>-3115.02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60859</v>
      </c>
      <c r="O59" s="38">
        <f>'EAST-EGM-GL'!O59+'EAST-LRC-GL'!O59</f>
        <v>0</v>
      </c>
      <c r="P59" s="60">
        <f>'EAST-EGM-GL'!P59+'EAST-LRC-GL'!P59</f>
        <v>7535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-7955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16805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'EAST-EGM-GL'!AT59+'EAST-LRC-GL'!AT59</f>
        <v>0</v>
      </c>
      <c r="AI59" s="38">
        <f>'EAST-EGM-GL'!AU59+'EAST-LRC-GL'!AU59</f>
        <v>0</v>
      </c>
      <c r="AJ59" s="60">
        <f>'EAST-EGM-GL'!AV59+'EAST-LRC-GL'!AV59</f>
        <v>0</v>
      </c>
      <c r="AK59" s="38">
        <f>'EAST-EGM-GL'!AW59+'EAST-LRC-GL'!AW59</f>
        <v>0</v>
      </c>
      <c r="AL59" s="60">
        <f>'EAST-EGM-GL'!AX59+'EAST-LRC-GL'!AX59</f>
        <v>0</v>
      </c>
      <c r="AM59" s="38">
        <f>'EAST-EGM-GL'!AY59+'EAST-LRC-GL'!AY59</f>
        <v>0</v>
      </c>
      <c r="AN59" s="60">
        <f>'EAST-EGM-GL'!AZ59+'EAST-LRC-GL'!AZ59</f>
        <v>0</v>
      </c>
      <c r="AO59" s="38">
        <f>'EAST-EGM-GL'!BA59+'EAST-LRC-GL'!BA59</f>
        <v>0</v>
      </c>
      <c r="AP59" s="60">
        <f>'EAST-EGM-GL'!BB59+'EAST-LRC-GL'!BB59</f>
        <v>0</v>
      </c>
      <c r="AQ59" s="38">
        <f>'EAST-EGM-GL'!BC59+'EAST-LRC-GL'!BC59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'EAST-EGM-GL'!AT60+'EAST-LRC-GL'!AT60</f>
        <v>0</v>
      </c>
      <c r="AI60" s="38">
        <f>'EAST-EGM-GL'!AU60+'EAST-LRC-GL'!AU60</f>
        <v>0</v>
      </c>
      <c r="AJ60" s="60">
        <f>'EAST-EGM-GL'!AV60+'EAST-LRC-GL'!AV60</f>
        <v>0</v>
      </c>
      <c r="AK60" s="38">
        <f>'EAST-EGM-GL'!AW60+'EAST-LRC-GL'!AW60</f>
        <v>0</v>
      </c>
      <c r="AL60" s="60">
        <f>'EAST-EGM-GL'!AX60+'EAST-LRC-GL'!AX60</f>
        <v>0</v>
      </c>
      <c r="AM60" s="38">
        <f>'EAST-EGM-GL'!AY60+'EAST-LRC-GL'!AY60</f>
        <v>0</v>
      </c>
      <c r="AN60" s="60">
        <f>'EAST-EGM-GL'!AZ60+'EAST-LRC-GL'!AZ60</f>
        <v>0</v>
      </c>
      <c r="AO60" s="38">
        <f>'EAST-EGM-GL'!BA60+'EAST-LRC-GL'!BA60</f>
        <v>0</v>
      </c>
      <c r="AP60" s="60">
        <f>'EAST-EGM-GL'!BB60+'EAST-LRC-GL'!BB60</f>
        <v>0</v>
      </c>
      <c r="AQ60" s="38">
        <f>'EAST-EGM-GL'!BC60+'EAST-LRC-GL'!BC60</f>
        <v>0</v>
      </c>
    </row>
    <row r="61" spans="1:43" x14ac:dyDescent="0.2">
      <c r="A61" s="9"/>
      <c r="B61" s="62" t="s">
        <v>63</v>
      </c>
      <c r="C61" s="6"/>
      <c r="D61" s="61">
        <f>SUM(D59:D60)</f>
        <v>3914648</v>
      </c>
      <c r="E61" s="39">
        <f>SUM(E59:E60)</f>
        <v>68674.12</v>
      </c>
      <c r="F61" s="61">
        <f t="shared" ref="F61:AA61" si="18">SUM(F59:F60)</f>
        <v>0</v>
      </c>
      <c r="G61" s="39">
        <f t="shared" si="18"/>
        <v>0</v>
      </c>
      <c r="H61" s="61">
        <f t="shared" si="18"/>
        <v>3944569</v>
      </c>
      <c r="I61" s="39">
        <f t="shared" si="18"/>
        <v>79744.14</v>
      </c>
      <c r="J61" s="61">
        <f t="shared" si="18"/>
        <v>-115120</v>
      </c>
      <c r="K61" s="39">
        <f t="shared" si="18"/>
        <v>-3115.02</v>
      </c>
      <c r="L61" s="61">
        <f t="shared" si="18"/>
        <v>0</v>
      </c>
      <c r="M61" s="39">
        <f t="shared" si="18"/>
        <v>0</v>
      </c>
      <c r="N61" s="61">
        <f t="shared" si="18"/>
        <v>60859</v>
      </c>
      <c r="O61" s="39">
        <f t="shared" si="18"/>
        <v>0</v>
      </c>
      <c r="P61" s="61">
        <f t="shared" si="18"/>
        <v>7535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-7955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16805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-18859077</v>
      </c>
      <c r="E64" s="38">
        <f>SUM(G64,I64,K64,M64,O64,Q64,S64,U64,W64,Y64,AA64,AC64,AE64,AG64)</f>
        <v>-1959791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-10791071</v>
      </c>
      <c r="I64" s="38">
        <f>'EAST-EGM-GL'!I64+'EAST-LRC-GL'!I64</f>
        <v>-1389358.76</v>
      </c>
      <c r="J64" s="60">
        <f>'EAST-EGM-GL'!J64+'EAST-LRC-GL'!J64</f>
        <v>-8068006</v>
      </c>
      <c r="K64" s="38">
        <f>'EAST-EGM-GL'!K64+'EAST-LRC-GL'!K64</f>
        <v>-582130.36</v>
      </c>
      <c r="L64" s="60">
        <f>'EAST-EGM-GL'!L64+'EAST-LRC-GL'!L64</f>
        <v>0</v>
      </c>
      <c r="M64" s="60">
        <f>'EAST-EGM-GL'!M64+'EAST-LRC-GL'!M64</f>
        <v>11698.12</v>
      </c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17144690</v>
      </c>
      <c r="E65" s="38">
        <f>SUM(G65,I65,K65,M65,O65,Q65,S65,U65,W65,Y65,AA65,AC65,AE65,AG65)</f>
        <v>1679791.01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10751556</v>
      </c>
      <c r="I65" s="38">
        <f>'EAST-EGM-GL'!I65+'EAST-LRC-GL'!I65</f>
        <v>1385407.27</v>
      </c>
      <c r="J65" s="60">
        <f>'EAST-EGM-GL'!J65+'EAST-LRC-GL'!J65</f>
        <v>6393134</v>
      </c>
      <c r="K65" s="38">
        <f>'EAST-EGM-GL'!K65+'EAST-LRC-GL'!K65</f>
        <v>306195.31</v>
      </c>
      <c r="L65" s="60">
        <f>'EAST-EGM-GL'!L65+'EAST-LRC-GL'!L65</f>
        <v>0</v>
      </c>
      <c r="M65" s="60">
        <f>'EAST-EGM-GL'!M65+'EAST-LRC-GL'!M65</f>
        <v>-11811.57</v>
      </c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</row>
    <row r="66" spans="1:43" x14ac:dyDescent="0.2">
      <c r="A66" s="9"/>
      <c r="B66" s="7" t="s">
        <v>66</v>
      </c>
      <c r="C66" s="6"/>
      <c r="D66" s="61">
        <f>SUM(D64:D65)</f>
        <v>-1714387</v>
      </c>
      <c r="E66" s="39">
        <f>SUM(E64:E65)</f>
        <v>-279999.99</v>
      </c>
      <c r="F66" s="61">
        <f t="shared" ref="F66:AA66" si="20">SUM(F64:F65)</f>
        <v>0</v>
      </c>
      <c r="G66" s="39">
        <f t="shared" si="20"/>
        <v>0</v>
      </c>
      <c r="H66" s="61">
        <f t="shared" si="20"/>
        <v>-39515</v>
      </c>
      <c r="I66" s="39">
        <f t="shared" si="20"/>
        <v>-3951.4899999999907</v>
      </c>
      <c r="J66" s="61">
        <f t="shared" si="20"/>
        <v>-1674872</v>
      </c>
      <c r="K66" s="39">
        <f t="shared" si="20"/>
        <v>-275935.05</v>
      </c>
      <c r="L66" s="61">
        <f t="shared" si="20"/>
        <v>0</v>
      </c>
      <c r="M66" s="39">
        <f t="shared" si="20"/>
        <v>-113.44999999999891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7684468.9400000004</v>
      </c>
      <c r="F70" s="64">
        <f>('TIE-OUT'!J70+'TIE-OUT'!H70)+(RECLASS!J70+RECLASS!H70)</f>
        <v>0</v>
      </c>
      <c r="G70" s="68">
        <f>('TIE-OUT'!K70+'TIE-OUT'!I70)+(RECLASS!K70+RECLASS!I70)</f>
        <v>7684468.9400000004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'EAST-EGM-GL'!AT70+'EAST-LRC-GL'!AT70</f>
        <v>0</v>
      </c>
      <c r="AI70" s="38">
        <f>'EAST-EGM-GL'!AU70+'EAST-LRC-GL'!AU70</f>
        <v>0</v>
      </c>
      <c r="AJ70" s="60">
        <f>'EAST-EGM-GL'!AV70+'EAST-LRC-GL'!AV70</f>
        <v>0</v>
      </c>
      <c r="AK70" s="38">
        <f>'EAST-EGM-GL'!AW70+'EAST-LRC-GL'!AW70</f>
        <v>0</v>
      </c>
      <c r="AL70" s="60">
        <f>'EAST-EGM-GL'!AX70+'EAST-LRC-GL'!AX70</f>
        <v>0</v>
      </c>
      <c r="AM70" s="38">
        <f>'EAST-EGM-GL'!AY70+'EAST-LRC-GL'!AY70</f>
        <v>0</v>
      </c>
      <c r="AN70" s="60">
        <f>'EAST-EGM-GL'!AZ70+'EAST-LRC-GL'!AZ70</f>
        <v>0</v>
      </c>
      <c r="AO70" s="38">
        <f>'EAST-EGM-GL'!BA70+'EAST-LRC-GL'!BA70</f>
        <v>0</v>
      </c>
      <c r="AP70" s="60">
        <f>'EAST-EGM-GL'!BB70+'EAST-LRC-GL'!BB70</f>
        <v>0</v>
      </c>
      <c r="AQ70" s="38">
        <f>'EAST-EGM-GL'!BC70+'EAST-LRC-GL'!BC70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-6061806</v>
      </c>
      <c r="F71" s="81">
        <f>('TIE-OUT'!J71+'TIE-OUT'!H71)+(RECLASS!J71+RECLASS!H71)</f>
        <v>0</v>
      </c>
      <c r="G71" s="82">
        <f>('TIE-OUT'!K71+'TIE-OUT'!I71)+(RECLASS!K71+RECLASS!I71)</f>
        <v>-6061806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'EAST-EGM-GL'!AT71+'EAST-LRC-GL'!AT71</f>
        <v>0</v>
      </c>
      <c r="AI71" s="38">
        <f>'EAST-EGM-GL'!AU71+'EAST-LRC-GL'!AU71</f>
        <v>0</v>
      </c>
      <c r="AJ71" s="60">
        <f>'EAST-EGM-GL'!AV71+'EAST-LRC-GL'!AV71</f>
        <v>0</v>
      </c>
      <c r="AK71" s="38">
        <f>'EAST-EGM-GL'!AW71+'EAST-LRC-GL'!AW71</f>
        <v>0</v>
      </c>
      <c r="AL71" s="60">
        <f>'EAST-EGM-GL'!AX71+'EAST-LRC-GL'!AX71</f>
        <v>0</v>
      </c>
      <c r="AM71" s="38">
        <f>'EAST-EGM-GL'!AY71+'EAST-LRC-GL'!AY71</f>
        <v>0</v>
      </c>
      <c r="AN71" s="60">
        <f>'EAST-EGM-GL'!AZ71+'EAST-LRC-GL'!AZ71</f>
        <v>0</v>
      </c>
      <c r="AO71" s="38">
        <f>'EAST-EGM-GL'!BA71+'EAST-LRC-GL'!BA71</f>
        <v>0</v>
      </c>
      <c r="AP71" s="60">
        <f>'EAST-EGM-GL'!BB71+'EAST-LRC-GL'!BB71</f>
        <v>0</v>
      </c>
      <c r="AQ71" s="38">
        <f>'EAST-EGM-GL'!BC71+'EAST-LRC-GL'!BC71</f>
        <v>0</v>
      </c>
    </row>
    <row r="72" spans="1:4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1622662.9400000004</v>
      </c>
      <c r="F72" s="61">
        <f t="shared" ref="F72:AA72" si="22">SUM(F70:F71)</f>
        <v>0</v>
      </c>
      <c r="G72" s="39">
        <f t="shared" si="22"/>
        <v>1622662.9400000004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'EAST-EGM-GL'!AT73+'EAST-LRC-GL'!AT73</f>
        <v>0</v>
      </c>
      <c r="AI73" s="38">
        <f>'EAST-EGM-GL'!AU73+'EAST-LRC-GL'!AU73</f>
        <v>0</v>
      </c>
      <c r="AJ73" s="60">
        <f>'EAST-EGM-GL'!AV73+'EAST-LRC-GL'!AV73</f>
        <v>0</v>
      </c>
      <c r="AK73" s="38">
        <f>'EAST-EGM-GL'!AW73+'EAST-LRC-GL'!AW73</f>
        <v>0</v>
      </c>
      <c r="AL73" s="60">
        <f>'EAST-EGM-GL'!AX73+'EAST-LRC-GL'!AX73</f>
        <v>0</v>
      </c>
      <c r="AM73" s="38">
        <f>'EAST-EGM-GL'!AY73+'EAST-LRC-GL'!AY73</f>
        <v>0</v>
      </c>
      <c r="AN73" s="60">
        <f>'EAST-EGM-GL'!AZ73+'EAST-LRC-GL'!AZ73</f>
        <v>0</v>
      </c>
      <c r="AO73" s="38">
        <f>'EAST-EGM-GL'!BA73+'EAST-LRC-GL'!BA73</f>
        <v>0</v>
      </c>
      <c r="AP73" s="60">
        <f>'EAST-EGM-GL'!BB73+'EAST-LRC-GL'!BB73</f>
        <v>0</v>
      </c>
      <c r="AQ73" s="38">
        <f>'EAST-EGM-GL'!BC73+'EAST-LRC-GL'!BC73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758679.64999999991</v>
      </c>
      <c r="F74" s="60">
        <f>('TIE-OUT'!J74+'TIE-OUT'!H74)+(RECLASS!J74+RECLASS!H74)</f>
        <v>0</v>
      </c>
      <c r="G74" s="60">
        <f>('TIE-OUT'!K74+'TIE-OUT'!I74)+(RECLASS!K74+RECLASS!I74)</f>
        <v>758679.64999999991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'EAST-EGM-GL'!AT74+'EAST-LRC-GL'!AT74</f>
        <v>0</v>
      </c>
      <c r="AI74" s="38">
        <f>'EAST-EGM-GL'!AU74+'EAST-LRC-GL'!AU74</f>
        <v>0</v>
      </c>
      <c r="AJ74" s="60">
        <f>'EAST-EGM-GL'!AV74+'EAST-LRC-GL'!AV74</f>
        <v>0</v>
      </c>
      <c r="AK74" s="38">
        <f>'EAST-EGM-GL'!AW74+'EAST-LRC-GL'!AW74</f>
        <v>0</v>
      </c>
      <c r="AL74" s="60">
        <f>'EAST-EGM-GL'!AX74+'EAST-LRC-GL'!AX74</f>
        <v>0</v>
      </c>
      <c r="AM74" s="38">
        <f>'EAST-EGM-GL'!AY74+'EAST-LRC-GL'!AY74</f>
        <v>0</v>
      </c>
      <c r="AN74" s="60">
        <f>'EAST-EGM-GL'!AZ74+'EAST-LRC-GL'!AZ74</f>
        <v>0</v>
      </c>
      <c r="AO74" s="38">
        <f>'EAST-EGM-GL'!BA74+'EAST-LRC-GL'!BA74</f>
        <v>0</v>
      </c>
      <c r="AP74" s="60">
        <f>'EAST-EGM-GL'!BB74+'EAST-LRC-GL'!BB74</f>
        <v>0</v>
      </c>
      <c r="AQ74" s="38">
        <f>'EAST-EGM-GL'!BC74+'EAST-LRC-GL'!BC74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400</v>
      </c>
      <c r="F75" s="60">
        <f>('TIE-OUT'!J75+'TIE-OUT'!H75)+(RECLASS!J75+RECLASS!H75)</f>
        <v>0</v>
      </c>
      <c r="G75" s="60">
        <f>('TIE-OUT'!K75+'TIE-OUT'!I75)+(RECLASS!K75+RECLASS!I75)</f>
        <v>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'EAST-EGM-GL'!AT75+'EAST-LRC-GL'!AT75</f>
        <v>0</v>
      </c>
      <c r="AI75" s="38">
        <f>'EAST-EGM-GL'!AU75+'EAST-LRC-GL'!AU75</f>
        <v>0</v>
      </c>
      <c r="AJ75" s="60">
        <f>'EAST-EGM-GL'!AV75+'EAST-LRC-GL'!AV75</f>
        <v>0</v>
      </c>
      <c r="AK75" s="38">
        <f>'EAST-EGM-GL'!AW75+'EAST-LRC-GL'!AW75</f>
        <v>0</v>
      </c>
      <c r="AL75" s="60">
        <f>'EAST-EGM-GL'!AX75+'EAST-LRC-GL'!AX75</f>
        <v>0</v>
      </c>
      <c r="AM75" s="38">
        <f>'EAST-EGM-GL'!AY75+'EAST-LRC-GL'!AY75</f>
        <v>0</v>
      </c>
      <c r="AN75" s="60">
        <f>'EAST-EGM-GL'!AZ75+'EAST-LRC-GL'!AZ75</f>
        <v>0</v>
      </c>
      <c r="AO75" s="38">
        <f>'EAST-EGM-GL'!BA75+'EAST-LRC-GL'!BA75</f>
        <v>0</v>
      </c>
      <c r="AP75" s="60">
        <f>'EAST-EGM-GL'!BB75+'EAST-LRC-GL'!BB75</f>
        <v>0</v>
      </c>
      <c r="AQ75" s="38">
        <f>'EAST-EGM-GL'!BC75+'EAST-LRC-GL'!BC75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-226594.83000000002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-27419.88</v>
      </c>
      <c r="J76" s="60">
        <f>'EAST-EGM-GL'!J76+'EAST-LRC-GL'!J76</f>
        <v>0</v>
      </c>
      <c r="K76" s="38">
        <f>'EAST-EGM-GL'!K76+'EAST-LRC-GL'!K76</f>
        <v>-199174.95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'EAST-EGM-GL'!AT76+'EAST-LRC-GL'!AT76</f>
        <v>0</v>
      </c>
      <c r="AI76" s="38">
        <f>'EAST-EGM-GL'!AU76+'EAST-LRC-GL'!AU76</f>
        <v>0</v>
      </c>
      <c r="AJ76" s="60">
        <f>'EAST-EGM-GL'!AV76+'EAST-LRC-GL'!AV76</f>
        <v>0</v>
      </c>
      <c r="AK76" s="38">
        <f>'EAST-EGM-GL'!AW76+'EAST-LRC-GL'!AW76</f>
        <v>0</v>
      </c>
      <c r="AL76" s="60">
        <f>'EAST-EGM-GL'!AX76+'EAST-LRC-GL'!AX76</f>
        <v>0</v>
      </c>
      <c r="AM76" s="38">
        <f>'EAST-EGM-GL'!AY76+'EAST-LRC-GL'!AY76</f>
        <v>0</v>
      </c>
      <c r="AN76" s="60">
        <f>'EAST-EGM-GL'!AZ76+'EAST-LRC-GL'!AZ76</f>
        <v>0</v>
      </c>
      <c r="AO76" s="38">
        <f>'EAST-EGM-GL'!BA76+'EAST-LRC-GL'!BA76</f>
        <v>0</v>
      </c>
      <c r="AP76" s="60">
        <f>'EAST-EGM-GL'!BB76+'EAST-LRC-GL'!BB76</f>
        <v>0</v>
      </c>
      <c r="AQ76" s="38">
        <f>'EAST-EGM-GL'!BC76+'EAST-LRC-GL'!BC76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-3036809</v>
      </c>
      <c r="F77" s="60">
        <f>('TIE-OUT'!J77+'TIE-OUT'!H77)+(RECLASS!J77+RECLASS!H77)</f>
        <v>0</v>
      </c>
      <c r="G77" s="60">
        <f>('TIE-OUT'!K77+'TIE-OUT'!I77)+(RECLASS!K77+RECLASS!I77)</f>
        <v>-3036809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'EAST-EGM-GL'!AT77+'EAST-LRC-GL'!AT77</f>
        <v>0</v>
      </c>
      <c r="AI77" s="38">
        <f>'EAST-EGM-GL'!AU77+'EAST-LRC-GL'!AU77</f>
        <v>0</v>
      </c>
      <c r="AJ77" s="60">
        <f>'EAST-EGM-GL'!AV77+'EAST-LRC-GL'!AV77</f>
        <v>0</v>
      </c>
      <c r="AK77" s="38">
        <f>'EAST-EGM-GL'!AW77+'EAST-LRC-GL'!AW77</f>
        <v>0</v>
      </c>
      <c r="AL77" s="60">
        <f>'EAST-EGM-GL'!AX77+'EAST-LRC-GL'!AX77</f>
        <v>0</v>
      </c>
      <c r="AM77" s="38">
        <f>'EAST-EGM-GL'!AY77+'EAST-LRC-GL'!AY77</f>
        <v>0</v>
      </c>
      <c r="AN77" s="60">
        <f>'EAST-EGM-GL'!AZ77+'EAST-LRC-GL'!AZ77</f>
        <v>0</v>
      </c>
      <c r="AO77" s="38">
        <f>'EAST-EGM-GL'!BA77+'EAST-LRC-GL'!BA77</f>
        <v>0</v>
      </c>
      <c r="AP77" s="60">
        <f>'EAST-EGM-GL'!BB77+'EAST-LRC-GL'!BB77</f>
        <v>0</v>
      </c>
      <c r="AQ77" s="38">
        <f>'EAST-EGM-GL'!BC77+'EAST-LRC-GL'!BC77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'EAST-EGM-GL'!AT78+'EAST-LRC-GL'!AT78</f>
        <v>0</v>
      </c>
      <c r="AI78" s="38">
        <f>'EAST-EGM-GL'!AU78+'EAST-LRC-GL'!AU78</f>
        <v>0</v>
      </c>
      <c r="AJ78" s="60">
        <f>'EAST-EGM-GL'!AV78+'EAST-LRC-GL'!AV78</f>
        <v>0</v>
      </c>
      <c r="AK78" s="38">
        <f>'EAST-EGM-GL'!AW78+'EAST-LRC-GL'!AW78</f>
        <v>0</v>
      </c>
      <c r="AL78" s="60">
        <f>'EAST-EGM-GL'!AX78+'EAST-LRC-GL'!AX78</f>
        <v>0</v>
      </c>
      <c r="AM78" s="38">
        <f>'EAST-EGM-GL'!AY78+'EAST-LRC-GL'!AY78</f>
        <v>0</v>
      </c>
      <c r="AN78" s="60">
        <f>'EAST-EGM-GL'!AZ78+'EAST-LRC-GL'!AZ78</f>
        <v>0</v>
      </c>
      <c r="AO78" s="38">
        <f>'EAST-EGM-GL'!BA78+'EAST-LRC-GL'!BA78</f>
        <v>0</v>
      </c>
      <c r="AP78" s="60">
        <f>'EAST-EGM-GL'!BB78+'EAST-LRC-GL'!BB78</f>
        <v>0</v>
      </c>
      <c r="AQ78" s="38">
        <f>'EAST-EGM-GL'!BC78+'EAST-LRC-GL'!BC78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'EAST-EGM-GL'!AT79+'EAST-LRC-GL'!AT79</f>
        <v>0</v>
      </c>
      <c r="AI79" s="38">
        <f>'EAST-EGM-GL'!AU79+'EAST-LRC-GL'!AU79</f>
        <v>0</v>
      </c>
      <c r="AJ79" s="60">
        <f>'EAST-EGM-GL'!AV79+'EAST-LRC-GL'!AV79</f>
        <v>0</v>
      </c>
      <c r="AK79" s="38">
        <f>'EAST-EGM-GL'!AW79+'EAST-LRC-GL'!AW79</f>
        <v>0</v>
      </c>
      <c r="AL79" s="60">
        <f>'EAST-EGM-GL'!AX79+'EAST-LRC-GL'!AX79</f>
        <v>0</v>
      </c>
      <c r="AM79" s="38">
        <f>'EAST-EGM-GL'!AY79+'EAST-LRC-GL'!AY79</f>
        <v>0</v>
      </c>
      <c r="AN79" s="60">
        <f>'EAST-EGM-GL'!AZ79+'EAST-LRC-GL'!AZ79</f>
        <v>0</v>
      </c>
      <c r="AO79" s="38">
        <f>'EAST-EGM-GL'!BA79+'EAST-LRC-GL'!BA79</f>
        <v>0</v>
      </c>
      <c r="AP79" s="60">
        <f>'EAST-EGM-GL'!BB79+'EAST-LRC-GL'!BB79</f>
        <v>0</v>
      </c>
      <c r="AQ79" s="38">
        <f>'EAST-EGM-GL'!BC79+'EAST-LRC-GL'!BC79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'EAST-EGM-GL'!AT80+'EAST-LRC-GL'!AT80</f>
        <v>0</v>
      </c>
      <c r="AI80" s="38">
        <f>'EAST-EGM-GL'!AU80+'EAST-LRC-GL'!AU80</f>
        <v>0</v>
      </c>
      <c r="AJ80" s="60">
        <f>'EAST-EGM-GL'!AV80+'EAST-LRC-GL'!AV80</f>
        <v>0</v>
      </c>
      <c r="AK80" s="38">
        <f>'EAST-EGM-GL'!AW80+'EAST-LRC-GL'!AW80</f>
        <v>0</v>
      </c>
      <c r="AL80" s="60">
        <f>'EAST-EGM-GL'!AX80+'EAST-LRC-GL'!AX80</f>
        <v>0</v>
      </c>
      <c r="AM80" s="38">
        <f>'EAST-EGM-GL'!AY80+'EAST-LRC-GL'!AY80</f>
        <v>0</v>
      </c>
      <c r="AN80" s="60">
        <f>'EAST-EGM-GL'!AZ80+'EAST-LRC-GL'!AZ80</f>
        <v>0</v>
      </c>
      <c r="AO80" s="38">
        <f>'EAST-EGM-GL'!BA80+'EAST-LRC-GL'!BA80</f>
        <v>0</v>
      </c>
      <c r="AP80" s="60">
        <f>'EAST-EGM-GL'!BB80+'EAST-LRC-GL'!BB80</f>
        <v>0</v>
      </c>
      <c r="AQ80" s="38">
        <f>'EAST-EGM-GL'!BC80+'EAST-LRC-GL'!BC80</f>
        <v>0</v>
      </c>
    </row>
    <row r="81" spans="1:79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354921.46</v>
      </c>
      <c r="F81" s="60">
        <f>('TIE-OUT'!J81+'TIE-OUT'!H81)+(RECLASS!J81+RECLASS!H81)</f>
        <v>0</v>
      </c>
      <c r="G81" s="60">
        <f>('TIE-OUT'!K81+'TIE-OUT'!I81)+(RECLASS!K81+RECLASS!I81)</f>
        <v>-197084</v>
      </c>
      <c r="H81" s="60">
        <f>'EAST-EGM-GL'!H81+'EAST-LRC-GL'!H81</f>
        <v>0</v>
      </c>
      <c r="I81" s="38">
        <f>'EAST-EGM-GL'!I81+'EAST-LRC-GL'!I81</f>
        <v>482252.07</v>
      </c>
      <c r="J81" s="60">
        <f>'EAST-EGM-GL'!J81+'EAST-LRC-GL'!J81</f>
        <v>0</v>
      </c>
      <c r="K81" s="38">
        <f>'EAST-EGM-GL'!K81+'EAST-LRC-GL'!K81</f>
        <v>69753.39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'EAST-EGM-GL'!AT81+'EAST-LRC-GL'!AT81</f>
        <v>0</v>
      </c>
      <c r="AI81" s="38">
        <f>'EAST-EGM-GL'!AU81+'EAST-LRC-GL'!AU81</f>
        <v>0</v>
      </c>
      <c r="AJ81" s="60">
        <f>'EAST-EGM-GL'!AV81+'EAST-LRC-GL'!AV81</f>
        <v>0</v>
      </c>
      <c r="AK81" s="38">
        <f>'EAST-EGM-GL'!AW81+'EAST-LRC-GL'!AW81</f>
        <v>0</v>
      </c>
      <c r="AL81" s="60">
        <f>'EAST-EGM-GL'!AX81+'EAST-LRC-GL'!AX81</f>
        <v>0</v>
      </c>
      <c r="AM81" s="38">
        <f>'EAST-EGM-GL'!AY81+'EAST-LRC-GL'!AY81</f>
        <v>0</v>
      </c>
      <c r="AN81" s="60">
        <f>'EAST-EGM-GL'!AZ81+'EAST-LRC-GL'!AZ81</f>
        <v>0</v>
      </c>
      <c r="AO81" s="38">
        <f>'EAST-EGM-GL'!BA81+'EAST-LRC-GL'!BA81</f>
        <v>0</v>
      </c>
      <c r="AP81" s="60">
        <f>'EAST-EGM-GL'!BB81+'EAST-LRC-GL'!BB81</f>
        <v>0</v>
      </c>
      <c r="AQ81" s="38">
        <f>'EAST-EGM-GL'!BC81+'EAST-LRC-GL'!BC81</f>
        <v>0</v>
      </c>
    </row>
    <row r="82" spans="1:79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5928</v>
      </c>
      <c r="E82" s="93">
        <f>SUM(E72:E81)+E16+E24+E29+E36+E43+E45+E47+E49+E51+E56+E61+E66</f>
        <v>-3231345.728000029</v>
      </c>
      <c r="F82" s="92">
        <f>F16+F24+F29+F36+F43+F45+F47+F49</f>
        <v>0</v>
      </c>
      <c r="G82" s="93">
        <f>SUM(G72:G81)+G16+G24+G29+G36+G43+G45+G47+G49+G51+G56+G61+G66</f>
        <v>-4517731.4800000004</v>
      </c>
      <c r="H82" s="92">
        <f>H16+H24+H29+H36+H43+H45+H47+H49</f>
        <v>0</v>
      </c>
      <c r="I82" s="93">
        <f>SUM(I72:I81)+I16+I24+I29+I36+I43+I45+I47+I49+I51+I56+I61+I66</f>
        <v>-456765.06300007633</v>
      </c>
      <c r="J82" s="92">
        <f>J16+J24+J29+J36+J43+J45+J47+J49</f>
        <v>0</v>
      </c>
      <c r="K82" s="93">
        <f>SUM(K72:K81)+K16+K24+K29+K36+K43+K45+K47+K49+K51+K56+K61+K66</f>
        <v>12314219.807999998</v>
      </c>
      <c r="L82" s="92">
        <f>L16+L24+L29+L36+L43+L45+L47+L49</f>
        <v>5928</v>
      </c>
      <c r="M82" s="93">
        <f>SUM(M72:M81)+M16+M24+M29+M36+M43+M45+M47+M49+M51+M56+M61+M66</f>
        <v>-2428.0660000000516</v>
      </c>
      <c r="N82" s="92">
        <f>N16+N24+N29+N36+N43+N45+N47+N49</f>
        <v>0</v>
      </c>
      <c r="O82" s="93">
        <f>SUM(O72:O81)+O16+O24+O29+O36+O43+O45+O47+O49+O51+O56+O61+O66</f>
        <v>-679090.65399999963</v>
      </c>
      <c r="P82" s="92">
        <f>P16+P24+P29+P36+P43+P45+P47+P49</f>
        <v>0</v>
      </c>
      <c r="Q82" s="93">
        <f>SUM(Q72:Q81)+Q16+Q24+Q29+Q36+Q43+Q45+Q47+Q49+Q51+Q56+Q61+Q66</f>
        <v>411728.21100000007</v>
      </c>
      <c r="R82" s="92">
        <f>R16+R24+R29+R36+R43+R45+R47+R49</f>
        <v>0</v>
      </c>
      <c r="S82" s="93">
        <f>SUM(S72:S81)+S16+S24+S29+S36+S43+S45+S47+S49+S51+S56+S61+S66</f>
        <v>-260853.82400000005</v>
      </c>
      <c r="T82" s="92">
        <f>T16+T24+T29+T36+T43+T45+T47+T49</f>
        <v>0</v>
      </c>
      <c r="U82" s="93">
        <f>SUM(U72:U81)+U16+U24+U29+U36+U43+U45+U47+U49+U51+U56+U61+U66</f>
        <v>-10016602.257999998</v>
      </c>
      <c r="V82" s="92">
        <f>V16+V24+V29+V36+V43+V45+V47+V49</f>
        <v>0</v>
      </c>
      <c r="W82" s="93">
        <f>SUM(W72:W81)+W16+W24+W29+W36+W43+W45+W47+W49+W51+W56+W61+W66</f>
        <v>-110481.94999999995</v>
      </c>
      <c r="X82" s="92">
        <f>X16+X24+X29+X36+X43+X45+X47+X49</f>
        <v>0</v>
      </c>
      <c r="Y82" s="93">
        <f>SUM(Y72:Y81)+Y16+Y24+Y29+Y36+Y43+Y45+Y47+Y49+Y51+Y56+Y61+Y66</f>
        <v>51378.064000000013</v>
      </c>
      <c r="Z82" s="92">
        <f>Z16+Z24+Z29+Z36+Z43+Z45+Z47+Z49</f>
        <v>0</v>
      </c>
      <c r="AA82" s="93">
        <f>SUM(AA72:AA81)+AA16+AA24+AA29+AA36+AA43+AA45+AA47+AA49+AA51+AA56+AA61+AA66</f>
        <v>-38365.992000000027</v>
      </c>
      <c r="AB82" s="92">
        <f>AB16+AB24+AB29+AB36+AB43+AB45+AB47+AB49</f>
        <v>0</v>
      </c>
      <c r="AC82" s="93">
        <f>SUM(AC72:AC81)+AC16+AC24+AC29+AC36+AC43+AC45+AC47+AC49+AC51+AC56+AC61+AC66</f>
        <v>34064.962000000014</v>
      </c>
      <c r="AD82" s="92">
        <f>AD16+AD24+AD29+AD36+AD43+AD45+AD47+AD49</f>
        <v>0</v>
      </c>
      <c r="AE82" s="93">
        <f>SUM(AE72:AE81)+AE16+AE24+AE29+AE36+AE43+AE45+AE47+AE49+AE51+AE56+AE61+AE66</f>
        <v>39584.514000000025</v>
      </c>
      <c r="AF82" s="92">
        <f>AF16+AF24+AF29+AF36+AF43+AF45+AF47+AF49</f>
        <v>0</v>
      </c>
      <c r="AG82" s="93">
        <f>SUM(AG72:AG81)+AG16+AG24+AG29+AG36+AG43+AG45+AG47+AG49+AG51+AG56+AG61+AG66</f>
        <v>-2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5" thickTop="1" x14ac:dyDescent="0.2">
      <c r="A83" s="4"/>
      <c r="B83" s="3"/>
    </row>
    <row r="84" spans="1:79" x14ac:dyDescent="0.2">
      <c r="A84" s="4"/>
      <c r="B84" s="3"/>
      <c r="E84" s="14">
        <f>+'EAST-LRC-GL'!E82+'EAST-EGM-GL'!E82</f>
        <v>-3231345.7480000574</v>
      </c>
      <c r="G84" s="14">
        <f>+'EAST-LRC-GL'!G82+'EAST-EGM-GL'!G82</f>
        <v>-4517731.4799999995</v>
      </c>
      <c r="I84" s="14">
        <f>+'EAST-LRC-GL'!I82+'EAST-EGM-GL'!I82</f>
        <v>-456765.06300004211</v>
      </c>
      <c r="K84" s="14">
        <f>+'EAST-LRC-GL'!K82+'EAST-EGM-GL'!K82</f>
        <v>12314219.807999998</v>
      </c>
    </row>
    <row r="85" spans="1:79" x14ac:dyDescent="0.2">
      <c r="A85" s="4" t="s">
        <v>188</v>
      </c>
      <c r="B85" s="3"/>
      <c r="F85" s="31"/>
      <c r="G85" s="31"/>
      <c r="H85" s="31"/>
      <c r="I85" s="31"/>
      <c r="L85" s="45"/>
    </row>
    <row r="86" spans="1:79" s="3" customFormat="1" x14ac:dyDescent="0.2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76163.37</v>
      </c>
      <c r="F86" s="178">
        <f>'EAST-EGM-GL'!F86+'EAST-LRC-GL'!F86</f>
        <v>0</v>
      </c>
      <c r="G86" s="178">
        <f>'EAST-EGM-GL'!G86+'EAST-LRC-GL'!G86</f>
        <v>98335.37</v>
      </c>
      <c r="H86" s="178">
        <f>'EAST-EGM-GL'!H86+'EAST-LRC-GL'!H86</f>
        <v>0</v>
      </c>
      <c r="I86" s="178">
        <f>'EAST-EGM-GL'!I86+'EAST-LRC-GL'!I86</f>
        <v>0</v>
      </c>
      <c r="J86" s="178">
        <f>'EAST-EGM-GL'!J86+'EAST-LRC-GL'!J86</f>
        <v>0</v>
      </c>
      <c r="K86" s="178">
        <f>'EAST-EGM-GL'!K86+'EAST-LRC-GL'!K86</f>
        <v>0</v>
      </c>
      <c r="L86" s="178">
        <f>'EAST-EGM-GL'!L86+'EAST-LRC-GL'!L86</f>
        <v>0</v>
      </c>
      <c r="M86" s="178">
        <f>'EAST-EGM-GL'!M86+'EAST-LRC-GL'!M86</f>
        <v>0</v>
      </c>
      <c r="N86" s="178">
        <f>'EAST-EGM-GL'!N86+'EAST-LRC-GL'!N86</f>
        <v>0</v>
      </c>
      <c r="O86" s="178">
        <f>'EAST-EGM-GL'!O86+'EAST-LRC-GL'!O86</f>
        <v>0</v>
      </c>
      <c r="P86" s="178">
        <f>'EAST-EGM-GL'!P86+'EAST-LRC-GL'!P86</f>
        <v>0</v>
      </c>
      <c r="Q86" s="178">
        <f>'EAST-EGM-GL'!Q86+'EAST-LRC-GL'!Q86</f>
        <v>-22172</v>
      </c>
      <c r="R86" s="178">
        <f>'EAST-EGM-GL'!R86+'EAST-LRC-GL'!R86</f>
        <v>0</v>
      </c>
      <c r="S86" s="178">
        <f>'EAST-EGM-GL'!S86+'EAST-LRC-GL'!S86</f>
        <v>0</v>
      </c>
      <c r="T86" s="178">
        <f>'EAST-EGM-GL'!T86+'EAST-LRC-GL'!T86</f>
        <v>0</v>
      </c>
      <c r="U86" s="178">
        <f>'EAST-EGM-GL'!U86+'EAST-LRC-GL'!U86</f>
        <v>0</v>
      </c>
      <c r="V86" s="178">
        <f>'EAST-EGM-GL'!V86+'EAST-LRC-GL'!V86</f>
        <v>0</v>
      </c>
      <c r="W86" s="178">
        <f>'EAST-EGM-GL'!W86+'EAST-LRC-GL'!W86</f>
        <v>0</v>
      </c>
      <c r="X86" s="178">
        <f>'EAST-EGM-GL'!X86+'EAST-LRC-GL'!X86</f>
        <v>0</v>
      </c>
      <c r="Y86" s="178">
        <f>'EAST-EGM-GL'!Y86+'EAST-LRC-GL'!Y86</f>
        <v>0</v>
      </c>
      <c r="Z86" s="178">
        <f>'EAST-EGM-GL'!Z86+'EAST-LRC-GL'!Z86</f>
        <v>0</v>
      </c>
      <c r="AA86" s="178">
        <f>'EAST-EGM-GL'!AA86+'EAST-LRC-GL'!AA86</f>
        <v>0</v>
      </c>
      <c r="AB86" s="178">
        <f>'EAST-EGM-GL'!AB86+'EAST-LRC-GL'!AB86</f>
        <v>0</v>
      </c>
      <c r="AC86" s="178">
        <f>'EAST-EGM-GL'!AC86+'EAST-LRC-GL'!AC86</f>
        <v>0</v>
      </c>
      <c r="AD86" s="178">
        <f>'EAST-EGM-GL'!AD86+'EAST-LRC-GL'!AD86</f>
        <v>0</v>
      </c>
      <c r="AE86" s="178">
        <f>'EAST-EGM-GL'!AE86+'EAST-LRC-GL'!AE86</f>
        <v>0</v>
      </c>
      <c r="AF86" s="178">
        <f>'EAST-EGM-GL'!AR86+'EAST-LRC-GL'!AR86</f>
        <v>0</v>
      </c>
      <c r="AG86" s="178">
        <f>'EAST-EGM-GL'!AS86+'EAST-LRC-GL'!AS86</f>
        <v>0</v>
      </c>
      <c r="AH86" s="178">
        <f>'EAST-EGM-GL'!AT86+'EAST-LRC-GL'!AT86</f>
        <v>0</v>
      </c>
      <c r="AI86" s="178">
        <f>'EAST-EGM-GL'!AU86+'EAST-LRC-GL'!AU86</f>
        <v>0</v>
      </c>
      <c r="AJ86" s="178">
        <f>'EAST-EGM-GL'!AV86+'EAST-LRC-GL'!AV86</f>
        <v>0</v>
      </c>
      <c r="AK86" s="178">
        <f>'EAST-EGM-GL'!AW86+'EAST-LRC-GL'!AW86</f>
        <v>0</v>
      </c>
      <c r="AL86" s="178">
        <f>'EAST-EGM-GL'!AX86+'EAST-LRC-GL'!AX86</f>
        <v>0</v>
      </c>
      <c r="AM86" s="178">
        <f>'EAST-EGM-GL'!AY86+'EAST-LRC-GL'!AY86</f>
        <v>0</v>
      </c>
      <c r="AN86" s="178">
        <f>'EAST-EGM-GL'!AZ86+'EAST-LRC-GL'!AZ86</f>
        <v>0</v>
      </c>
      <c r="AO86" s="178">
        <f>'EAST-EGM-GL'!BA86+'EAST-LRC-GL'!BA86</f>
        <v>0</v>
      </c>
      <c r="AP86" s="178">
        <f>'EAST-EGM-GL'!BB86+'EAST-LRC-GL'!BB86</f>
        <v>0</v>
      </c>
      <c r="AQ86" s="178">
        <f>'EAST-EGM-GL'!BC86+'EAST-LRC-GL'!BC86</f>
        <v>0</v>
      </c>
    </row>
    <row r="87" spans="1:79" s="3" customFormat="1" x14ac:dyDescent="0.2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'EAST-EGM-GL'!F87+'EAST-LRC-GL'!F87</f>
        <v>0</v>
      </c>
      <c r="G87" s="179">
        <f>'EAST-EGM-GL'!G87+'EAST-LRC-GL'!G87</f>
        <v>0</v>
      </c>
      <c r="H87" s="179">
        <f>'EAST-EGM-GL'!H87+'EAST-LRC-GL'!H87</f>
        <v>0</v>
      </c>
      <c r="I87" s="179">
        <f>'EAST-EGM-GL'!I87+'EAST-LRC-GL'!I87</f>
        <v>0</v>
      </c>
      <c r="J87" s="179">
        <f>'EAST-EGM-GL'!J87+'EAST-LRC-GL'!J87</f>
        <v>0</v>
      </c>
      <c r="K87" s="179">
        <f>'EAST-EGM-GL'!K87+'EAST-LRC-GL'!K87</f>
        <v>0</v>
      </c>
      <c r="L87" s="179">
        <f>'EAST-EGM-GL'!L87+'EAST-LRC-GL'!L87</f>
        <v>0</v>
      </c>
      <c r="M87" s="179">
        <f>'EAST-EGM-GL'!M87+'EAST-LRC-GL'!M87</f>
        <v>0</v>
      </c>
      <c r="N87" s="179">
        <f>'EAST-EGM-GL'!N87+'EAST-LRC-GL'!N87</f>
        <v>0</v>
      </c>
      <c r="O87" s="179">
        <f>'EAST-EGM-GL'!O87+'EAST-LRC-GL'!O87</f>
        <v>0</v>
      </c>
      <c r="P87" s="179">
        <f>'EAST-EGM-GL'!P87+'EAST-LRC-GL'!P87</f>
        <v>0</v>
      </c>
      <c r="Q87" s="179">
        <f>'EAST-EGM-GL'!Q87+'EAST-LRC-GL'!Q87</f>
        <v>0</v>
      </c>
      <c r="R87" s="179">
        <f>'EAST-EGM-GL'!R87+'EAST-LRC-GL'!R87</f>
        <v>0</v>
      </c>
      <c r="S87" s="179">
        <f>'EAST-EGM-GL'!S87+'EAST-LRC-GL'!S87</f>
        <v>0</v>
      </c>
      <c r="T87" s="179">
        <f>'EAST-EGM-GL'!T87+'EAST-LRC-GL'!T87</f>
        <v>0</v>
      </c>
      <c r="U87" s="179">
        <f>'EAST-EGM-GL'!U87+'EAST-LRC-GL'!U87</f>
        <v>0</v>
      </c>
      <c r="V87" s="179">
        <f>'EAST-EGM-GL'!V87+'EAST-LRC-GL'!V87</f>
        <v>0</v>
      </c>
      <c r="W87" s="179">
        <f>'EAST-EGM-GL'!W87+'EAST-LRC-GL'!W87</f>
        <v>0</v>
      </c>
      <c r="X87" s="179">
        <f>'EAST-EGM-GL'!X87+'EAST-LRC-GL'!X87</f>
        <v>0</v>
      </c>
      <c r="Y87" s="179">
        <f>'EAST-EGM-GL'!Y87+'EAST-LRC-GL'!Y87</f>
        <v>0</v>
      </c>
      <c r="Z87" s="179">
        <f>'EAST-EGM-GL'!Z87+'EAST-LRC-GL'!Z87</f>
        <v>0</v>
      </c>
      <c r="AA87" s="179">
        <f>'EAST-EGM-GL'!AA87+'EAST-LRC-GL'!AA87</f>
        <v>0</v>
      </c>
      <c r="AB87" s="179">
        <f>'EAST-EGM-GL'!AB87+'EAST-LRC-GL'!AB87</f>
        <v>0</v>
      </c>
      <c r="AC87" s="179">
        <f>'EAST-EGM-GL'!AC87+'EAST-LRC-GL'!AC87</f>
        <v>0</v>
      </c>
      <c r="AD87" s="179">
        <f>'EAST-EGM-GL'!AD87+'EAST-LRC-GL'!AD87</f>
        <v>0</v>
      </c>
      <c r="AE87" s="179">
        <f>'EAST-EGM-GL'!AE87+'EAST-LRC-GL'!AE87</f>
        <v>0</v>
      </c>
      <c r="AF87" s="179">
        <f>'EAST-EGM-GL'!AR87+'EAST-LRC-GL'!AR87</f>
        <v>0</v>
      </c>
      <c r="AG87" s="179">
        <f>'EAST-EGM-GL'!AS87+'EAST-LRC-GL'!AS87</f>
        <v>0</v>
      </c>
      <c r="AH87" s="179">
        <f>'EAST-EGM-GL'!AT87+'EAST-LRC-GL'!AT87</f>
        <v>0</v>
      </c>
      <c r="AI87" s="179">
        <f>'EAST-EGM-GL'!AU87+'EAST-LRC-GL'!AU87</f>
        <v>0</v>
      </c>
      <c r="AJ87" s="179">
        <f>'EAST-EGM-GL'!AV87+'EAST-LRC-GL'!AV87</f>
        <v>0</v>
      </c>
      <c r="AK87" s="179">
        <f>'EAST-EGM-GL'!AW87+'EAST-LRC-GL'!AW87</f>
        <v>0</v>
      </c>
      <c r="AL87" s="179">
        <f>'EAST-EGM-GL'!AX87+'EAST-LRC-GL'!AX87</f>
        <v>0</v>
      </c>
      <c r="AM87" s="179">
        <f>'EAST-EGM-GL'!AY87+'EAST-LRC-GL'!AY87</f>
        <v>0</v>
      </c>
      <c r="AN87" s="179">
        <f>'EAST-EGM-GL'!AZ87+'EAST-LRC-GL'!AZ87</f>
        <v>0</v>
      </c>
      <c r="AO87" s="179">
        <f>'EAST-EGM-GL'!BA87+'EAST-LRC-GL'!BA87</f>
        <v>0</v>
      </c>
      <c r="AP87" s="179">
        <f>'EAST-EGM-GL'!BB87+'EAST-LRC-GL'!BB87</f>
        <v>0</v>
      </c>
      <c r="AQ87" s="179">
        <f>'EAST-EGM-GL'!BC87+'EAST-LRC-GL'!BC87</f>
        <v>0</v>
      </c>
    </row>
    <row r="88" spans="1:79" s="3" customFormat="1" x14ac:dyDescent="0.2">
      <c r="A88" s="177"/>
      <c r="C88" s="10" t="s">
        <v>74</v>
      </c>
      <c r="D88" s="180">
        <f t="shared" si="26"/>
        <v>0</v>
      </c>
      <c r="E88" s="180">
        <f t="shared" si="26"/>
        <v>0</v>
      </c>
      <c r="F88" s="180">
        <f>'EAST-EGM-GL'!F88+'EAST-LRC-GL'!F88</f>
        <v>0</v>
      </c>
      <c r="G88" s="180">
        <f>'EAST-EGM-GL'!G88+'EAST-LRC-GL'!G88</f>
        <v>0</v>
      </c>
      <c r="H88" s="180">
        <f>'EAST-EGM-GL'!H88+'EAST-LRC-GL'!H88</f>
        <v>0</v>
      </c>
      <c r="I88" s="180">
        <f>'EAST-EGM-GL'!I88+'EAST-LRC-GL'!I88</f>
        <v>0</v>
      </c>
      <c r="J88" s="180">
        <f>'EAST-EGM-GL'!J88+'EAST-LRC-GL'!J88</f>
        <v>0</v>
      </c>
      <c r="K88" s="180">
        <f>'EAST-EGM-GL'!K88+'EAST-LRC-GL'!K88</f>
        <v>0</v>
      </c>
      <c r="L88" s="180">
        <f>'EAST-EGM-GL'!L88+'EAST-LRC-GL'!L88</f>
        <v>0</v>
      </c>
      <c r="M88" s="180">
        <f>'EAST-EGM-GL'!M88+'EAST-LRC-GL'!M88</f>
        <v>0</v>
      </c>
      <c r="N88" s="180">
        <f>'EAST-EGM-GL'!N88+'EAST-LRC-GL'!N88</f>
        <v>0</v>
      </c>
      <c r="O88" s="180">
        <f>'EAST-EGM-GL'!O88+'EAST-LRC-GL'!O88</f>
        <v>0</v>
      </c>
      <c r="P88" s="180">
        <f>'EAST-EGM-GL'!P88+'EAST-LRC-GL'!P88</f>
        <v>0</v>
      </c>
      <c r="Q88" s="180">
        <f>'EAST-EGM-GL'!Q88+'EAST-LRC-GL'!Q88</f>
        <v>0</v>
      </c>
      <c r="R88" s="180">
        <f>'EAST-EGM-GL'!R88+'EAST-LRC-GL'!R88</f>
        <v>0</v>
      </c>
      <c r="S88" s="180">
        <f>'EAST-EGM-GL'!S88+'EAST-LRC-GL'!S88</f>
        <v>0</v>
      </c>
      <c r="T88" s="180">
        <f>'EAST-EGM-GL'!T88+'EAST-LRC-GL'!T88</f>
        <v>0</v>
      </c>
      <c r="U88" s="180">
        <f>'EAST-EGM-GL'!U88+'EAST-LRC-GL'!U88</f>
        <v>0</v>
      </c>
      <c r="V88" s="180">
        <f>'EAST-EGM-GL'!V88+'EAST-LRC-GL'!V88</f>
        <v>0</v>
      </c>
      <c r="W88" s="180">
        <f>'EAST-EGM-GL'!W88+'EAST-LRC-GL'!W88</f>
        <v>0</v>
      </c>
      <c r="X88" s="180">
        <f>'EAST-EGM-GL'!X88+'EAST-LRC-GL'!X88</f>
        <v>0</v>
      </c>
      <c r="Y88" s="180">
        <f>'EAST-EGM-GL'!Y88+'EAST-LRC-GL'!Y88</f>
        <v>0</v>
      </c>
      <c r="Z88" s="180">
        <f>'EAST-EGM-GL'!Z88+'EAST-LRC-GL'!Z88</f>
        <v>0</v>
      </c>
      <c r="AA88" s="180">
        <f>'EAST-EGM-GL'!AA88+'EAST-LRC-GL'!AA88</f>
        <v>0</v>
      </c>
      <c r="AB88" s="180">
        <f>'EAST-EGM-GL'!AB88+'EAST-LRC-GL'!AB88</f>
        <v>0</v>
      </c>
      <c r="AC88" s="180">
        <f>'EAST-EGM-GL'!AC88+'EAST-LRC-GL'!AC88</f>
        <v>0</v>
      </c>
      <c r="AD88" s="180">
        <f>'EAST-EGM-GL'!AD88+'EAST-LRC-GL'!AD88</f>
        <v>0</v>
      </c>
      <c r="AE88" s="180">
        <f>'EAST-EGM-GL'!AE88+'EAST-LRC-GL'!AE88</f>
        <v>0</v>
      </c>
      <c r="AF88" s="180">
        <f>'EAST-EGM-GL'!AR88+'EAST-LRC-GL'!AR88</f>
        <v>0</v>
      </c>
      <c r="AG88" s="180">
        <f>'EAST-EGM-GL'!AS88+'EAST-LRC-GL'!AS88</f>
        <v>0</v>
      </c>
      <c r="AH88" s="180">
        <f>'EAST-EGM-GL'!AT88+'EAST-LRC-GL'!AT88</f>
        <v>0</v>
      </c>
      <c r="AI88" s="180">
        <f>'EAST-EGM-GL'!AU88+'EAST-LRC-GL'!AU88</f>
        <v>0</v>
      </c>
      <c r="AJ88" s="180">
        <f>'EAST-EGM-GL'!AV88+'EAST-LRC-GL'!AV88</f>
        <v>0</v>
      </c>
      <c r="AK88" s="180">
        <f>'EAST-EGM-GL'!AW88+'EAST-LRC-GL'!AW88</f>
        <v>0</v>
      </c>
      <c r="AL88" s="180">
        <f>'EAST-EGM-GL'!AX88+'EAST-LRC-GL'!AX88</f>
        <v>0</v>
      </c>
      <c r="AM88" s="180">
        <f>'EAST-EGM-GL'!AY88+'EAST-LRC-GL'!AY88</f>
        <v>0</v>
      </c>
      <c r="AN88" s="180">
        <f>'EAST-EGM-GL'!AZ88+'EAST-LRC-GL'!AZ88</f>
        <v>0</v>
      </c>
      <c r="AO88" s="180">
        <f>'EAST-EGM-GL'!BA88+'EAST-LRC-GL'!BA88</f>
        <v>0</v>
      </c>
      <c r="AP88" s="180">
        <f>'EAST-EGM-GL'!BB88+'EAST-LRC-GL'!BB88</f>
        <v>0</v>
      </c>
      <c r="AQ88" s="180">
        <f>'EAST-EGM-GL'!BC88+'EAST-LRC-GL'!BC88</f>
        <v>0</v>
      </c>
    </row>
    <row r="89" spans="1:79" s="44" customFormat="1" ht="20.25" customHeight="1" x14ac:dyDescent="0.2">
      <c r="A89" s="184"/>
      <c r="B89" s="185"/>
      <c r="C89" s="190" t="s">
        <v>184</v>
      </c>
      <c r="D89" s="188">
        <f>SUM(D86:D88)</f>
        <v>0</v>
      </c>
      <c r="E89" s="188">
        <f t="shared" ref="E89:M89" si="27">SUM(E86:E88)</f>
        <v>76163.37</v>
      </c>
      <c r="F89" s="188">
        <f t="shared" si="27"/>
        <v>0</v>
      </c>
      <c r="G89" s="188">
        <f t="shared" si="27"/>
        <v>98335.37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0</v>
      </c>
      <c r="L89" s="188">
        <f t="shared" si="27"/>
        <v>0</v>
      </c>
      <c r="M89" s="188">
        <f t="shared" si="27"/>
        <v>0</v>
      </c>
      <c r="N89" s="188">
        <f t="shared" ref="N89:AE89" si="28">SUM(N86:N88)</f>
        <v>0</v>
      </c>
      <c r="O89" s="188">
        <f t="shared" si="28"/>
        <v>0</v>
      </c>
      <c r="P89" s="188">
        <f t="shared" si="28"/>
        <v>0</v>
      </c>
      <c r="Q89" s="188">
        <f t="shared" si="28"/>
        <v>-22172</v>
      </c>
      <c r="R89" s="188">
        <f t="shared" si="28"/>
        <v>0</v>
      </c>
      <c r="S89" s="188">
        <f t="shared" si="28"/>
        <v>0</v>
      </c>
      <c r="T89" s="188">
        <f t="shared" si="28"/>
        <v>0</v>
      </c>
      <c r="U89" s="188">
        <f t="shared" si="28"/>
        <v>0</v>
      </c>
      <c r="V89" s="188">
        <f t="shared" si="28"/>
        <v>0</v>
      </c>
      <c r="W89" s="188">
        <f t="shared" si="28"/>
        <v>0</v>
      </c>
      <c r="X89" s="188">
        <f t="shared" si="28"/>
        <v>0</v>
      </c>
      <c r="Y89" s="188">
        <f t="shared" si="28"/>
        <v>0</v>
      </c>
      <c r="Z89" s="188">
        <f t="shared" si="28"/>
        <v>0</v>
      </c>
      <c r="AA89" s="188">
        <f t="shared" si="28"/>
        <v>0</v>
      </c>
      <c r="AB89" s="188">
        <f t="shared" si="28"/>
        <v>0</v>
      </c>
      <c r="AC89" s="188">
        <f t="shared" si="28"/>
        <v>0</v>
      </c>
      <c r="AD89" s="188">
        <f t="shared" si="28"/>
        <v>0</v>
      </c>
      <c r="AE89" s="188">
        <f t="shared" si="28"/>
        <v>0</v>
      </c>
      <c r="AF89" s="188">
        <f t="shared" ref="AF89:AQ89" si="29">SUM(AF86:AF88)</f>
        <v>0</v>
      </c>
      <c r="AG89" s="188">
        <f t="shared" si="29"/>
        <v>0</v>
      </c>
      <c r="AH89" s="188">
        <f t="shared" si="29"/>
        <v>0</v>
      </c>
      <c r="AI89" s="188">
        <f t="shared" si="29"/>
        <v>0</v>
      </c>
      <c r="AJ89" s="188">
        <f t="shared" si="29"/>
        <v>0</v>
      </c>
      <c r="AK89" s="188">
        <f t="shared" si="29"/>
        <v>0</v>
      </c>
      <c r="AL89" s="188">
        <f t="shared" si="29"/>
        <v>0</v>
      </c>
      <c r="AM89" s="188">
        <f t="shared" si="29"/>
        <v>0</v>
      </c>
      <c r="AN89" s="188">
        <f t="shared" si="29"/>
        <v>0</v>
      </c>
      <c r="AO89" s="188">
        <f t="shared" si="29"/>
        <v>0</v>
      </c>
      <c r="AP89" s="188">
        <f t="shared" si="29"/>
        <v>0</v>
      </c>
      <c r="AQ89" s="188">
        <f t="shared" si="29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">
      <c r="A90" s="4"/>
      <c r="B90" s="3"/>
      <c r="F90" s="31"/>
      <c r="G90" s="31"/>
      <c r="H90" s="31"/>
      <c r="I90" s="31"/>
    </row>
    <row r="91" spans="1:79" s="143" customFormat="1" ht="20.25" customHeight="1" x14ac:dyDescent="0.2">
      <c r="A91" s="191"/>
      <c r="B91" s="192"/>
      <c r="C91" s="190" t="s">
        <v>187</v>
      </c>
      <c r="D91" s="193">
        <f>+D82+D89</f>
        <v>5928</v>
      </c>
      <c r="E91" s="193">
        <f t="shared" ref="E91:M91" si="30">+E82+E89</f>
        <v>-3155182.3580000289</v>
      </c>
      <c r="F91" s="193">
        <f t="shared" si="30"/>
        <v>0</v>
      </c>
      <c r="G91" s="193">
        <f t="shared" si="30"/>
        <v>-4419396.1100000003</v>
      </c>
      <c r="H91" s="193">
        <f t="shared" si="30"/>
        <v>0</v>
      </c>
      <c r="I91" s="193">
        <f t="shared" si="30"/>
        <v>-456765.06300007633</v>
      </c>
      <c r="J91" s="193">
        <f t="shared" si="30"/>
        <v>0</v>
      </c>
      <c r="K91" s="193">
        <f t="shared" si="30"/>
        <v>12314219.807999998</v>
      </c>
      <c r="L91" s="193">
        <f t="shared" si="30"/>
        <v>5928</v>
      </c>
      <c r="M91" s="193">
        <f t="shared" si="30"/>
        <v>-2428.0660000000516</v>
      </c>
      <c r="N91" s="193">
        <f t="shared" ref="N91:AE91" si="31">+N82+N89</f>
        <v>0</v>
      </c>
      <c r="O91" s="193">
        <f t="shared" si="31"/>
        <v>-679090.65399999963</v>
      </c>
      <c r="P91" s="193">
        <f t="shared" si="31"/>
        <v>0</v>
      </c>
      <c r="Q91" s="193">
        <f t="shared" si="31"/>
        <v>389556.21100000007</v>
      </c>
      <c r="R91" s="193">
        <f t="shared" si="31"/>
        <v>0</v>
      </c>
      <c r="S91" s="193">
        <f t="shared" si="31"/>
        <v>-260853.82400000005</v>
      </c>
      <c r="T91" s="193">
        <f t="shared" si="31"/>
        <v>0</v>
      </c>
      <c r="U91" s="193">
        <f t="shared" si="31"/>
        <v>-10016602.257999998</v>
      </c>
      <c r="V91" s="193">
        <f t="shared" si="31"/>
        <v>0</v>
      </c>
      <c r="W91" s="193">
        <f t="shared" si="31"/>
        <v>-110481.94999999995</v>
      </c>
      <c r="X91" s="193">
        <f t="shared" si="31"/>
        <v>0</v>
      </c>
      <c r="Y91" s="193">
        <f t="shared" si="31"/>
        <v>51378.064000000013</v>
      </c>
      <c r="Z91" s="193">
        <f t="shared" si="31"/>
        <v>0</v>
      </c>
      <c r="AA91" s="193">
        <f t="shared" si="31"/>
        <v>-38365.992000000027</v>
      </c>
      <c r="AB91" s="193">
        <f t="shared" si="31"/>
        <v>0</v>
      </c>
      <c r="AC91" s="193">
        <f t="shared" si="31"/>
        <v>34064.962000000014</v>
      </c>
      <c r="AD91" s="193">
        <f t="shared" si="31"/>
        <v>0</v>
      </c>
      <c r="AE91" s="193">
        <f t="shared" si="31"/>
        <v>39584.514000000025</v>
      </c>
      <c r="AF91" s="193">
        <f t="shared" ref="AF91:AQ91" si="32">+AF82+AF89</f>
        <v>0</v>
      </c>
      <c r="AG91" s="193">
        <f t="shared" si="32"/>
        <v>-2</v>
      </c>
      <c r="AH91" s="193">
        <f t="shared" si="32"/>
        <v>0</v>
      </c>
      <c r="AI91" s="193">
        <f t="shared" si="32"/>
        <v>0</v>
      </c>
      <c r="AJ91" s="193">
        <f t="shared" si="32"/>
        <v>0</v>
      </c>
      <c r="AK91" s="193">
        <f t="shared" si="32"/>
        <v>0</v>
      </c>
      <c r="AL91" s="193">
        <f t="shared" si="32"/>
        <v>0</v>
      </c>
      <c r="AM91" s="193">
        <f t="shared" si="32"/>
        <v>0</v>
      </c>
      <c r="AN91" s="193">
        <f t="shared" si="32"/>
        <v>0</v>
      </c>
      <c r="AO91" s="193">
        <f t="shared" si="32"/>
        <v>0</v>
      </c>
      <c r="AP91" s="193">
        <f t="shared" si="32"/>
        <v>0</v>
      </c>
      <c r="AQ91" s="193">
        <f t="shared" si="32"/>
        <v>0</v>
      </c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Q179"/>
  <sheetViews>
    <sheetView zoomScale="75" workbookViewId="0">
      <pane xSplit="3" ySplit="9" topLeftCell="P75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175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>
        <f>CE_GL!ET8</f>
        <v>0</v>
      </c>
      <c r="AI8" s="27"/>
      <c r="AJ8" s="26">
        <f>CE_GL!EV8</f>
        <v>0</v>
      </c>
      <c r="AK8" s="27"/>
      <c r="AL8" s="26">
        <f>CE_GL!EX8</f>
        <v>0</v>
      </c>
      <c r="AM8" s="27"/>
      <c r="AN8" s="26">
        <f>CE_GL!EZ8</f>
        <v>0</v>
      </c>
      <c r="AO8" s="27"/>
      <c r="AP8" s="26">
        <f>CE_GL!FB8</f>
        <v>0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  <c r="AN11" s="127">
        <f>+Actuals!AK204</f>
        <v>0</v>
      </c>
      <c r="AO11" s="128">
        <f>+Actuals!AL204</f>
        <v>0</v>
      </c>
      <c r="AP11" s="127">
        <f>+Actuals!AM204</f>
        <v>0</v>
      </c>
      <c r="AQ11" s="128">
        <f>+Actuals!AN204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  <c r="AN12" s="127">
        <f>+Actuals!AK205</f>
        <v>0</v>
      </c>
      <c r="AO12" s="128">
        <f>+Actuals!AL205</f>
        <v>0</v>
      </c>
      <c r="AP12" s="127">
        <f>+Actuals!AM205</f>
        <v>0</v>
      </c>
      <c r="AQ12" s="128">
        <f>+Actuals!AN205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  <c r="AN13" s="127">
        <f>+Actuals!AK206</f>
        <v>0</v>
      </c>
      <c r="AO13" s="128">
        <f>+Actuals!AL206</f>
        <v>0</v>
      </c>
      <c r="AP13" s="127">
        <f>+Actuals!AM206</f>
        <v>0</v>
      </c>
      <c r="AQ13" s="128">
        <f>+Actuals!AN206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  <c r="AN14" s="127">
        <f>+Actuals!AK207</f>
        <v>0</v>
      </c>
      <c r="AO14" s="128">
        <f>+Actuals!AL207</f>
        <v>0</v>
      </c>
      <c r="AP14" s="127">
        <f>+Actuals!AM207</f>
        <v>0</v>
      </c>
      <c r="AQ14" s="128">
        <f>+Actuals!AN207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  <c r="AN15" s="127">
        <f>+Actuals!AK208</f>
        <v>0</v>
      </c>
      <c r="AO15" s="128">
        <f>+Actuals!AL208</f>
        <v>0</v>
      </c>
      <c r="AP15" s="127">
        <f>+Actuals!AM208</f>
        <v>0</v>
      </c>
      <c r="AQ15" s="128">
        <f>+Actuals!AN208</f>
        <v>0</v>
      </c>
    </row>
    <row r="16" spans="1:43" x14ac:dyDescent="0.2">
      <c r="A16" s="9"/>
      <c r="B16" s="7" t="s">
        <v>32</v>
      </c>
      <c r="C16" s="6"/>
      <c r="D16" s="61">
        <f t="shared" ref="D16:AA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  <c r="AN19" s="127">
        <f>+Actuals!AK209</f>
        <v>0</v>
      </c>
      <c r="AO19" s="128">
        <f>+Actuals!AL209</f>
        <v>0</v>
      </c>
      <c r="AP19" s="127">
        <f>+Actuals!AM209</f>
        <v>0</v>
      </c>
      <c r="AQ19" s="128">
        <f>+Actuals!AN209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  <c r="AN20" s="127">
        <f>+Actuals!AK210</f>
        <v>0</v>
      </c>
      <c r="AO20" s="128">
        <f>+Actuals!AL210</f>
        <v>0</v>
      </c>
      <c r="AP20" s="127">
        <f>+Actuals!AM210</f>
        <v>0</v>
      </c>
      <c r="AQ20" s="128">
        <f>+Actuals!AN210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  <c r="AN21" s="127">
        <f>+Actuals!AK211</f>
        <v>0</v>
      </c>
      <c r="AO21" s="128">
        <f>+Actuals!AL211</f>
        <v>0</v>
      </c>
      <c r="AP21" s="127">
        <f>+Actuals!AM211</f>
        <v>0</v>
      </c>
      <c r="AQ21" s="128">
        <f>+Actuals!AN211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  <c r="AN22" s="127">
        <f>+Actuals!AK212</f>
        <v>0</v>
      </c>
      <c r="AO22" s="128">
        <f>+Actuals!AL212</f>
        <v>0</v>
      </c>
      <c r="AP22" s="127">
        <f>+Actuals!AM212</f>
        <v>0</v>
      </c>
      <c r="AQ22" s="128">
        <f>+Actuals!AN212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  <c r="AN23" s="127">
        <f>+Actuals!AK213</f>
        <v>0</v>
      </c>
      <c r="AO23" s="128">
        <f>+Actuals!AL213</f>
        <v>0</v>
      </c>
      <c r="AP23" s="127">
        <f>+Actuals!AM213</f>
        <v>0</v>
      </c>
      <c r="AQ23" s="128">
        <f>+Actuals!AN213</f>
        <v>0</v>
      </c>
    </row>
    <row r="24" spans="1:43" x14ac:dyDescent="0.2">
      <c r="A24" s="9"/>
      <c r="B24" s="7" t="s">
        <v>35</v>
      </c>
      <c r="C24" s="6"/>
      <c r="D24" s="61">
        <f t="shared" ref="D24:AA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  <c r="AN27" s="127">
        <f>+Actuals!AK214</f>
        <v>0</v>
      </c>
      <c r="AO27" s="128">
        <f>+Actuals!AL214</f>
        <v>0</v>
      </c>
      <c r="AP27" s="127">
        <f>+Actuals!AM214</f>
        <v>0</v>
      </c>
      <c r="AQ27" s="128">
        <f>+Actuals!AN214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  <c r="AN28" s="127">
        <f>+Actuals!AK215</f>
        <v>0</v>
      </c>
      <c r="AO28" s="128">
        <f>+Actuals!AL215</f>
        <v>0</v>
      </c>
      <c r="AP28" s="127">
        <f>+Actuals!AM215</f>
        <v>0</v>
      </c>
      <c r="AQ28" s="128">
        <f>+Actuals!AN215</f>
        <v>0</v>
      </c>
    </row>
    <row r="29" spans="1:43" x14ac:dyDescent="0.2">
      <c r="A29" s="9"/>
      <c r="B29" s="7" t="s">
        <v>39</v>
      </c>
      <c r="C29" s="18"/>
      <c r="D29" s="61">
        <f t="shared" ref="D29:AA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  <c r="AN32" s="127">
        <f>+Actuals!AK216</f>
        <v>0</v>
      </c>
      <c r="AO32" s="128">
        <f>+Actuals!AL216</f>
        <v>0</v>
      </c>
      <c r="AP32" s="127">
        <f>+Actuals!AM216</f>
        <v>0</v>
      </c>
      <c r="AQ32" s="128">
        <f>+Actuals!AN216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  <c r="AN33" s="127">
        <f>+Actuals!AK217</f>
        <v>0</v>
      </c>
      <c r="AO33" s="128">
        <f>+Actuals!AL217</f>
        <v>0</v>
      </c>
      <c r="AP33" s="127">
        <f>+Actuals!AM217</f>
        <v>0</v>
      </c>
      <c r="AQ33" s="128">
        <f>+Actuals!AN217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  <c r="AN34" s="127">
        <f>+Actuals!AK218</f>
        <v>0</v>
      </c>
      <c r="AO34" s="128">
        <f>+Actuals!AL218</f>
        <v>0</v>
      </c>
      <c r="AP34" s="127">
        <f>+Actuals!AM218</f>
        <v>0</v>
      </c>
      <c r="AQ34" s="128">
        <f>+Actuals!AN218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  <c r="AN35" s="127">
        <f>+Actuals!AK219</f>
        <v>0</v>
      </c>
      <c r="AO35" s="128">
        <f>+Actuals!AL219</f>
        <v>0</v>
      </c>
      <c r="AP35" s="127">
        <f>+Actuals!AM219</f>
        <v>0</v>
      </c>
      <c r="AQ35" s="128">
        <f>+Actuals!AN219</f>
        <v>0</v>
      </c>
    </row>
    <row r="36" spans="1:43" x14ac:dyDescent="0.2">
      <c r="A36" s="9"/>
      <c r="B36" s="7" t="s">
        <v>45</v>
      </c>
      <c r="C36" s="6"/>
      <c r="D36" s="61">
        <f t="shared" ref="D36:AA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  <c r="AN39" s="127">
        <f>+Actuals!AK220</f>
        <v>0</v>
      </c>
      <c r="AO39" s="128">
        <f>+Actuals!AL220</f>
        <v>0</v>
      </c>
      <c r="AP39" s="127">
        <f>+Actuals!AM220</f>
        <v>0</v>
      </c>
      <c r="AQ39" s="128">
        <f>+Actuals!AN220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  <c r="AN40" s="127">
        <f>+Actuals!AK221</f>
        <v>0</v>
      </c>
      <c r="AO40" s="128">
        <f>+Actuals!AL221</f>
        <v>0</v>
      </c>
      <c r="AP40" s="127">
        <f>+Actuals!AM221</f>
        <v>0</v>
      </c>
      <c r="AQ40" s="128">
        <f>+Actuals!AN221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  <c r="AN41" s="127">
        <f>+Actuals!AK222</f>
        <v>0</v>
      </c>
      <c r="AO41" s="128">
        <f>+Actuals!AL222</f>
        <v>0</v>
      </c>
      <c r="AP41" s="127">
        <f>+Actuals!AM222</f>
        <v>0</v>
      </c>
      <c r="AQ41" s="128">
        <f>+Actuals!AN222</f>
        <v>0</v>
      </c>
    </row>
    <row r="42" spans="1:43" x14ac:dyDescent="0.2">
      <c r="A42" s="9"/>
      <c r="B42" s="7"/>
      <c r="C42" s="53" t="s">
        <v>50</v>
      </c>
      <c r="D42" s="61">
        <f t="shared" ref="D42:AA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AA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  <c r="AN45" s="127">
        <f>+Actuals!AK223</f>
        <v>0</v>
      </c>
      <c r="AO45" s="128">
        <f>+Actuals!AL223</f>
        <v>0</v>
      </c>
      <c r="AP45" s="127">
        <f>+Actuals!AM223</f>
        <v>0</v>
      </c>
      <c r="AQ45" s="128">
        <f>+Actuals!AN223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  <c r="AN47" s="127">
        <f>+Actuals!AK224</f>
        <v>0</v>
      </c>
      <c r="AO47" s="128">
        <f>+Actuals!AL224</f>
        <v>0</v>
      </c>
      <c r="AP47" s="127">
        <f>+Actuals!AM224</f>
        <v>0</v>
      </c>
      <c r="AQ47" s="128">
        <f>+Actuals!AN224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  <c r="AN49" s="127">
        <f>+Actuals!AK225</f>
        <v>0</v>
      </c>
      <c r="AO49" s="128">
        <f>+Actuals!AL225</f>
        <v>0</v>
      </c>
      <c r="AP49" s="127">
        <f>+Actuals!AM225</f>
        <v>0</v>
      </c>
      <c r="AQ49" s="128">
        <f>+Actuals!AN225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  <c r="AN51" s="127">
        <f>+Actuals!AK226</f>
        <v>0</v>
      </c>
      <c r="AO51" s="128">
        <f>+Actuals!AL226</f>
        <v>0</v>
      </c>
      <c r="AP51" s="127">
        <f>+Actuals!AM226</f>
        <v>0</v>
      </c>
      <c r="AQ51" s="128">
        <f>+Actuals!AN226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  <c r="AN54" s="127">
        <f>+Actuals!AK227</f>
        <v>0</v>
      </c>
      <c r="AO54" s="128">
        <f>+Actuals!AL227</f>
        <v>0</v>
      </c>
      <c r="AP54" s="127">
        <f>+Actuals!AM227</f>
        <v>0</v>
      </c>
      <c r="AQ54" s="128">
        <f>+Actuals!AN227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  <c r="AN55" s="127">
        <f>+Actuals!AK228</f>
        <v>0</v>
      </c>
      <c r="AO55" s="128">
        <f>+Actuals!AL228</f>
        <v>0</v>
      </c>
      <c r="AP55" s="127">
        <f>+Actuals!AM228</f>
        <v>0</v>
      </c>
      <c r="AQ55" s="128">
        <f>+Actuals!AN228</f>
        <v>0</v>
      </c>
    </row>
    <row r="56" spans="1:43" x14ac:dyDescent="0.2">
      <c r="A56" s="9"/>
      <c r="B56" s="7" t="s">
        <v>59</v>
      </c>
      <c r="C56" s="6"/>
      <c r="D56" s="61">
        <f t="shared" ref="D56:AA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  <c r="AN59" s="127">
        <f>+Actuals!AK229</f>
        <v>0</v>
      </c>
      <c r="AO59" s="128">
        <f>+Actuals!AL229</f>
        <v>0</v>
      </c>
      <c r="AP59" s="127">
        <f>+Actuals!AM229</f>
        <v>0</v>
      </c>
      <c r="AQ59" s="128">
        <f>+Actuals!AN229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  <c r="AN60" s="127">
        <f>+Actuals!AK230</f>
        <v>0</v>
      </c>
      <c r="AO60" s="128">
        <f>+Actuals!AL230</f>
        <v>0</v>
      </c>
      <c r="AP60" s="127">
        <f>+Actuals!AM230</f>
        <v>0</v>
      </c>
      <c r="AQ60" s="128">
        <f>+Actuals!AN230</f>
        <v>0</v>
      </c>
    </row>
    <row r="61" spans="1:43" x14ac:dyDescent="0.2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  <c r="AN64" s="127">
        <f>+Actuals!AK231</f>
        <v>0</v>
      </c>
      <c r="AO64" s="128">
        <f>+Actuals!AL231</f>
        <v>0</v>
      </c>
      <c r="AP64" s="127">
        <f>+Actuals!AM231</f>
        <v>0</v>
      </c>
      <c r="AQ64" s="128">
        <f>+Actuals!AN231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  <c r="AN65" s="127">
        <f>+Actuals!AK232</f>
        <v>0</v>
      </c>
      <c r="AO65" s="128">
        <f>+Actuals!AL232</f>
        <v>0</v>
      </c>
      <c r="AP65" s="127">
        <f>+Actuals!AM232</f>
        <v>0</v>
      </c>
      <c r="AQ65" s="128">
        <f>+Actuals!AN232</f>
        <v>0</v>
      </c>
    </row>
    <row r="66" spans="1:43" x14ac:dyDescent="0.2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  <c r="AN70" s="127">
        <f>+Actuals!AK233</f>
        <v>0</v>
      </c>
      <c r="AO70" s="128">
        <f>+Actuals!AL233</f>
        <v>0</v>
      </c>
      <c r="AP70" s="127">
        <f>+Actuals!AM233</f>
        <v>0</v>
      </c>
      <c r="AQ70" s="128">
        <f>+Actuals!AN233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  <c r="AN71" s="127">
        <f>+Actuals!AK234</f>
        <v>0</v>
      </c>
      <c r="AO71" s="128">
        <f>+Actuals!AL234</f>
        <v>0</v>
      </c>
      <c r="AP71" s="127">
        <f>+Actuals!AM234</f>
        <v>0</v>
      </c>
      <c r="AQ71" s="128">
        <f>+Actuals!AN234</f>
        <v>0</v>
      </c>
    </row>
    <row r="72" spans="1:43" x14ac:dyDescent="0.2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  <c r="AN73" s="127">
        <f>+Actuals!AK235</f>
        <v>0</v>
      </c>
      <c r="AO73" s="128">
        <f>+Actuals!AL235</f>
        <v>0</v>
      </c>
      <c r="AP73" s="127">
        <f>+Actuals!AM235</f>
        <v>0</v>
      </c>
      <c r="AQ73" s="128">
        <f>+Actuals!AN235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  <c r="AN74" s="127">
        <f>+Actuals!AK236</f>
        <v>0</v>
      </c>
      <c r="AO74" s="128">
        <f>+Actuals!AL236</f>
        <v>0</v>
      </c>
      <c r="AP74" s="127">
        <f>+Actuals!AM236</f>
        <v>0</v>
      </c>
      <c r="AQ74" s="128">
        <f>+Actuals!AN236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  <c r="AN75" s="127">
        <f>+Actuals!AK237</f>
        <v>0</v>
      </c>
      <c r="AO75" s="128">
        <f>+Actuals!AL237</f>
        <v>0</v>
      </c>
      <c r="AP75" s="127">
        <f>+Actuals!AM237</f>
        <v>0</v>
      </c>
      <c r="AQ75" s="128">
        <f>+Actuals!AN237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  <c r="AN76" s="127">
        <f>+Actuals!AK238</f>
        <v>0</v>
      </c>
      <c r="AO76" s="128">
        <f>+Actuals!AL238</f>
        <v>0</v>
      </c>
      <c r="AP76" s="127">
        <f>+Actuals!AM238</f>
        <v>0</v>
      </c>
      <c r="AQ76" s="128">
        <f>+Actuals!AN238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  <c r="AN77" s="127">
        <f>+Actuals!AK239</f>
        <v>0</v>
      </c>
      <c r="AO77" s="128">
        <f>+Actuals!AL239</f>
        <v>0</v>
      </c>
      <c r="AP77" s="127">
        <f>+Actuals!AM239</f>
        <v>0</v>
      </c>
      <c r="AQ77" s="128">
        <f>+Actuals!AN239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  <c r="AN78" s="127">
        <f>+Actuals!AK240</f>
        <v>0</v>
      </c>
      <c r="AO78" s="128">
        <f>+Actuals!AL240</f>
        <v>0</v>
      </c>
      <c r="AP78" s="127">
        <f>+Actuals!AM240</f>
        <v>0</v>
      </c>
      <c r="AQ78" s="128">
        <f>+Actuals!AN240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  <c r="AN79" s="127">
        <f>+Actuals!AK241</f>
        <v>0</v>
      </c>
      <c r="AO79" s="128">
        <f>+Actuals!AL241</f>
        <v>0</v>
      </c>
      <c r="AP79" s="127">
        <f>+Actuals!AM241</f>
        <v>0</v>
      </c>
      <c r="AQ79" s="128">
        <f>+Actuals!AN241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  <c r="AN80" s="127">
        <f>+Actuals!AK242</f>
        <v>0</v>
      </c>
      <c r="AO80" s="128">
        <f>+Actuals!AL242</f>
        <v>0</v>
      </c>
      <c r="AP80" s="127">
        <f>+Actuals!AM242</f>
        <v>0</v>
      </c>
      <c r="AQ80" s="128">
        <f>+Actuals!AN242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  <c r="AN81" s="127">
        <f>+Actuals!AK243</f>
        <v>0</v>
      </c>
      <c r="AO81" s="128">
        <f>+Actuals!AL243</f>
        <v>0</v>
      </c>
      <c r="AP81" s="127">
        <f>+Actuals!AM243</f>
        <v>0</v>
      </c>
      <c r="AQ81" s="128">
        <f>+Actuals!AN243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A187"/>
  <sheetViews>
    <sheetView zoomScale="75" workbookViewId="0">
      <pane xSplit="3" ySplit="9" topLeftCell="Y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51829042</v>
      </c>
      <c r="E11" s="38">
        <f t="shared" si="0"/>
        <v>102507575.84399998</v>
      </c>
      <c r="F11" s="60">
        <f>'TIE-OUT'!R11+RECLASS!R11</f>
        <v>0</v>
      </c>
      <c r="G11" s="38">
        <f>'TIE-OUT'!S11+RECLASS!S11</f>
        <v>1455110</v>
      </c>
      <c r="H11" s="127">
        <f>+Actuals!E244</f>
        <v>53190456</v>
      </c>
      <c r="I11" s="128">
        <f>+Actuals!F244</f>
        <v>103676327.57999998</v>
      </c>
      <c r="J11" s="127">
        <f>+Actuals!G244</f>
        <v>-3804683</v>
      </c>
      <c r="K11" s="147">
        <f>+Actuals!H244</f>
        <v>-7790286.9860000005</v>
      </c>
      <c r="L11" s="127">
        <f>+Actuals!I244</f>
        <v>2101090</v>
      </c>
      <c r="M11" s="128">
        <f>+Actuals!J244</f>
        <v>3911919.86</v>
      </c>
      <c r="N11" s="127">
        <f>+Actuals!K244</f>
        <v>1055503</v>
      </c>
      <c r="O11" s="128">
        <f>+Actuals!L244</f>
        <v>2075484.82</v>
      </c>
      <c r="P11" s="127">
        <f>+Actuals!M244</f>
        <v>-1490360</v>
      </c>
      <c r="Q11" s="128">
        <f>+Actuals!N244</f>
        <v>-2328360.64</v>
      </c>
      <c r="R11" s="127">
        <f>+Actuals!O244</f>
        <v>741938</v>
      </c>
      <c r="S11" s="128">
        <f>+Actuals!P244</f>
        <v>1427503.34</v>
      </c>
      <c r="T11" s="127">
        <f>+Actuals!Q244</f>
        <v>40165</v>
      </c>
      <c r="U11" s="128">
        <f>+Actuals!R244</f>
        <v>64941.279999999999</v>
      </c>
      <c r="V11" s="127">
        <f>+Actuals!S244</f>
        <v>0</v>
      </c>
      <c r="W11" s="128">
        <f>+Actuals!T244</f>
        <v>2021.78</v>
      </c>
      <c r="X11" s="127">
        <f>+Actuals!U244</f>
        <v>50000</v>
      </c>
      <c r="Y11" s="128">
        <f>+Actuals!V244</f>
        <v>112484.99</v>
      </c>
      <c r="Z11" s="127">
        <f>+Actuals!W444</f>
        <v>-50000</v>
      </c>
      <c r="AA11" s="128">
        <f>+Actuals!X444</f>
        <v>-102675.19</v>
      </c>
      <c r="AB11" s="127">
        <f>+Actuals!Y444</f>
        <v>-5067</v>
      </c>
      <c r="AC11" s="128">
        <f>+Actuals!Z444</f>
        <v>-9105.99</v>
      </c>
      <c r="AD11" s="127">
        <f>+Actuals!AA444</f>
        <v>0</v>
      </c>
      <c r="AE11" s="128">
        <f>+Actuals!AB444</f>
        <v>0</v>
      </c>
      <c r="AF11" s="127">
        <f>+Actuals!AC444</f>
        <v>0</v>
      </c>
      <c r="AG11" s="128">
        <f>+Actuals!AD444</f>
        <v>12211</v>
      </c>
      <c r="AH11" s="127">
        <f>+Actuals!AE244</f>
        <v>0</v>
      </c>
      <c r="AI11" s="128">
        <f>+Actuals!AF244</f>
        <v>0</v>
      </c>
      <c r="AJ11" s="127">
        <f>+Actuals!AG244</f>
        <v>0</v>
      </c>
      <c r="AK11" s="128">
        <f>+Actuals!AH244</f>
        <v>0</v>
      </c>
      <c r="AL11" s="127">
        <f>+Actuals!AI244</f>
        <v>0</v>
      </c>
      <c r="AM11" s="128">
        <f>+Actuals!AJ244</f>
        <v>0</v>
      </c>
      <c r="AN11" s="127">
        <f>+Actuals!AK244</f>
        <v>0</v>
      </c>
      <c r="AO11" s="128">
        <f>+Actuals!AL244</f>
        <v>0</v>
      </c>
      <c r="AP11" s="127">
        <f>+Actuals!AM244</f>
        <v>0</v>
      </c>
      <c r="AQ11" s="128">
        <f>+Actuals!AN244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-5455684.8300000001</v>
      </c>
      <c r="F12" s="60">
        <f>'TIE-OUT'!R12+RECLASS!R12</f>
        <v>0</v>
      </c>
      <c r="G12" s="38">
        <f>'TIE-OUT'!S12+RECLASS!S12</f>
        <v>-5455684.8300000001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47">
        <f>+Actuals!H245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+Actuals!AI245</f>
        <v>0</v>
      </c>
      <c r="AM12" s="128">
        <f>+Actuals!AJ245</f>
        <v>0</v>
      </c>
      <c r="AN12" s="127">
        <f>+Actuals!AK245</f>
        <v>0</v>
      </c>
      <c r="AO12" s="128">
        <f>+Actuals!AL245</f>
        <v>0</v>
      </c>
      <c r="AP12" s="127">
        <f>+Actuals!AM245</f>
        <v>0</v>
      </c>
      <c r="AQ12" s="128">
        <f>+Actuals!AN245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31422383</v>
      </c>
      <c r="E13" s="38">
        <f t="shared" si="0"/>
        <v>66166091</v>
      </c>
      <c r="F13" s="60">
        <f>'TIE-OUT'!R13+RECLASS!R13</f>
        <v>0</v>
      </c>
      <c r="G13" s="38">
        <f>'TIE-OUT'!S13+RECLASS!S13</f>
        <v>0</v>
      </c>
      <c r="H13" s="127">
        <f>+Actuals!E246</f>
        <v>31422383</v>
      </c>
      <c r="I13" s="128">
        <f>+Actuals!F246</f>
        <v>66166091</v>
      </c>
      <c r="J13" s="127">
        <f>+Actuals!G246</f>
        <v>-403986</v>
      </c>
      <c r="K13" s="147">
        <f>+Actuals!H246</f>
        <v>-757905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0</v>
      </c>
      <c r="Q13" s="128">
        <f>+Actuals!N246</f>
        <v>458</v>
      </c>
      <c r="R13" s="127">
        <f>+Actuals!O246</f>
        <v>0</v>
      </c>
      <c r="S13" s="128">
        <f>+Actuals!P246</f>
        <v>0</v>
      </c>
      <c r="T13" s="127">
        <f>+Actuals!Q246</f>
        <v>110711</v>
      </c>
      <c r="U13" s="128">
        <f>+Actuals!R246</f>
        <v>227267</v>
      </c>
      <c r="V13" s="127">
        <f>+Actuals!S246</f>
        <v>110711</v>
      </c>
      <c r="W13" s="128">
        <f>+Actuals!T246</f>
        <v>227267</v>
      </c>
      <c r="X13" s="127">
        <f>+Actuals!U246</f>
        <v>182564</v>
      </c>
      <c r="Y13" s="128">
        <f>+Actuals!V246</f>
        <v>302913</v>
      </c>
      <c r="Z13" s="127">
        <f>+Actuals!W446</f>
        <v>-182564</v>
      </c>
      <c r="AA13" s="128">
        <f>+Actuals!X446</f>
        <v>-302913</v>
      </c>
      <c r="AB13" s="127">
        <f>+Actuals!Y446</f>
        <v>0</v>
      </c>
      <c r="AC13" s="128">
        <f>+Actuals!Z446</f>
        <v>0</v>
      </c>
      <c r="AD13" s="127">
        <f>+Actuals!AA446</f>
        <v>182564</v>
      </c>
      <c r="AE13" s="128">
        <f>+Actuals!AB446</f>
        <v>302913</v>
      </c>
      <c r="AF13" s="127">
        <f>+Actuals!AC446</f>
        <v>0</v>
      </c>
      <c r="AG13" s="128">
        <f>+Actuals!AD446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+Actuals!AI246</f>
        <v>0</v>
      </c>
      <c r="AM13" s="128">
        <f>+Actuals!AJ246</f>
        <v>0</v>
      </c>
      <c r="AN13" s="127">
        <f>+Actuals!AK246</f>
        <v>0</v>
      </c>
      <c r="AO13" s="128">
        <f>+Actuals!AL246</f>
        <v>0</v>
      </c>
      <c r="AP13" s="127">
        <f>+Actuals!AM246</f>
        <v>0</v>
      </c>
      <c r="AQ13" s="128">
        <f>+Actuals!AN246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+Actuals!AI247</f>
        <v>0</v>
      </c>
      <c r="AM14" s="128">
        <f>+Actuals!AJ247</f>
        <v>0</v>
      </c>
      <c r="AN14" s="127">
        <f>+Actuals!AK247</f>
        <v>0</v>
      </c>
      <c r="AO14" s="128">
        <f>+Actuals!AL247</f>
        <v>0</v>
      </c>
      <c r="AP14" s="127">
        <f>+Actuals!AM247</f>
        <v>0</v>
      </c>
      <c r="AQ14" s="128">
        <f>+Actuals!AN247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+Actuals!AI248</f>
        <v>0</v>
      </c>
      <c r="AM15" s="128">
        <f>+Actuals!AJ248</f>
        <v>0</v>
      </c>
      <c r="AN15" s="127">
        <f>+Actuals!AK248</f>
        <v>0</v>
      </c>
      <c r="AO15" s="128">
        <f>+Actuals!AL248</f>
        <v>0</v>
      </c>
      <c r="AP15" s="127">
        <f>+Actuals!AM248</f>
        <v>0</v>
      </c>
      <c r="AQ15" s="128">
        <f>+Actuals!AN248</f>
        <v>0</v>
      </c>
    </row>
    <row r="16" spans="1:43" x14ac:dyDescent="0.2">
      <c r="A16" s="9"/>
      <c r="B16" s="7" t="s">
        <v>32</v>
      </c>
      <c r="C16" s="6"/>
      <c r="D16" s="61">
        <f t="shared" ref="D16:AA16" si="1">SUM(D11:D15)</f>
        <v>83251425</v>
      </c>
      <c r="E16" s="39">
        <f t="shared" si="1"/>
        <v>163217982.014</v>
      </c>
      <c r="F16" s="61">
        <f t="shared" si="1"/>
        <v>0</v>
      </c>
      <c r="G16" s="39">
        <f t="shared" si="1"/>
        <v>-4000574.83</v>
      </c>
      <c r="H16" s="61">
        <f t="shared" si="1"/>
        <v>84612839</v>
      </c>
      <c r="I16" s="39">
        <f t="shared" si="1"/>
        <v>169842418.57999998</v>
      </c>
      <c r="J16" s="61">
        <f t="shared" si="1"/>
        <v>-4208669</v>
      </c>
      <c r="K16" s="148">
        <f t="shared" si="1"/>
        <v>-8548191.9860000014</v>
      </c>
      <c r="L16" s="61">
        <f t="shared" si="1"/>
        <v>2101090</v>
      </c>
      <c r="M16" s="39">
        <f t="shared" si="1"/>
        <v>3911919.86</v>
      </c>
      <c r="N16" s="61">
        <f t="shared" si="1"/>
        <v>1055503</v>
      </c>
      <c r="O16" s="39">
        <f t="shared" si="1"/>
        <v>2075484.82</v>
      </c>
      <c r="P16" s="61">
        <f t="shared" si="1"/>
        <v>-1490360</v>
      </c>
      <c r="Q16" s="39">
        <f t="shared" si="1"/>
        <v>-2327902.64</v>
      </c>
      <c r="R16" s="61">
        <f t="shared" si="1"/>
        <v>741938</v>
      </c>
      <c r="S16" s="39">
        <f t="shared" si="1"/>
        <v>1427503.34</v>
      </c>
      <c r="T16" s="61">
        <f t="shared" si="1"/>
        <v>150876</v>
      </c>
      <c r="U16" s="39">
        <f t="shared" si="1"/>
        <v>292208.28000000003</v>
      </c>
      <c r="V16" s="61">
        <f t="shared" si="1"/>
        <v>110711</v>
      </c>
      <c r="W16" s="39">
        <f t="shared" si="1"/>
        <v>229288.78</v>
      </c>
      <c r="X16" s="61">
        <f t="shared" si="1"/>
        <v>232564</v>
      </c>
      <c r="Y16" s="39">
        <f t="shared" si="1"/>
        <v>415397.99</v>
      </c>
      <c r="Z16" s="61">
        <f t="shared" si="1"/>
        <v>-232564</v>
      </c>
      <c r="AA16" s="39">
        <f t="shared" si="1"/>
        <v>-405588.19</v>
      </c>
      <c r="AB16" s="61">
        <f t="shared" ref="AB16:AQ16" si="2">SUM(AB11:AB15)</f>
        <v>-5067</v>
      </c>
      <c r="AC16" s="39">
        <f t="shared" si="2"/>
        <v>-9105.99</v>
      </c>
      <c r="AD16" s="61">
        <f t="shared" si="2"/>
        <v>182564</v>
      </c>
      <c r="AE16" s="39">
        <f t="shared" si="2"/>
        <v>302913</v>
      </c>
      <c r="AF16" s="61">
        <f>SUM(AF11:AF15)</f>
        <v>0</v>
      </c>
      <c r="AG16" s="39">
        <f>SUM(AG11:AG15)</f>
        <v>12211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-38926257</v>
      </c>
      <c r="E19" s="38">
        <f t="shared" si="3"/>
        <v>-72098293.590000018</v>
      </c>
      <c r="F19" s="64">
        <f>'TIE-OUT'!R19+RECLASS!R19</f>
        <v>0</v>
      </c>
      <c r="G19" s="68">
        <f>'TIE-OUT'!S19+RECLASS!S19</f>
        <v>0</v>
      </c>
      <c r="H19" s="127">
        <f>+Actuals!E249</f>
        <v>-40188534</v>
      </c>
      <c r="I19" s="128">
        <f>+Actuals!F249</f>
        <v>-74191087.660000011</v>
      </c>
      <c r="J19" s="127">
        <f>+Actuals!G249</f>
        <v>809962</v>
      </c>
      <c r="K19" s="147">
        <f>+Actuals!H249</f>
        <v>1335594.69</v>
      </c>
      <c r="L19" s="127">
        <f>+Actuals!I249</f>
        <v>-388110</v>
      </c>
      <c r="M19" s="128">
        <f>+Actuals!J249</f>
        <v>-761005.69</v>
      </c>
      <c r="N19" s="127">
        <f>+Actuals!K249</f>
        <v>945945</v>
      </c>
      <c r="O19" s="128">
        <f>+Actuals!L249</f>
        <v>1713962.5</v>
      </c>
      <c r="P19" s="127">
        <f>+Actuals!M249</f>
        <v>-51461</v>
      </c>
      <c r="Q19" s="128">
        <f>+Actuals!N249</f>
        <v>-77504.800000000003</v>
      </c>
      <c r="R19" s="127">
        <f>+Actuals!O249</f>
        <v>17486</v>
      </c>
      <c r="S19" s="128">
        <f>+Actuals!P249</f>
        <v>46991.040000000001</v>
      </c>
      <c r="T19" s="127">
        <f>+Actuals!Q249</f>
        <v>-47993</v>
      </c>
      <c r="U19" s="128">
        <f>+Actuals!R249</f>
        <v>-122433.93</v>
      </c>
      <c r="V19" s="127">
        <f>+Actuals!S249</f>
        <v>-28619</v>
      </c>
      <c r="W19" s="128">
        <f>+Actuals!T249</f>
        <v>-52229.68</v>
      </c>
      <c r="X19" s="127">
        <f>+Actuals!U249</f>
        <v>0</v>
      </c>
      <c r="Y19" s="128">
        <f>+Actuals!V249</f>
        <v>10.86</v>
      </c>
      <c r="Z19" s="127">
        <f>+Actuals!W449</f>
        <v>0</v>
      </c>
      <c r="AA19" s="128">
        <f>+Actuals!X449</f>
        <v>0</v>
      </c>
      <c r="AB19" s="127">
        <f>+Actuals!Y449</f>
        <v>5067</v>
      </c>
      <c r="AC19" s="128">
        <f>+Actuals!Z449</f>
        <v>9409.08</v>
      </c>
      <c r="AD19" s="127">
        <f>+Actuals!AA449</f>
        <v>0</v>
      </c>
      <c r="AE19" s="128">
        <f>+Actuals!AB449</f>
        <v>0</v>
      </c>
      <c r="AF19" s="127">
        <f>+Actuals!AC449</f>
        <v>0</v>
      </c>
      <c r="AG19" s="128">
        <f>+Actuals!AD449</f>
        <v>0</v>
      </c>
      <c r="AH19" s="127">
        <f>+Actuals!AE249</f>
        <v>0</v>
      </c>
      <c r="AI19" s="128">
        <f>+Actuals!AF249</f>
        <v>0</v>
      </c>
      <c r="AJ19" s="127">
        <f>+Actuals!AG249</f>
        <v>0</v>
      </c>
      <c r="AK19" s="128">
        <f>+Actuals!AH249</f>
        <v>0</v>
      </c>
      <c r="AL19" s="127">
        <f>+Actuals!AI249</f>
        <v>0</v>
      </c>
      <c r="AM19" s="128">
        <f>+Actuals!AJ249</f>
        <v>0</v>
      </c>
      <c r="AN19" s="127">
        <f>+Actuals!AK249</f>
        <v>0</v>
      </c>
      <c r="AO19" s="128">
        <f>+Actuals!AL249</f>
        <v>0</v>
      </c>
      <c r="AP19" s="127">
        <f>+Actuals!AM249</f>
        <v>0</v>
      </c>
      <c r="AQ19" s="128">
        <f>+Actuals!AN249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290556.40999999997</v>
      </c>
      <c r="F20" s="60">
        <f>'TIE-OUT'!R20+RECLASS!R20</f>
        <v>0</v>
      </c>
      <c r="G20" s="38">
        <f>'TIE-OUT'!S20+RECLASS!S20</f>
        <v>290556.40999999997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+Actuals!W450</f>
        <v>0</v>
      </c>
      <c r="AA20" s="157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  <c r="AL20" s="127">
        <f>+Actuals!AI250</f>
        <v>0</v>
      </c>
      <c r="AM20" s="128">
        <f>+Actuals!AJ250</f>
        <v>0</v>
      </c>
      <c r="AN20" s="127">
        <f>+Actuals!AK250</f>
        <v>0</v>
      </c>
      <c r="AO20" s="128">
        <f>+Actuals!AL250</f>
        <v>0</v>
      </c>
      <c r="AP20" s="127">
        <f>+Actuals!AM250</f>
        <v>0</v>
      </c>
      <c r="AQ20" s="128">
        <f>+Actuals!AN250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-33619372</v>
      </c>
      <c r="E21" s="38">
        <f t="shared" si="3"/>
        <v>-70421291</v>
      </c>
      <c r="F21" s="60">
        <f>'TIE-OUT'!R21+RECLASS!R21</f>
        <v>0</v>
      </c>
      <c r="G21" s="38">
        <f>'TIE-OUT'!S21+RECLASS!S21</f>
        <v>0</v>
      </c>
      <c r="H21" s="127">
        <f>+Actuals!E251</f>
        <v>-33619372</v>
      </c>
      <c r="I21" s="128">
        <f>+Actuals!F251</f>
        <v>-70421291</v>
      </c>
      <c r="J21" s="127">
        <f>+Actuals!G251</f>
        <v>1014315</v>
      </c>
      <c r="K21" s="147">
        <f>+Actuals!H251</f>
        <v>1808390</v>
      </c>
      <c r="L21" s="127">
        <f>+Actuals!I251</f>
        <v>0</v>
      </c>
      <c r="M21" s="128">
        <f>+Actuals!J251</f>
        <v>0</v>
      </c>
      <c r="N21" s="127">
        <f>+Actuals!K251</f>
        <v>0</v>
      </c>
      <c r="O21" s="128">
        <f>+Actuals!L251</f>
        <v>0</v>
      </c>
      <c r="P21" s="127">
        <f>+Actuals!M251</f>
        <v>-1019</v>
      </c>
      <c r="Q21" s="128">
        <f>+Actuals!N251</f>
        <v>-4794</v>
      </c>
      <c r="R21" s="127">
        <f>+Actuals!O251</f>
        <v>0</v>
      </c>
      <c r="S21" s="128">
        <f>+Actuals!P251</f>
        <v>0</v>
      </c>
      <c r="T21" s="127">
        <f>+Actuals!Q251</f>
        <v>-110711</v>
      </c>
      <c r="U21" s="128">
        <f>+Actuals!R251</f>
        <v>-227267</v>
      </c>
      <c r="V21" s="127">
        <f>+Actuals!S251</f>
        <v>-110711</v>
      </c>
      <c r="W21" s="128">
        <f>+Actuals!T251</f>
        <v>-227267</v>
      </c>
      <c r="X21" s="127">
        <f>+Actuals!U251</f>
        <v>-791874</v>
      </c>
      <c r="Y21" s="128">
        <f>+Actuals!V251</f>
        <v>-1349062</v>
      </c>
      <c r="Z21" s="127">
        <f>+Actuals!W451</f>
        <v>791874</v>
      </c>
      <c r="AA21" s="128">
        <f>+Actuals!X451</f>
        <v>1349062</v>
      </c>
      <c r="AB21" s="127">
        <f>+Actuals!Y451</f>
        <v>0</v>
      </c>
      <c r="AC21" s="128">
        <f>+Actuals!Z451</f>
        <v>0</v>
      </c>
      <c r="AD21" s="127">
        <f>+Actuals!AA451</f>
        <v>-791874</v>
      </c>
      <c r="AE21" s="128">
        <f>+Actuals!AB451</f>
        <v>-1349062</v>
      </c>
      <c r="AF21" s="127">
        <f>+Actuals!AC451</f>
        <v>0</v>
      </c>
      <c r="AG21" s="128">
        <f>+Actuals!AD451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+Actuals!AI251</f>
        <v>0</v>
      </c>
      <c r="AM21" s="128">
        <f>+Actuals!AJ251</f>
        <v>0</v>
      </c>
      <c r="AN21" s="127">
        <f>+Actuals!AK251</f>
        <v>0</v>
      </c>
      <c r="AO21" s="128">
        <f>+Actuals!AL251</f>
        <v>0</v>
      </c>
      <c r="AP21" s="127">
        <f>+Actuals!AM251</f>
        <v>0</v>
      </c>
      <c r="AQ21" s="128">
        <f>+Actuals!AN251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+Actuals!AI252</f>
        <v>0</v>
      </c>
      <c r="AM22" s="128">
        <f>+Actuals!AJ252</f>
        <v>0</v>
      </c>
      <c r="AN22" s="127">
        <f>+Actuals!AK252</f>
        <v>0</v>
      </c>
      <c r="AO22" s="128">
        <f>+Actuals!AL252</f>
        <v>0</v>
      </c>
      <c r="AP22" s="127">
        <f>+Actuals!AM252</f>
        <v>0</v>
      </c>
      <c r="AQ22" s="128">
        <f>+Actuals!AN252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5738</v>
      </c>
      <c r="E23" s="38">
        <f t="shared" si="3"/>
        <v>10431.678</v>
      </c>
      <c r="F23" s="81">
        <f>'TIE-OUT'!R23+RECLASS!R23</f>
        <v>0</v>
      </c>
      <c r="G23" s="82">
        <f>'TIE-OUT'!S23+RECLASS!S23</f>
        <v>0</v>
      </c>
      <c r="H23" s="127">
        <f>+Actuals!E253</f>
        <v>3100</v>
      </c>
      <c r="I23" s="128">
        <f>+Actuals!F253</f>
        <v>5635.8</v>
      </c>
      <c r="J23" s="127">
        <f>+Actuals!G253</f>
        <v>2619</v>
      </c>
      <c r="K23" s="147">
        <f>+Actuals!H253</f>
        <v>4761.34</v>
      </c>
      <c r="L23" s="127">
        <f>+Actuals!I253</f>
        <v>5123</v>
      </c>
      <c r="M23" s="128">
        <f>+Actuals!J253</f>
        <v>9313.61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-5104</v>
      </c>
      <c r="S23" s="128">
        <f>+Actuals!P253</f>
        <v>-9279.0720000000001</v>
      </c>
      <c r="T23" s="127">
        <f>+Actuals!Q253</f>
        <v>0</v>
      </c>
      <c r="U23" s="128">
        <f>+Actuals!R253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+Actuals!AI253</f>
        <v>0</v>
      </c>
      <c r="AM23" s="128">
        <f>+Actuals!AJ253</f>
        <v>0</v>
      </c>
      <c r="AN23" s="127">
        <f>+Actuals!AK253</f>
        <v>0</v>
      </c>
      <c r="AO23" s="128">
        <f>+Actuals!AL253</f>
        <v>0</v>
      </c>
      <c r="AP23" s="127">
        <f>+Actuals!AM253</f>
        <v>0</v>
      </c>
      <c r="AQ23" s="128">
        <f>+Actuals!AN253</f>
        <v>0</v>
      </c>
    </row>
    <row r="24" spans="1:43" x14ac:dyDescent="0.2">
      <c r="A24" s="9"/>
      <c r="B24" s="7" t="s">
        <v>35</v>
      </c>
      <c r="C24" s="6"/>
      <c r="D24" s="61">
        <f t="shared" ref="D24:AA24" si="4">SUM(D19:D23)</f>
        <v>-72539891</v>
      </c>
      <c r="E24" s="39">
        <f t="shared" si="4"/>
        <v>-142218596.502</v>
      </c>
      <c r="F24" s="61">
        <f t="shared" si="4"/>
        <v>0</v>
      </c>
      <c r="G24" s="39">
        <f t="shared" si="4"/>
        <v>290556.40999999997</v>
      </c>
      <c r="H24" s="61">
        <f t="shared" si="4"/>
        <v>-73804806</v>
      </c>
      <c r="I24" s="39">
        <f t="shared" si="4"/>
        <v>-144606742.86000001</v>
      </c>
      <c r="J24" s="61">
        <f t="shared" si="4"/>
        <v>1826896</v>
      </c>
      <c r="K24" s="148">
        <f t="shared" si="4"/>
        <v>3148746.03</v>
      </c>
      <c r="L24" s="61">
        <f t="shared" si="4"/>
        <v>-382987</v>
      </c>
      <c r="M24" s="39">
        <f t="shared" si="4"/>
        <v>-751692.08</v>
      </c>
      <c r="N24" s="61">
        <f t="shared" si="4"/>
        <v>945945</v>
      </c>
      <c r="O24" s="39">
        <f t="shared" si="4"/>
        <v>1713962.5</v>
      </c>
      <c r="P24" s="61">
        <f t="shared" si="4"/>
        <v>-52480</v>
      </c>
      <c r="Q24" s="39">
        <f t="shared" si="4"/>
        <v>-82298.8</v>
      </c>
      <c r="R24" s="61">
        <f t="shared" si="4"/>
        <v>12382</v>
      </c>
      <c r="S24" s="39">
        <f t="shared" si="4"/>
        <v>37711.968000000001</v>
      </c>
      <c r="T24" s="61">
        <f t="shared" si="4"/>
        <v>-158704</v>
      </c>
      <c r="U24" s="39">
        <f t="shared" si="4"/>
        <v>-349700.93</v>
      </c>
      <c r="V24" s="61">
        <f t="shared" si="4"/>
        <v>-139330</v>
      </c>
      <c r="W24" s="39">
        <f t="shared" si="4"/>
        <v>-279496.68</v>
      </c>
      <c r="X24" s="61">
        <f t="shared" si="4"/>
        <v>-791874</v>
      </c>
      <c r="Y24" s="39">
        <f t="shared" si="4"/>
        <v>-1349051.14</v>
      </c>
      <c r="Z24" s="61">
        <f t="shared" si="4"/>
        <v>791874</v>
      </c>
      <c r="AA24" s="39">
        <f t="shared" si="4"/>
        <v>1349062</v>
      </c>
      <c r="AB24" s="61">
        <f t="shared" ref="AB24:AQ24" si="5">SUM(AB19:AB23)</f>
        <v>5067</v>
      </c>
      <c r="AC24" s="39">
        <f t="shared" si="5"/>
        <v>9409.08</v>
      </c>
      <c r="AD24" s="61">
        <f t="shared" si="5"/>
        <v>-791874</v>
      </c>
      <c r="AE24" s="39">
        <f t="shared" si="5"/>
        <v>-1349062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226773</v>
      </c>
      <c r="E27" s="38">
        <f>SUM(G27,I27,K27,M27,O27,Q27,S27,U27,W27,Y27,AA27,AC27,AE27,AG27)</f>
        <v>421798.42000000004</v>
      </c>
      <c r="F27" s="64">
        <f>'TIE-OUT'!R27+RECLASS!R27</f>
        <v>0</v>
      </c>
      <c r="G27" s="68">
        <f>'TIE-OUT'!S27+RECLASS!S27</f>
        <v>0</v>
      </c>
      <c r="H27" s="127">
        <f>+Actuals!E254</f>
        <v>27199</v>
      </c>
      <c r="I27" s="128">
        <f>+Actuals!F254</f>
        <v>50590.54</v>
      </c>
      <c r="J27" s="127">
        <f>+Actuals!G254</f>
        <v>756</v>
      </c>
      <c r="K27" s="147">
        <f>+Actuals!H254</f>
        <v>1405.76</v>
      </c>
      <c r="L27" s="127">
        <f>+Actuals!I254</f>
        <v>4323</v>
      </c>
      <c r="M27" s="128">
        <f>+Actuals!J254</f>
        <v>8040.78</v>
      </c>
      <c r="N27" s="127">
        <f>+Actuals!K254</f>
        <v>163746</v>
      </c>
      <c r="O27" s="128">
        <f>+Actuals!L254</f>
        <v>304568</v>
      </c>
      <c r="P27" s="127">
        <f>+Actuals!M254</f>
        <v>-162870</v>
      </c>
      <c r="Q27" s="128">
        <f>+Actuals!N254</f>
        <v>-302938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189296</v>
      </c>
      <c r="W27" s="128">
        <f>+Actuals!T254</f>
        <v>352090.56</v>
      </c>
      <c r="X27" s="127">
        <f>+Actuals!U254</f>
        <v>0</v>
      </c>
      <c r="Y27" s="128">
        <f>+Actuals!V254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4323</v>
      </c>
      <c r="AE27" s="128">
        <f>+Actuals!AB454</f>
        <v>8040.78</v>
      </c>
      <c r="AF27" s="127">
        <f>+Actuals!AC454</f>
        <v>0</v>
      </c>
      <c r="AG27" s="128">
        <f>+Actuals!AD454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+Actuals!AI254</f>
        <v>0</v>
      </c>
      <c r="AM27" s="128">
        <f>+Actuals!AJ254</f>
        <v>0</v>
      </c>
      <c r="AN27" s="127">
        <f>+Actuals!AK254</f>
        <v>0</v>
      </c>
      <c r="AO27" s="128">
        <f>+Actuals!AL254</f>
        <v>0</v>
      </c>
      <c r="AP27" s="127">
        <f>+Actuals!AM254</f>
        <v>0</v>
      </c>
      <c r="AQ27" s="128">
        <f>+Actuals!AN254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-13493264</v>
      </c>
      <c r="E28" s="38">
        <f>SUM(G28,I28,K28,M28,O28,Q28,S28,U28,W28,Y28,AA28,AC28,AE28,AG28)</f>
        <v>-25138905.080000006</v>
      </c>
      <c r="F28" s="81">
        <f>'TIE-OUT'!R28+RECLASS!R28</f>
        <v>0</v>
      </c>
      <c r="G28" s="82">
        <f>'TIE-OUT'!S28+RECLASS!S28</f>
        <v>0</v>
      </c>
      <c r="H28" s="127">
        <f>+Actuals!E255</f>
        <v>-13467879</v>
      </c>
      <c r="I28" s="128">
        <f>+Actuals!F255</f>
        <v>-25108638.420000002</v>
      </c>
      <c r="J28" s="127">
        <f>+Actuals!G255</f>
        <v>-90265</v>
      </c>
      <c r="K28" s="147">
        <f>+Actuals!H255</f>
        <v>-150021.82</v>
      </c>
      <c r="L28" s="127">
        <f>+Actuals!I255</f>
        <v>62119</v>
      </c>
      <c r="M28" s="128">
        <f>+Actuals!J255</f>
        <v>114619.7</v>
      </c>
      <c r="N28" s="127">
        <f>+Actuals!K255</f>
        <v>-638955</v>
      </c>
      <c r="O28" s="128">
        <f>+Actuals!L255</f>
        <v>1730.1</v>
      </c>
      <c r="P28" s="127">
        <f>+Actuals!M255</f>
        <v>638955</v>
      </c>
      <c r="Q28" s="128">
        <f>+Actuals!N255</f>
        <v>-1730.1</v>
      </c>
      <c r="R28" s="127">
        <f>+Actuals!O255</f>
        <v>0</v>
      </c>
      <c r="S28" s="128">
        <f>+Actuals!P255</f>
        <v>0</v>
      </c>
      <c r="T28" s="127">
        <f>+Actuals!Q255</f>
        <v>2</v>
      </c>
      <c r="U28" s="128">
        <f>+Actuals!R255</f>
        <v>3.72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+Actuals!W455</f>
        <v>0</v>
      </c>
      <c r="AA28" s="128">
        <f>+Actuals!X455</f>
        <v>0</v>
      </c>
      <c r="AB28" s="127">
        <f>+Actuals!Y455</f>
        <v>0</v>
      </c>
      <c r="AC28" s="128">
        <f>+Actuals!Z455</f>
        <v>0</v>
      </c>
      <c r="AD28" s="127">
        <f>+Actuals!AA455</f>
        <v>0</v>
      </c>
      <c r="AE28" s="128">
        <f>+Actuals!AB455</f>
        <v>0</v>
      </c>
      <c r="AF28" s="127">
        <f>+Actuals!AC455</f>
        <v>2759</v>
      </c>
      <c r="AG28" s="128">
        <f>+Actuals!AD455</f>
        <v>5131.74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+Actuals!AI255</f>
        <v>0</v>
      </c>
      <c r="AM28" s="128">
        <f>+Actuals!AJ255</f>
        <v>0</v>
      </c>
      <c r="AN28" s="127">
        <f>+Actuals!AK255</f>
        <v>0</v>
      </c>
      <c r="AO28" s="128">
        <f>+Actuals!AL255</f>
        <v>0</v>
      </c>
      <c r="AP28" s="127">
        <f>+Actuals!AM255</f>
        <v>0</v>
      </c>
      <c r="AQ28" s="128">
        <f>+Actuals!AN255</f>
        <v>0</v>
      </c>
    </row>
    <row r="29" spans="1:43" x14ac:dyDescent="0.2">
      <c r="A29" s="9"/>
      <c r="B29" s="7" t="s">
        <v>39</v>
      </c>
      <c r="C29" s="18"/>
      <c r="D29" s="61">
        <f t="shared" ref="D29:AA29" si="6">SUM(D27:D28)</f>
        <v>-13266491</v>
      </c>
      <c r="E29" s="39">
        <f t="shared" si="6"/>
        <v>-24717106.660000004</v>
      </c>
      <c r="F29" s="61">
        <f t="shared" si="6"/>
        <v>0</v>
      </c>
      <c r="G29" s="39">
        <f t="shared" si="6"/>
        <v>0</v>
      </c>
      <c r="H29" s="61">
        <f t="shared" si="6"/>
        <v>-13440680</v>
      </c>
      <c r="I29" s="39">
        <f t="shared" si="6"/>
        <v>-25058047.880000003</v>
      </c>
      <c r="J29" s="61">
        <f t="shared" si="6"/>
        <v>-89509</v>
      </c>
      <c r="K29" s="148">
        <f t="shared" si="6"/>
        <v>-148616.06</v>
      </c>
      <c r="L29" s="61">
        <f t="shared" si="6"/>
        <v>66442</v>
      </c>
      <c r="M29" s="39">
        <f t="shared" si="6"/>
        <v>122660.48</v>
      </c>
      <c r="N29" s="61">
        <f t="shared" si="6"/>
        <v>-475209</v>
      </c>
      <c r="O29" s="39">
        <f t="shared" si="6"/>
        <v>306298.09999999998</v>
      </c>
      <c r="P29" s="61">
        <f t="shared" si="6"/>
        <v>476085</v>
      </c>
      <c r="Q29" s="39">
        <f t="shared" si="6"/>
        <v>-304668.09999999998</v>
      </c>
      <c r="R29" s="61">
        <f t="shared" si="6"/>
        <v>0</v>
      </c>
      <c r="S29" s="39">
        <f t="shared" si="6"/>
        <v>0</v>
      </c>
      <c r="T29" s="61">
        <f t="shared" si="6"/>
        <v>2</v>
      </c>
      <c r="U29" s="39">
        <f t="shared" si="6"/>
        <v>3.72</v>
      </c>
      <c r="V29" s="61">
        <f t="shared" si="6"/>
        <v>189296</v>
      </c>
      <c r="W29" s="39">
        <f t="shared" si="6"/>
        <v>352090.56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4323</v>
      </c>
      <c r="AE29" s="39">
        <f t="shared" si="7"/>
        <v>8040.78</v>
      </c>
      <c r="AF29" s="61">
        <f>SUM(AF27:AF28)</f>
        <v>2759</v>
      </c>
      <c r="AG29" s="39">
        <f>SUM(AG27:AG28)</f>
        <v>5131.74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-55587</v>
      </c>
      <c r="E32" s="38">
        <f t="shared" si="8"/>
        <v>-101057.92300000023</v>
      </c>
      <c r="F32" s="64">
        <f>'TIE-OUT'!R32+RECLASS!R32</f>
        <v>0</v>
      </c>
      <c r="G32" s="68">
        <f>'TIE-OUT'!S32+RECLASS!S32</f>
        <v>0</v>
      </c>
      <c r="H32" s="127">
        <f>+Actuals!E256</f>
        <v>-238232</v>
      </c>
      <c r="I32" s="128">
        <f>+Actuals!F256</f>
        <v>-433105.78</v>
      </c>
      <c r="J32" s="127">
        <f>+Actuals!G256</f>
        <v>687273</v>
      </c>
      <c r="K32" s="147">
        <f>+Actuals!H256</f>
        <v>1249462.32</v>
      </c>
      <c r="L32" s="127">
        <f>+Actuals!I256</f>
        <v>-476773</v>
      </c>
      <c r="M32" s="128">
        <f>+Actuals!J256</f>
        <v>-876840.03</v>
      </c>
      <c r="N32" s="127">
        <f>+Actuals!K256</f>
        <v>-13024</v>
      </c>
      <c r="O32" s="128">
        <f>+Actuals!L256</f>
        <v>-29304</v>
      </c>
      <c r="P32" s="127">
        <f>+Actuals!M256</f>
        <v>-805386</v>
      </c>
      <c r="Q32" s="128">
        <f>+Actuals!N256</f>
        <v>-2717279.96</v>
      </c>
      <c r="R32" s="127">
        <f>+Actuals!O256</f>
        <v>814351</v>
      </c>
      <c r="S32" s="128">
        <f>+Actuals!P256</f>
        <v>2734942.46</v>
      </c>
      <c r="T32" s="127">
        <f>+Actuals!Q256</f>
        <v>-37862</v>
      </c>
      <c r="U32" s="128">
        <f>+Actuals!R256</f>
        <v>-64571.64</v>
      </c>
      <c r="V32" s="127">
        <f>+Actuals!S256</f>
        <v>146650</v>
      </c>
      <c r="W32" s="128">
        <f>+Actuals!T256</f>
        <v>266609.70500000002</v>
      </c>
      <c r="X32" s="127">
        <f>+Actuals!U256</f>
        <v>0</v>
      </c>
      <c r="Y32" s="128">
        <f>+Actuals!V256</f>
        <v>0</v>
      </c>
      <c r="Z32" s="127">
        <f>+Actuals!W456</f>
        <v>-159000</v>
      </c>
      <c r="AA32" s="128">
        <f>+Actuals!X456</f>
        <v>-289062</v>
      </c>
      <c r="AB32" s="127">
        <f>+Actuals!Y456</f>
        <v>27732</v>
      </c>
      <c r="AC32" s="128">
        <f>+Actuals!Z456</f>
        <v>60483.49</v>
      </c>
      <c r="AD32" s="127">
        <f>+Actuals!AA456</f>
        <v>3618</v>
      </c>
      <c r="AE32" s="128">
        <f>+Actuals!AB456</f>
        <v>6577.5240000000003</v>
      </c>
      <c r="AF32" s="127">
        <f>+Actuals!AC456</f>
        <v>-4934</v>
      </c>
      <c r="AG32" s="128">
        <f>+Actuals!AD456</f>
        <v>-8970.0120000000006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f>+Actuals!AI256</f>
        <v>0</v>
      </c>
      <c r="AM32" s="128">
        <f>+Actuals!AJ256</f>
        <v>0</v>
      </c>
      <c r="AN32" s="127">
        <f>+Actuals!AK256</f>
        <v>0</v>
      </c>
      <c r="AO32" s="128">
        <f>+Actuals!AL256</f>
        <v>0</v>
      </c>
      <c r="AP32" s="127">
        <f>+Actuals!AM256</f>
        <v>0</v>
      </c>
      <c r="AQ32" s="128">
        <f>+Actuals!AN256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+Actuals!AI257</f>
        <v>0</v>
      </c>
      <c r="AM33" s="128">
        <f>+Actuals!AJ257</f>
        <v>0</v>
      </c>
      <c r="AN33" s="127">
        <f>+Actuals!AK257</f>
        <v>0</v>
      </c>
      <c r="AO33" s="128">
        <f>+Actuals!AL257</f>
        <v>0</v>
      </c>
      <c r="AP33" s="127">
        <f>+Actuals!AM257</f>
        <v>0</v>
      </c>
      <c r="AQ33" s="128">
        <f>+Actuals!AN257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+Actuals!AI258</f>
        <v>0</v>
      </c>
      <c r="AM34" s="128">
        <f>+Actuals!AJ258</f>
        <v>0</v>
      </c>
      <c r="AN34" s="127">
        <f>+Actuals!AK258</f>
        <v>0</v>
      </c>
      <c r="AO34" s="128">
        <f>+Actuals!AL258</f>
        <v>0</v>
      </c>
      <c r="AP34" s="127">
        <f>+Actuals!AM258</f>
        <v>0</v>
      </c>
      <c r="AQ34" s="128">
        <f>+Actuals!AN258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+Actuals!AI259</f>
        <v>0</v>
      </c>
      <c r="AM35" s="128">
        <f>+Actuals!AJ259</f>
        <v>0</v>
      </c>
      <c r="AN35" s="127">
        <f>+Actuals!AK259</f>
        <v>0</v>
      </c>
      <c r="AO35" s="128">
        <f>+Actuals!AL259</f>
        <v>0</v>
      </c>
      <c r="AP35" s="127">
        <f>+Actuals!AM259</f>
        <v>0</v>
      </c>
      <c r="AQ35" s="128">
        <f>+Actuals!AN259</f>
        <v>0</v>
      </c>
    </row>
    <row r="36" spans="1:43" x14ac:dyDescent="0.2">
      <c r="A36" s="9"/>
      <c r="B36" s="7" t="s">
        <v>45</v>
      </c>
      <c r="C36" s="6"/>
      <c r="D36" s="61">
        <f t="shared" ref="D36:AA36" si="9">SUM(D32:D35)</f>
        <v>-55587</v>
      </c>
      <c r="E36" s="39">
        <f t="shared" si="9"/>
        <v>-101057.92300000023</v>
      </c>
      <c r="F36" s="61">
        <f t="shared" si="9"/>
        <v>0</v>
      </c>
      <c r="G36" s="39">
        <f t="shared" si="9"/>
        <v>0</v>
      </c>
      <c r="H36" s="61">
        <f t="shared" si="9"/>
        <v>-238232</v>
      </c>
      <c r="I36" s="39">
        <f t="shared" si="9"/>
        <v>-433105.78</v>
      </c>
      <c r="J36" s="61">
        <f t="shared" si="9"/>
        <v>687273</v>
      </c>
      <c r="K36" s="148">
        <f t="shared" si="9"/>
        <v>1249462.32</v>
      </c>
      <c r="L36" s="61">
        <f t="shared" si="9"/>
        <v>-476773</v>
      </c>
      <c r="M36" s="39">
        <f t="shared" si="9"/>
        <v>-876840.03</v>
      </c>
      <c r="N36" s="61">
        <f t="shared" si="9"/>
        <v>-13024</v>
      </c>
      <c r="O36" s="39">
        <f t="shared" si="9"/>
        <v>-29304</v>
      </c>
      <c r="P36" s="61">
        <f t="shared" si="9"/>
        <v>-805386</v>
      </c>
      <c r="Q36" s="39">
        <f t="shared" si="9"/>
        <v>-2717279.96</v>
      </c>
      <c r="R36" s="61">
        <f t="shared" si="9"/>
        <v>814351</v>
      </c>
      <c r="S36" s="39">
        <f t="shared" si="9"/>
        <v>2734942.46</v>
      </c>
      <c r="T36" s="61">
        <f t="shared" si="9"/>
        <v>-37862</v>
      </c>
      <c r="U36" s="39">
        <f t="shared" si="9"/>
        <v>-64571.64</v>
      </c>
      <c r="V36" s="61">
        <f t="shared" si="9"/>
        <v>146650</v>
      </c>
      <c r="W36" s="39">
        <f t="shared" si="9"/>
        <v>266609.70500000002</v>
      </c>
      <c r="X36" s="61">
        <f t="shared" si="9"/>
        <v>0</v>
      </c>
      <c r="Y36" s="39">
        <f t="shared" si="9"/>
        <v>0</v>
      </c>
      <c r="Z36" s="61">
        <f t="shared" si="9"/>
        <v>-159000</v>
      </c>
      <c r="AA36" s="39">
        <f t="shared" si="9"/>
        <v>-289062</v>
      </c>
      <c r="AB36" s="61">
        <f t="shared" ref="AB36:AQ36" si="10">SUM(AB32:AB35)</f>
        <v>27732</v>
      </c>
      <c r="AC36" s="39">
        <f t="shared" si="10"/>
        <v>60483.49</v>
      </c>
      <c r="AD36" s="61">
        <f t="shared" si="10"/>
        <v>3618</v>
      </c>
      <c r="AE36" s="39">
        <f t="shared" si="10"/>
        <v>6577.5240000000003</v>
      </c>
      <c r="AF36" s="61">
        <f>SUM(AF32:AF35)</f>
        <v>-4934</v>
      </c>
      <c r="AG36" s="39">
        <f>SUM(AG32:AG35)</f>
        <v>-8970.0120000000006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3017845</v>
      </c>
      <c r="E39" s="38">
        <f t="shared" si="11"/>
        <v>4802462.04</v>
      </c>
      <c r="F39" s="64">
        <f>'TIE-OUT'!R39+RECLASS!R39</f>
        <v>0</v>
      </c>
      <c r="G39" s="68">
        <f>'TIE-OUT'!S39+RECLASS!S39</f>
        <v>0</v>
      </c>
      <c r="H39" s="127">
        <f>+Actuals!E260</f>
        <v>2350888</v>
      </c>
      <c r="I39" s="128">
        <f>+Actuals!F260</f>
        <v>3718491.42</v>
      </c>
      <c r="J39" s="127">
        <f>+Actuals!G260</f>
        <v>664853</v>
      </c>
      <c r="K39" s="147">
        <f>+Actuals!H260</f>
        <v>1109627.29</v>
      </c>
      <c r="L39" s="127">
        <f>+Actuals!I260</f>
        <v>-515870</v>
      </c>
      <c r="M39" s="128">
        <f>+Actuals!J260</f>
        <v>-801146.11</v>
      </c>
      <c r="N39" s="127">
        <f>+Actuals!K260</f>
        <v>-300286</v>
      </c>
      <c r="O39" s="128">
        <f>+Actuals!L260</f>
        <v>-627184.5</v>
      </c>
      <c r="P39" s="127">
        <f>+Actuals!M260</f>
        <v>822267</v>
      </c>
      <c r="Q39" s="128">
        <f>+Actuals!N260</f>
        <v>1499200.55</v>
      </c>
      <c r="R39" s="127">
        <f>+Actuals!O260</f>
        <v>-733</v>
      </c>
      <c r="S39" s="128">
        <f>+Actuals!P260</f>
        <v>-517.78</v>
      </c>
      <c r="T39" s="127">
        <f>+Actuals!Q260</f>
        <v>-3274</v>
      </c>
      <c r="U39" s="128">
        <f>+Actuals!R260</f>
        <v>-5788.04</v>
      </c>
      <c r="V39" s="127">
        <f>+Actuals!S260</f>
        <v>2110</v>
      </c>
      <c r="W39" s="128">
        <f>+Actuals!T260</f>
        <v>3956.25</v>
      </c>
      <c r="X39" s="127">
        <f>+Actuals!U260</f>
        <v>0</v>
      </c>
      <c r="Y39" s="128">
        <f>+Actuals!V260</f>
        <v>3763.21</v>
      </c>
      <c r="Z39" s="127">
        <f>+Actuals!W460</f>
        <v>0</v>
      </c>
      <c r="AA39" s="128">
        <f>+Actuals!X460</f>
        <v>0</v>
      </c>
      <c r="AB39" s="127">
        <f>+Actuals!Y460</f>
        <v>0</v>
      </c>
      <c r="AC39" s="128">
        <f>+Actuals!Z460</f>
        <v>0</v>
      </c>
      <c r="AD39" s="127">
        <f>+Actuals!AA460</f>
        <v>-2110</v>
      </c>
      <c r="AE39" s="128">
        <f>+Actuals!AB460</f>
        <v>-3956.25</v>
      </c>
      <c r="AF39" s="127">
        <f>+Actuals!AC460</f>
        <v>0</v>
      </c>
      <c r="AG39" s="128">
        <f>+Actuals!AD460</f>
        <v>-93984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+Actuals!AI260</f>
        <v>0</v>
      </c>
      <c r="AM39" s="128">
        <f>+Actuals!AJ260</f>
        <v>0</v>
      </c>
      <c r="AN39" s="127">
        <f>+Actuals!AK260</f>
        <v>0</v>
      </c>
      <c r="AO39" s="128">
        <f>+Actuals!AL260</f>
        <v>0</v>
      </c>
      <c r="AP39" s="127">
        <f>+Actuals!AM260</f>
        <v>0</v>
      </c>
      <c r="AQ39" s="128">
        <f>+Actuals!AN260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+Actuals!AI261</f>
        <v>0</v>
      </c>
      <c r="AM40" s="128">
        <f>+Actuals!AJ261</f>
        <v>0</v>
      </c>
      <c r="AN40" s="127">
        <f>+Actuals!AK261</f>
        <v>0</v>
      </c>
      <c r="AO40" s="128">
        <f>+Actuals!AL261</f>
        <v>0</v>
      </c>
      <c r="AP40" s="127">
        <f>+Actuals!AM261</f>
        <v>0</v>
      </c>
      <c r="AQ40" s="128">
        <f>+Actuals!AN261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-3763</v>
      </c>
      <c r="F41" s="81">
        <f>'TIE-OUT'!R41+RECLASS!R41</f>
        <v>0</v>
      </c>
      <c r="G41" s="82">
        <f>'TIE-OUT'!S41+RECLASS!S41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28">
        <f>+Actuals!Z462</f>
        <v>0</v>
      </c>
      <c r="AD41" s="127">
        <f>+Actuals!AA462</f>
        <v>0</v>
      </c>
      <c r="AE41" s="160">
        <v>-3763</v>
      </c>
      <c r="AF41" s="127">
        <f>+Actuals!AC462</f>
        <v>0</v>
      </c>
      <c r="AG41" s="128"/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+Actuals!AI262</f>
        <v>0</v>
      </c>
      <c r="AM41" s="128">
        <f>+Actuals!AJ262</f>
        <v>0</v>
      </c>
      <c r="AN41" s="127">
        <f>+Actuals!AK262</f>
        <v>0</v>
      </c>
      <c r="AO41" s="128">
        <f>+Actuals!AL262</f>
        <v>0</v>
      </c>
      <c r="AP41" s="127">
        <f>+Actuals!AM262</f>
        <v>0</v>
      </c>
      <c r="AQ41" s="128">
        <f>+Actuals!AN262</f>
        <v>0</v>
      </c>
    </row>
    <row r="42" spans="1:43" x14ac:dyDescent="0.2">
      <c r="A42" s="9"/>
      <c r="B42" s="7"/>
      <c r="C42" s="53" t="s">
        <v>50</v>
      </c>
      <c r="D42" s="61">
        <f t="shared" ref="D42:AA42" si="12">SUM(D40:D41)</f>
        <v>0</v>
      </c>
      <c r="E42" s="39">
        <f t="shared" si="12"/>
        <v>-3763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-3763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AA43" si="14">D42+D39</f>
        <v>3017845</v>
      </c>
      <c r="E43" s="39">
        <f t="shared" si="14"/>
        <v>4798699.04</v>
      </c>
      <c r="F43" s="61">
        <f t="shared" si="14"/>
        <v>0</v>
      </c>
      <c r="G43" s="39">
        <f t="shared" si="14"/>
        <v>0</v>
      </c>
      <c r="H43" s="61">
        <f t="shared" si="14"/>
        <v>2350888</v>
      </c>
      <c r="I43" s="39">
        <f t="shared" si="14"/>
        <v>3718491.42</v>
      </c>
      <c r="J43" s="61">
        <f t="shared" si="14"/>
        <v>664853</v>
      </c>
      <c r="K43" s="148">
        <f t="shared" si="14"/>
        <v>1109627.29</v>
      </c>
      <c r="L43" s="61">
        <f t="shared" si="14"/>
        <v>-515870</v>
      </c>
      <c r="M43" s="39">
        <f t="shared" si="14"/>
        <v>-801146.11</v>
      </c>
      <c r="N43" s="61">
        <f t="shared" si="14"/>
        <v>-300286</v>
      </c>
      <c r="O43" s="39">
        <f t="shared" si="14"/>
        <v>-627184.5</v>
      </c>
      <c r="P43" s="61">
        <f t="shared" si="14"/>
        <v>822267</v>
      </c>
      <c r="Q43" s="39">
        <f t="shared" si="14"/>
        <v>1499200.55</v>
      </c>
      <c r="R43" s="61">
        <f t="shared" si="14"/>
        <v>-733</v>
      </c>
      <c r="S43" s="39">
        <f t="shared" si="14"/>
        <v>-517.78</v>
      </c>
      <c r="T43" s="61">
        <f t="shared" si="14"/>
        <v>-3274</v>
      </c>
      <c r="U43" s="39">
        <f t="shared" si="14"/>
        <v>-5788.04</v>
      </c>
      <c r="V43" s="61">
        <f t="shared" si="14"/>
        <v>2110</v>
      </c>
      <c r="W43" s="39">
        <f t="shared" si="14"/>
        <v>3956.25</v>
      </c>
      <c r="X43" s="61">
        <f t="shared" si="14"/>
        <v>0</v>
      </c>
      <c r="Y43" s="39">
        <f t="shared" si="14"/>
        <v>3763.21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-2110</v>
      </c>
      <c r="AE43" s="39">
        <f t="shared" si="15"/>
        <v>-7719.25</v>
      </c>
      <c r="AF43" s="61">
        <f>AF42+AF39</f>
        <v>0</v>
      </c>
      <c r="AG43" s="39">
        <f>AG42+AG39</f>
        <v>-93984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+Actuals!AI263</f>
        <v>0</v>
      </c>
      <c r="AM45" s="128">
        <f>+Actuals!AJ263</f>
        <v>0</v>
      </c>
      <c r="AN45" s="127">
        <f>+Actuals!AK263</f>
        <v>0</v>
      </c>
      <c r="AO45" s="128">
        <f>+Actuals!AL263</f>
        <v>0</v>
      </c>
      <c r="AP45" s="127">
        <f>+Actuals!AM263</f>
        <v>0</v>
      </c>
      <c r="AQ45" s="128">
        <f>+Actuals!AN263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+Actuals!AI264</f>
        <v>0</v>
      </c>
      <c r="AM47" s="128">
        <f>+Actuals!AJ264</f>
        <v>0</v>
      </c>
      <c r="AN47" s="127">
        <f>+Actuals!AK264</f>
        <v>0</v>
      </c>
      <c r="AO47" s="128">
        <f>+Actuals!AL264</f>
        <v>0</v>
      </c>
      <c r="AP47" s="127">
        <f>+Actuals!AM264</f>
        <v>0</v>
      </c>
      <c r="AQ47" s="128">
        <f>+Actuals!AN264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-407301</v>
      </c>
      <c r="E49" s="38">
        <f>SUM(G49,I49,K49,M49,O49,Q49,S49,U49,W49,Y49,AA49,AC49,AE49,AG49)</f>
        <v>-740473.21799999999</v>
      </c>
      <c r="F49" s="60">
        <f>'TIE-OUT'!R49+RECLASS!R49</f>
        <v>0</v>
      </c>
      <c r="G49" s="38">
        <f>'TIE-OUT'!S49+RECLASS!S49</f>
        <v>0</v>
      </c>
      <c r="H49" s="127">
        <f>+Actuals!E265</f>
        <v>519991</v>
      </c>
      <c r="I49" s="128">
        <f>+Actuals!F265</f>
        <v>945343.63800000004</v>
      </c>
      <c r="J49" s="127">
        <f>+Actuals!G265</f>
        <v>1119156</v>
      </c>
      <c r="K49" s="147">
        <f>+Actuals!H265</f>
        <v>2034625.6079999998</v>
      </c>
      <c r="L49" s="127">
        <f>+Actuals!I265</f>
        <v>-791902</v>
      </c>
      <c r="M49" s="128">
        <f>+Actuals!J265</f>
        <v>-1439677.8359999999</v>
      </c>
      <c r="N49" s="127">
        <f>+Actuals!K265</f>
        <v>-1212929</v>
      </c>
      <c r="O49" s="128">
        <f>+Actuals!L265</f>
        <v>-2205104.9219999998</v>
      </c>
      <c r="P49" s="127">
        <f>+Actuals!M265</f>
        <v>1049874</v>
      </c>
      <c r="Q49" s="128">
        <f>+Actuals!N265</f>
        <v>1908670.932</v>
      </c>
      <c r="R49" s="127">
        <f>+Actuals!O265</f>
        <v>-1567938</v>
      </c>
      <c r="S49" s="128">
        <f>+Actuals!P265</f>
        <v>-2850511.284</v>
      </c>
      <c r="T49" s="127">
        <f>+Actuals!Q265</f>
        <v>48962</v>
      </c>
      <c r="U49" s="128">
        <f>+Actuals!R265</f>
        <v>89012.915999999997</v>
      </c>
      <c r="V49" s="127">
        <f>+Actuals!S265</f>
        <v>-309437</v>
      </c>
      <c r="W49" s="128">
        <f>+Actuals!T265</f>
        <v>-562556.46600000001</v>
      </c>
      <c r="X49" s="127">
        <f>+Actuals!U265</f>
        <v>559310</v>
      </c>
      <c r="Y49" s="128">
        <f>+Actuals!V265</f>
        <v>1016825.58</v>
      </c>
      <c r="Z49" s="127">
        <f>+Actuals!W465</f>
        <v>-400310</v>
      </c>
      <c r="AA49" s="128">
        <f>+Actuals!X465</f>
        <v>-727763.58</v>
      </c>
      <c r="AB49" s="127">
        <f>+Actuals!Y465</f>
        <v>-27732</v>
      </c>
      <c r="AC49" s="128">
        <f>+Actuals!Z465</f>
        <v>-50416.775999999998</v>
      </c>
      <c r="AD49" s="127">
        <f>+Actuals!AA465</f>
        <v>603479</v>
      </c>
      <c r="AE49" s="128">
        <f>+Actuals!AB465</f>
        <v>1097124.8219999999</v>
      </c>
      <c r="AF49" s="127">
        <f>+Actuals!AC465</f>
        <v>2175</v>
      </c>
      <c r="AG49" s="128">
        <f>+Actuals!AD465</f>
        <v>3954.15</v>
      </c>
      <c r="AH49" s="127">
        <f>+Actuals!AE265</f>
        <v>0</v>
      </c>
      <c r="AI49" s="128">
        <f>+Actuals!AF265</f>
        <v>0</v>
      </c>
      <c r="AJ49" s="127">
        <f>+Actuals!AG265</f>
        <v>0</v>
      </c>
      <c r="AK49" s="128">
        <f>+Actuals!AH265</f>
        <v>0</v>
      </c>
      <c r="AL49" s="127">
        <f>+Actuals!AI265</f>
        <v>0</v>
      </c>
      <c r="AM49" s="128">
        <f>+Actuals!AJ265</f>
        <v>0</v>
      </c>
      <c r="AN49" s="127">
        <f>+Actuals!AK265</f>
        <v>0</v>
      </c>
      <c r="AO49" s="128">
        <f>+Actuals!AL265</f>
        <v>0</v>
      </c>
      <c r="AP49" s="127">
        <f>+Actuals!AM265</f>
        <v>0</v>
      </c>
      <c r="AQ49" s="128">
        <f>+Actuals!AN265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-5738</v>
      </c>
      <c r="E51" s="38">
        <f>SUM(G51,I51,K51,M51,O51,Q51,S51,U51,W51,Y51,AA51,AC51,AE51,AG51)</f>
        <v>-10431.678</v>
      </c>
      <c r="F51" s="60">
        <f>'TIE-OUT'!R51+RECLASS!R51</f>
        <v>0</v>
      </c>
      <c r="G51" s="38">
        <f>'TIE-OUT'!S51+RECLASS!S51</f>
        <v>0</v>
      </c>
      <c r="H51" s="127">
        <f>+Actuals!E266</f>
        <v>-3100</v>
      </c>
      <c r="I51" s="128">
        <f>+Actuals!F266</f>
        <v>-5635.8</v>
      </c>
      <c r="J51" s="127">
        <f>+Actuals!G266</f>
        <v>-2619</v>
      </c>
      <c r="K51" s="147">
        <f>+Actuals!H266</f>
        <v>-4761.34</v>
      </c>
      <c r="L51" s="127">
        <f>+Actuals!I266</f>
        <v>-5123</v>
      </c>
      <c r="M51" s="128">
        <f>+Actuals!J266</f>
        <v>-9313.61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5104</v>
      </c>
      <c r="S51" s="128">
        <f>+Actuals!P266</f>
        <v>9279.0720000000001</v>
      </c>
      <c r="T51" s="127">
        <f>+Actuals!Q266</f>
        <v>0</v>
      </c>
      <c r="U51" s="128">
        <f>+Actuals!R266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+Actuals!AI266</f>
        <v>0</v>
      </c>
      <c r="AM51" s="128">
        <f>+Actuals!AJ266</f>
        <v>0</v>
      </c>
      <c r="AN51" s="127">
        <f>+Actuals!AK266</f>
        <v>0</v>
      </c>
      <c r="AO51" s="128">
        <f>+Actuals!AL266</f>
        <v>0</v>
      </c>
      <c r="AP51" s="127">
        <f>+Actuals!AM266</f>
        <v>0</v>
      </c>
      <c r="AQ51" s="128">
        <f>+Actuals!AN266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-5186275</v>
      </c>
      <c r="E54" s="38">
        <f>SUM(G54,I54,K54,M54,O54,Q54,S54,U54,W54,Y54,AA54,AC54,AE54,AG54)</f>
        <v>-301767.21000000008</v>
      </c>
      <c r="F54" s="64">
        <f>'TIE-OUT'!R54+RECLASS!R54</f>
        <v>0</v>
      </c>
      <c r="G54" s="68">
        <f>'TIE-OUT'!S54+RECLASS!S54</f>
        <v>0</v>
      </c>
      <c r="H54" s="127">
        <f>+Actuals!E267</f>
        <v>0</v>
      </c>
      <c r="I54" s="128">
        <f>+Actuals!F267</f>
        <v>27899.919999999998</v>
      </c>
      <c r="J54" s="127">
        <f>+Actuals!G267</f>
        <v>-4848959</v>
      </c>
      <c r="K54" s="147">
        <f>+Actuals!H267</f>
        <v>-464680.13</v>
      </c>
      <c r="L54" s="127">
        <f>+Actuals!I267</f>
        <v>-756350</v>
      </c>
      <c r="M54" s="128">
        <f>+Actuals!J267</f>
        <v>91087.44</v>
      </c>
      <c r="N54" s="127">
        <f>+Actuals!K267</f>
        <v>-167465</v>
      </c>
      <c r="O54" s="128">
        <f>+Actuals!L267</f>
        <v>-2042</v>
      </c>
      <c r="P54" s="127">
        <f>+Actuals!M267</f>
        <v>23218</v>
      </c>
      <c r="Q54" s="128">
        <f>+Actuals!N267</f>
        <v>1022</v>
      </c>
      <c r="R54" s="127">
        <f>+Actuals!O267</f>
        <v>166</v>
      </c>
      <c r="S54" s="128">
        <f>+Actuals!P267</f>
        <v>-745.77</v>
      </c>
      <c r="T54" s="127">
        <f>+Actuals!Q267</f>
        <v>-10204</v>
      </c>
      <c r="U54" s="128">
        <f>+Actuals!R267</f>
        <v>13174.55</v>
      </c>
      <c r="V54" s="127">
        <f>+Actuals!S267</f>
        <v>0</v>
      </c>
      <c r="W54" s="128">
        <f>+Actuals!T267</f>
        <v>-13523.06</v>
      </c>
      <c r="X54" s="127">
        <f>+Actuals!U267</f>
        <v>5730</v>
      </c>
      <c r="Y54" s="128">
        <f>+Actuals!V267</f>
        <v>868.37</v>
      </c>
      <c r="Z54" s="127">
        <f>+Actuals!W467</f>
        <v>-5730</v>
      </c>
      <c r="AA54" s="128">
        <f>+Actuals!X467</f>
        <v>-1145.99</v>
      </c>
      <c r="AB54" s="127">
        <f>+Actuals!Y467</f>
        <v>109617</v>
      </c>
      <c r="AC54" s="128">
        <f>+Actuals!Z467</f>
        <v>9937.67</v>
      </c>
      <c r="AD54" s="127">
        <f>+Actuals!AA467</f>
        <v>-121542</v>
      </c>
      <c r="AE54" s="128">
        <f>+Actuals!AB467</f>
        <v>-9711.59</v>
      </c>
      <c r="AF54" s="127">
        <f>+Actuals!AC467</f>
        <v>585244</v>
      </c>
      <c r="AG54" s="128">
        <f>+Actuals!AD467</f>
        <v>46091.38</v>
      </c>
      <c r="AH54" s="127">
        <f>+Actuals!AE267</f>
        <v>0</v>
      </c>
      <c r="AI54" s="128">
        <f>+Actuals!AF267</f>
        <v>0</v>
      </c>
      <c r="AJ54" s="127">
        <f>+Actuals!AG267</f>
        <v>0</v>
      </c>
      <c r="AK54" s="128">
        <f>+Actuals!AH267</f>
        <v>0</v>
      </c>
      <c r="AL54" s="127">
        <f>+Actuals!AI267</f>
        <v>0</v>
      </c>
      <c r="AM54" s="128">
        <f>+Actuals!AJ267</f>
        <v>0</v>
      </c>
      <c r="AN54" s="127">
        <f>+Actuals!AK267</f>
        <v>0</v>
      </c>
      <c r="AO54" s="128">
        <f>+Actuals!AL267</f>
        <v>0</v>
      </c>
      <c r="AP54" s="127">
        <f>+Actuals!AM267</f>
        <v>0</v>
      </c>
      <c r="AQ54" s="128">
        <f>+Actuals!AN267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-93300</v>
      </c>
      <c r="Z55" s="127">
        <f>+Actuals!W468</f>
        <v>0</v>
      </c>
      <c r="AA55" s="128">
        <f>+Actuals!X468</f>
        <v>93300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+Actuals!AI268</f>
        <v>0</v>
      </c>
      <c r="AM55" s="128">
        <f>+Actuals!AJ268</f>
        <v>0</v>
      </c>
      <c r="AN55" s="127">
        <f>+Actuals!AK268</f>
        <v>0</v>
      </c>
      <c r="AO55" s="128">
        <f>+Actuals!AL268</f>
        <v>0</v>
      </c>
      <c r="AP55" s="127">
        <f>+Actuals!AM268</f>
        <v>0</v>
      </c>
      <c r="AQ55" s="128">
        <f>+Actuals!AN268</f>
        <v>0</v>
      </c>
    </row>
    <row r="56" spans="1:43" x14ac:dyDescent="0.2">
      <c r="A56" s="9"/>
      <c r="B56" s="7" t="s">
        <v>59</v>
      </c>
      <c r="C56" s="6"/>
      <c r="D56" s="61">
        <f t="shared" ref="D56:AA56" si="16">SUM(D54:D55)</f>
        <v>-5186275</v>
      </c>
      <c r="E56" s="39">
        <f t="shared" si="16"/>
        <v>-301767.21000000008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27899.919999999998</v>
      </c>
      <c r="J56" s="61">
        <f t="shared" si="16"/>
        <v>-4848959</v>
      </c>
      <c r="K56" s="148">
        <f t="shared" si="16"/>
        <v>-464680.13</v>
      </c>
      <c r="L56" s="61">
        <f t="shared" si="16"/>
        <v>-756350</v>
      </c>
      <c r="M56" s="39">
        <f t="shared" si="16"/>
        <v>91087.44</v>
      </c>
      <c r="N56" s="61">
        <f t="shared" si="16"/>
        <v>-167465</v>
      </c>
      <c r="O56" s="39">
        <f t="shared" si="16"/>
        <v>-2042</v>
      </c>
      <c r="P56" s="61">
        <f t="shared" si="16"/>
        <v>23218</v>
      </c>
      <c r="Q56" s="39">
        <f t="shared" si="16"/>
        <v>1022</v>
      </c>
      <c r="R56" s="61">
        <f t="shared" si="16"/>
        <v>166</v>
      </c>
      <c r="S56" s="39">
        <f t="shared" si="16"/>
        <v>-745.77</v>
      </c>
      <c r="T56" s="61">
        <f t="shared" si="16"/>
        <v>-10204</v>
      </c>
      <c r="U56" s="39">
        <f t="shared" si="16"/>
        <v>13174.55</v>
      </c>
      <c r="V56" s="61">
        <f t="shared" si="16"/>
        <v>0</v>
      </c>
      <c r="W56" s="39">
        <f t="shared" si="16"/>
        <v>-13523.06</v>
      </c>
      <c r="X56" s="61">
        <f t="shared" si="16"/>
        <v>5730</v>
      </c>
      <c r="Y56" s="39">
        <f t="shared" si="16"/>
        <v>-92431.63</v>
      </c>
      <c r="Z56" s="61">
        <f t="shared" si="16"/>
        <v>-5730</v>
      </c>
      <c r="AA56" s="39">
        <f t="shared" si="16"/>
        <v>92154.01</v>
      </c>
      <c r="AB56" s="61">
        <f t="shared" ref="AB56:AQ56" si="17">SUM(AB54:AB55)</f>
        <v>109617</v>
      </c>
      <c r="AC56" s="39">
        <f t="shared" si="17"/>
        <v>9937.67</v>
      </c>
      <c r="AD56" s="61">
        <f t="shared" si="17"/>
        <v>-121542</v>
      </c>
      <c r="AE56" s="39">
        <f t="shared" si="17"/>
        <v>-9711.59</v>
      </c>
      <c r="AF56" s="61">
        <f>SUM(AF54:AF55)</f>
        <v>585244</v>
      </c>
      <c r="AG56" s="39">
        <f>SUM(AG54:AG55)</f>
        <v>46091.38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785.9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350</v>
      </c>
      <c r="L59" s="127">
        <f>+Actuals!I269</f>
        <v>0</v>
      </c>
      <c r="M59" s="128">
        <f>+Actuals!J269</f>
        <v>312.5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200</v>
      </c>
      <c r="R59" s="127">
        <f>+Actuals!O269</f>
        <v>0</v>
      </c>
      <c r="S59" s="128">
        <f>+Actuals!P269</f>
        <v>-200</v>
      </c>
      <c r="T59" s="127">
        <f>+Actuals!Q269</f>
        <v>0</v>
      </c>
      <c r="U59" s="128">
        <f>+Actuals!R269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123.4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+Actuals!AI269</f>
        <v>0</v>
      </c>
      <c r="AM59" s="128">
        <f>+Actuals!AJ269</f>
        <v>0</v>
      </c>
      <c r="AN59" s="127">
        <f>+Actuals!AK269</f>
        <v>0</v>
      </c>
      <c r="AO59" s="128">
        <f>+Actuals!AL269</f>
        <v>0</v>
      </c>
      <c r="AP59" s="127">
        <f>+Actuals!AM269</f>
        <v>0</v>
      </c>
      <c r="AQ59" s="128">
        <f>+Actuals!AN269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+Actuals!AI270</f>
        <v>0</v>
      </c>
      <c r="AM60" s="128">
        <f>+Actuals!AJ270</f>
        <v>0</v>
      </c>
      <c r="AN60" s="127">
        <f>+Actuals!AK270</f>
        <v>0</v>
      </c>
      <c r="AO60" s="128">
        <f>+Actuals!AL270</f>
        <v>0</v>
      </c>
      <c r="AP60" s="127">
        <f>+Actuals!AM270</f>
        <v>0</v>
      </c>
      <c r="AQ60" s="128">
        <f>+Actuals!AN270</f>
        <v>0</v>
      </c>
    </row>
    <row r="61" spans="1:43" x14ac:dyDescent="0.2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785.9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350</v>
      </c>
      <c r="L61" s="61">
        <f t="shared" si="18"/>
        <v>0</v>
      </c>
      <c r="M61" s="39">
        <f t="shared" si="18"/>
        <v>312.5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200</v>
      </c>
      <c r="R61" s="61">
        <f t="shared" si="18"/>
        <v>0</v>
      </c>
      <c r="S61" s="39">
        <f t="shared" si="18"/>
        <v>-200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123.4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-54887350</v>
      </c>
      <c r="E64" s="38">
        <f>SUM(G64,I64,K64,M64,O64,Q64,S64,U64,W64,Y64,AA64,AC64,AE64,AG64)</f>
        <v>-1089675.98</v>
      </c>
      <c r="F64" s="64">
        <f>'TIE-OUT'!R64+RECLASS!R64</f>
        <v>0</v>
      </c>
      <c r="G64" s="68">
        <f>'TIE-OUT'!S64+RECLASS!S64</f>
        <v>0</v>
      </c>
      <c r="H64" s="127">
        <f>+Actuals!E271</f>
        <v>-37806932</v>
      </c>
      <c r="I64" s="128">
        <f>+Actuals!F271</f>
        <v>-874915.28</v>
      </c>
      <c r="J64" s="127">
        <f>+Actuals!G271</f>
        <v>-16777169</v>
      </c>
      <c r="K64" s="147">
        <f>+Actuals!H271</f>
        <v>-194358.19</v>
      </c>
      <c r="L64" s="127">
        <f>+Actuals!I271</f>
        <v>731816</v>
      </c>
      <c r="M64" s="128">
        <f>+Actuals!J271</f>
        <v>-20322.12</v>
      </c>
      <c r="N64" s="127">
        <f>+Actuals!K271</f>
        <v>300653</v>
      </c>
      <c r="O64" s="128">
        <f>+Actuals!L271</f>
        <v>-43</v>
      </c>
      <c r="P64" s="127">
        <f>+Actuals!M271</f>
        <v>-1339725</v>
      </c>
      <c r="Q64" s="128">
        <f>+Actuals!N271</f>
        <v>-30</v>
      </c>
      <c r="R64" s="127">
        <f>+Actuals!O271</f>
        <v>2843</v>
      </c>
      <c r="S64" s="128">
        <f>+Actuals!P271</f>
        <v>-5.46</v>
      </c>
      <c r="T64" s="127">
        <f>+Actuals!Q271</f>
        <v>1164</v>
      </c>
      <c r="U64" s="128">
        <f>+Actuals!R271</f>
        <v>-1.94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0.01</v>
      </c>
      <c r="AD64" s="127">
        <f>+Actuals!AA471</f>
        <v>0</v>
      </c>
      <c r="AE64" s="128">
        <f>+Actuals!AB471</f>
        <v>0</v>
      </c>
      <c r="AF64" s="127">
        <f>+Actuals!AC471</f>
        <v>0</v>
      </c>
      <c r="AG64" s="128">
        <f>+Actuals!AD471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+Actuals!AI271</f>
        <v>0</v>
      </c>
      <c r="AM64" s="128">
        <f>+Actuals!AJ271</f>
        <v>0</v>
      </c>
      <c r="AN64" s="127">
        <f>+Actuals!AK271</f>
        <v>0</v>
      </c>
      <c r="AO64" s="128">
        <f>+Actuals!AL271</f>
        <v>0</v>
      </c>
      <c r="AP64" s="127">
        <f>+Actuals!AM271</f>
        <v>0</v>
      </c>
      <c r="AQ64" s="128">
        <f>+Actuals!AN271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1110490</v>
      </c>
      <c r="F65" s="81">
        <f>'TIE-OUT'!R65+RECLASS!R65</f>
        <v>0</v>
      </c>
      <c r="G65" s="82">
        <f>'TIE-OUT'!S65+RECLASS!S65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+Actuals!H272+10000+50000+1110952-95614</f>
        <v>1075338</v>
      </c>
      <c r="L65" s="127">
        <f>+Actuals!I272</f>
        <v>0</v>
      </c>
      <c r="M65" s="160">
        <f>+Actuals!J272+2153</f>
        <v>2153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57">
        <f>+Actuals!N272+14573</f>
        <v>14573</v>
      </c>
      <c r="R65" s="127">
        <f>+Actuals!O272</f>
        <v>0</v>
      </c>
      <c r="S65" s="157">
        <f>+Actuals!P272+1164</f>
        <v>1164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422+16840</f>
        <v>17262</v>
      </c>
      <c r="X65" s="127">
        <f>+Actuals!U272</f>
        <v>0</v>
      </c>
      <c r="Y65" s="128">
        <f>+Actuals!V272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+Actuals!AI272</f>
        <v>0</v>
      </c>
      <c r="AM65" s="128">
        <f>+Actuals!AJ272</f>
        <v>0</v>
      </c>
      <c r="AN65" s="127">
        <f>+Actuals!AK272</f>
        <v>0</v>
      </c>
      <c r="AO65" s="128">
        <f>+Actuals!AL272</f>
        <v>0</v>
      </c>
      <c r="AP65" s="127">
        <f>+Actuals!AM272</f>
        <v>0</v>
      </c>
      <c r="AQ65" s="128">
        <f>+Actuals!AN272</f>
        <v>0</v>
      </c>
    </row>
    <row r="66" spans="1:43" x14ac:dyDescent="0.2">
      <c r="A66" s="9"/>
      <c r="B66" s="7" t="s">
        <v>66</v>
      </c>
      <c r="C66" s="6"/>
      <c r="D66" s="61">
        <f t="shared" ref="D66:AA66" si="20">SUM(D64:D65)</f>
        <v>-54887350</v>
      </c>
      <c r="E66" s="39">
        <f t="shared" si="20"/>
        <v>20814.020000000019</v>
      </c>
      <c r="F66" s="61">
        <f t="shared" si="20"/>
        <v>0</v>
      </c>
      <c r="G66" s="39">
        <f t="shared" si="20"/>
        <v>0</v>
      </c>
      <c r="H66" s="61">
        <f t="shared" si="20"/>
        <v>-37806932</v>
      </c>
      <c r="I66" s="39">
        <f t="shared" si="20"/>
        <v>-874915.28</v>
      </c>
      <c r="J66" s="61">
        <f t="shared" si="20"/>
        <v>-16777169</v>
      </c>
      <c r="K66" s="148">
        <f t="shared" si="20"/>
        <v>880979.81</v>
      </c>
      <c r="L66" s="61">
        <f t="shared" si="20"/>
        <v>731816</v>
      </c>
      <c r="M66" s="39">
        <f t="shared" si="20"/>
        <v>-18169.12</v>
      </c>
      <c r="N66" s="61">
        <f t="shared" si="20"/>
        <v>300653</v>
      </c>
      <c r="O66" s="39">
        <f t="shared" si="20"/>
        <v>-43</v>
      </c>
      <c r="P66" s="61">
        <f t="shared" si="20"/>
        <v>-1339725</v>
      </c>
      <c r="Q66" s="39">
        <f t="shared" si="20"/>
        <v>14543</v>
      </c>
      <c r="R66" s="61">
        <f t="shared" si="20"/>
        <v>2843</v>
      </c>
      <c r="S66" s="39">
        <f t="shared" si="20"/>
        <v>1158.54</v>
      </c>
      <c r="T66" s="61">
        <f t="shared" si="20"/>
        <v>1164</v>
      </c>
      <c r="U66" s="39">
        <f t="shared" si="20"/>
        <v>-1.94</v>
      </c>
      <c r="V66" s="61">
        <f t="shared" si="20"/>
        <v>0</v>
      </c>
      <c r="W66" s="39">
        <f t="shared" si="20"/>
        <v>17262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0.01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1054678.81</v>
      </c>
      <c r="F70" s="64">
        <f>'TIE-OUT'!R70+RECLASS!R70</f>
        <v>0</v>
      </c>
      <c r="G70" s="68">
        <f>'TIE-OUT'!S70+RECLASS!S70</f>
        <v>1054678.81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+Actuals!AI273</f>
        <v>0</v>
      </c>
      <c r="AM70" s="128">
        <f>+Actuals!AJ273</f>
        <v>0</v>
      </c>
      <c r="AN70" s="127">
        <f>+Actuals!AK273</f>
        <v>0</v>
      </c>
      <c r="AO70" s="128">
        <f>+Actuals!AL273</f>
        <v>0</v>
      </c>
      <c r="AP70" s="127">
        <f>+Actuals!AM273</f>
        <v>0</v>
      </c>
      <c r="AQ70" s="128">
        <f>+Actuals!AN273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-300496</v>
      </c>
      <c r="F71" s="81">
        <f>'TIE-OUT'!R71+RECLASS!R71</f>
        <v>0</v>
      </c>
      <c r="G71" s="82">
        <f>'TIE-OUT'!S71+RECLASS!S71</f>
        <v>-300496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+Actuals!AI274</f>
        <v>0</v>
      </c>
      <c r="AM71" s="128">
        <f>+Actuals!AJ274</f>
        <v>0</v>
      </c>
      <c r="AN71" s="127">
        <f>+Actuals!AK274</f>
        <v>0</v>
      </c>
      <c r="AO71" s="128">
        <f>+Actuals!AL274</f>
        <v>0</v>
      </c>
      <c r="AP71" s="127">
        <f>+Actuals!AM274</f>
        <v>0</v>
      </c>
      <c r="AQ71" s="128">
        <f>+Actuals!AN274</f>
        <v>0</v>
      </c>
    </row>
    <row r="72" spans="1:43" x14ac:dyDescent="0.2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754182.81</v>
      </c>
      <c r="F72" s="61">
        <f t="shared" si="22"/>
        <v>0</v>
      </c>
      <c r="G72" s="39">
        <f t="shared" si="22"/>
        <v>754182.81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+Actuals!AI275</f>
        <v>0</v>
      </c>
      <c r="AM73" s="128">
        <f>+Actuals!AJ275</f>
        <v>0</v>
      </c>
      <c r="AN73" s="127">
        <f>+Actuals!AK275</f>
        <v>0</v>
      </c>
      <c r="AO73" s="128">
        <f>+Actuals!AL275</f>
        <v>0</v>
      </c>
      <c r="AP73" s="127">
        <f>+Actuals!AM275</f>
        <v>0</v>
      </c>
      <c r="AQ73" s="128">
        <f>+Actuals!AN275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1198666.1299999999</v>
      </c>
      <c r="F74" s="60">
        <f>'TIE-OUT'!R74+RECLASS!R74</f>
        <v>0</v>
      </c>
      <c r="G74" s="60">
        <f>'TIE-OUT'!S74+RECLASS!S74</f>
        <v>-705198.87000000011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f>+Actuals!H276-2621959+4092143</f>
        <v>1470184</v>
      </c>
      <c r="L74" s="127">
        <f>+Actuals!I276</f>
        <v>0</v>
      </c>
      <c r="M74" s="160">
        <f>+Actuals!J276+2025520</f>
        <v>2025520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57">
        <v>-1591839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+Actuals!AI276</f>
        <v>0</v>
      </c>
      <c r="AM74" s="128">
        <f>+Actuals!AJ276</f>
        <v>0</v>
      </c>
      <c r="AN74" s="127">
        <f>+Actuals!AK276</f>
        <v>0</v>
      </c>
      <c r="AO74" s="128">
        <f>+Actuals!AL276</f>
        <v>0</v>
      </c>
      <c r="AP74" s="127">
        <f>+Actuals!AM276</f>
        <v>0</v>
      </c>
      <c r="AQ74" s="128">
        <f>+Actuals!AN276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118700</v>
      </c>
      <c r="F75" s="60">
        <f>'TIE-OUT'!R75+RECLASS!R75</f>
        <v>0</v>
      </c>
      <c r="G75" s="60">
        <f>'TIE-OUT'!S75+RECLASS!S75</f>
        <v>118700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+Actuals!AI277</f>
        <v>0</v>
      </c>
      <c r="AM75" s="128">
        <f>+Actuals!AJ277</f>
        <v>0</v>
      </c>
      <c r="AN75" s="127">
        <f>+Actuals!AK277</f>
        <v>0</v>
      </c>
      <c r="AO75" s="128">
        <f>+Actuals!AL277</f>
        <v>0</v>
      </c>
      <c r="AP75" s="127">
        <f>+Actuals!AM277</f>
        <v>0</v>
      </c>
      <c r="AQ75" s="128">
        <f>+Actuals!AN277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-14227.5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-14227.5</v>
      </c>
      <c r="J76" s="127">
        <f>+Actuals!G278</f>
        <v>0</v>
      </c>
      <c r="K76" s="147">
        <f>+Actuals!H278</f>
        <v>0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+Actuals!AI278</f>
        <v>0</v>
      </c>
      <c r="AM76" s="128">
        <f>+Actuals!AJ278</f>
        <v>0</v>
      </c>
      <c r="AN76" s="127">
        <f>+Actuals!AK278</f>
        <v>0</v>
      </c>
      <c r="AO76" s="128">
        <f>+Actuals!AL278</f>
        <v>0</v>
      </c>
      <c r="AP76" s="127">
        <f>+Actuals!AM278</f>
        <v>0</v>
      </c>
      <c r="AQ76" s="128">
        <f>+Actuals!AN278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+Actuals!AI279</f>
        <v>0</v>
      </c>
      <c r="AM77" s="128">
        <f>+Actuals!AJ279</f>
        <v>0</v>
      </c>
      <c r="AN77" s="127">
        <f>+Actuals!AK279</f>
        <v>0</v>
      </c>
      <c r="AO77" s="128">
        <f>+Actuals!AL279</f>
        <v>0</v>
      </c>
      <c r="AP77" s="127">
        <f>+Actuals!AM279</f>
        <v>0</v>
      </c>
      <c r="AQ77" s="128">
        <f>+Actuals!AN279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+Actuals!AI280</f>
        <v>0</v>
      </c>
      <c r="AM78" s="128">
        <f>+Actuals!AJ280</f>
        <v>0</v>
      </c>
      <c r="AN78" s="127">
        <f>+Actuals!AK280</f>
        <v>0</v>
      </c>
      <c r="AO78" s="128">
        <f>+Actuals!AL280</f>
        <v>0</v>
      </c>
      <c r="AP78" s="127">
        <f>+Actuals!AM280</f>
        <v>0</v>
      </c>
      <c r="AQ78" s="128">
        <f>+Actuals!AN280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+Actuals!AI281</f>
        <v>0</v>
      </c>
      <c r="AM79" s="128">
        <f>+Actuals!AJ281</f>
        <v>0</v>
      </c>
      <c r="AN79" s="127">
        <f>+Actuals!AK281</f>
        <v>0</v>
      </c>
      <c r="AO79" s="128">
        <f>+Actuals!AL281</f>
        <v>0</v>
      </c>
      <c r="AP79" s="127">
        <f>+Actuals!AM281</f>
        <v>0</v>
      </c>
      <c r="AQ79" s="128">
        <f>+Actuals!AN281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+Actuals!AI282</f>
        <v>0</v>
      </c>
      <c r="AM80" s="128">
        <f>+Actuals!AJ282</f>
        <v>0</v>
      </c>
      <c r="AN80" s="127">
        <f>+Actuals!AK282</f>
        <v>0</v>
      </c>
      <c r="AO80" s="128">
        <f>+Actuals!AL282</f>
        <v>0</v>
      </c>
      <c r="AP80" s="127">
        <f>+Actuals!AM282</f>
        <v>0</v>
      </c>
      <c r="AQ80" s="128">
        <f>+Actuals!AN282</f>
        <v>0</v>
      </c>
    </row>
    <row r="81" spans="1:79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+Actuals!AI283</f>
        <v>0</v>
      </c>
      <c r="AM81" s="128">
        <f>+Actuals!AJ283</f>
        <v>0</v>
      </c>
      <c r="AN81" s="127">
        <f>+Actuals!AK283</f>
        <v>0</v>
      </c>
      <c r="AO81" s="128">
        <f>+Actuals!AL283</f>
        <v>0</v>
      </c>
      <c r="AP81" s="127">
        <f>+Actuals!AM283</f>
        <v>0</v>
      </c>
      <c r="AQ81" s="128">
        <f>+Actuals!AN283</f>
        <v>0</v>
      </c>
    </row>
    <row r="82" spans="1:79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2006169.2229999881</v>
      </c>
      <c r="F82" s="92">
        <f>F16+F24+F29+F36+F43+F45+F47+F49</f>
        <v>0</v>
      </c>
      <c r="G82" s="93">
        <f>SUM(G72:G81)+G16+G24+G29+G36+G43+G45+G47+G49+G51+G56+G61+G66</f>
        <v>-3542334.48</v>
      </c>
      <c r="H82" s="92">
        <f>H16+H24+H29+H36+H43+H45+H47+H49</f>
        <v>0</v>
      </c>
      <c r="I82" s="93">
        <f>SUM(I72:I81)+I16+I24+I29+I36+I43+I45+I47+I49+I51+I56+I61+I66</f>
        <v>3541478.4579999661</v>
      </c>
      <c r="J82" s="92">
        <f>J16+J24+J29+J36+J43+J45+J47+J49</f>
        <v>0</v>
      </c>
      <c r="K82" s="164">
        <f>SUM(K72:K81)+K16+K24+K29+K36+K43+K45+K47+K49+K51+K56+K61+K66</f>
        <v>727725.5419999985</v>
      </c>
      <c r="L82" s="92">
        <f>L16+L24+L29+L36+L43+L45+L47+L49</f>
        <v>0</v>
      </c>
      <c r="M82" s="93">
        <f>SUM(M72:M81)+M16+M24+M29+M36+M43+M45+M47+M49+M51+M56+M61+M66</f>
        <v>2254661.4939999999</v>
      </c>
      <c r="N82" s="92">
        <f>N16+N24+N29+N36+N43+N45+N47+N49</f>
        <v>0</v>
      </c>
      <c r="O82" s="93">
        <f>SUM(O72:O81)+O16+O24+O29+O36+O43+O45+O47+O49+O51+O56+O61+O66</f>
        <v>1232066.9980000006</v>
      </c>
      <c r="P82" s="92">
        <f>P16+P24+P29+P36+P43+P45+P47+P49</f>
        <v>0</v>
      </c>
      <c r="Q82" s="93">
        <f>SUM(Q72:Q81)+Q16+Q24+Q29+Q36+Q43+Q45+Q47+Q49+Q51+Q56+Q61+Q66</f>
        <v>-3600352.0180000002</v>
      </c>
      <c r="R82" s="92">
        <f>R16+R24+R29+R36+R43+R45+R47+R49</f>
        <v>0</v>
      </c>
      <c r="S82" s="93">
        <f>SUM(S72:S81)+S16+S24+S29+S36+S43+S45+S47+S49+S51+S56+S61+S66</f>
        <v>1358620.5459999999</v>
      </c>
      <c r="T82" s="92">
        <f>T16+T24+T29+T36+T43+T45+T47+T49</f>
        <v>0</v>
      </c>
      <c r="U82" s="93">
        <f>SUM(U72:U81)+U16+U24+U29+U36+U43+U45+U47+U49+U51+U56+U61+U66</f>
        <v>-25663.083999999959</v>
      </c>
      <c r="V82" s="92">
        <f>V16+V24+V29+V36+V43+V45+V47+V49</f>
        <v>0</v>
      </c>
      <c r="W82" s="93">
        <f>SUM(W72:W81)+W16+W24+W29+W36+W43+W45+W47+W49+W51+W56+W61+W66</f>
        <v>13631.088999999976</v>
      </c>
      <c r="X82" s="92">
        <f>X16+X24+X29+X36+X43+X45+X47+X49</f>
        <v>0</v>
      </c>
      <c r="Y82" s="93">
        <f>SUM(Y72:Y81)+Y16+Y24+Y29+Y36+Y43+Y45+Y47+Y49+Y51+Y56+Y61+Y66</f>
        <v>-5372.5899999999911</v>
      </c>
      <c r="Z82" s="92">
        <f>Z16+Z24+Z29+Z36+Z43+Z45+Z47+Z49</f>
        <v>0</v>
      </c>
      <c r="AA82" s="93">
        <f>SUM(AA72:AA81)+AA16+AA24+AA29+AA36+AA43+AA45+AA47+AA49+AA51+AA56+AA61+AA66</f>
        <v>18802.240000000093</v>
      </c>
      <c r="AB82" s="92">
        <f>AB16+AB24+AB29+AB36+AB43+AB45+AB47+AB49</f>
        <v>0</v>
      </c>
      <c r="AC82" s="93">
        <f>SUM(AC72:AC81)+AC16+AC24+AC29+AC36+AC43+AC45+AC47+AC49+AC51+AC56+AC61+AC66</f>
        <v>20307.484</v>
      </c>
      <c r="AD82" s="92">
        <f>AD16+AD24+AD29+AD36+AD43+AD45+AD47+AD49</f>
        <v>0</v>
      </c>
      <c r="AE82" s="93">
        <f>SUM(AE72:AE81)+AE16+AE24+AE29+AE36+AE43+AE45+AE47+AE49+AE51+AE56+AE61+AE66</f>
        <v>48163.285999999935</v>
      </c>
      <c r="AF82" s="92">
        <f>AF16+AF24+AF29+AF36+AF43+AF45+AF47+AF49</f>
        <v>0</v>
      </c>
      <c r="AG82" s="93">
        <f>SUM(AG72:AG81)+AG16+AG24+AG29+AG36+AG43+AG45+AG47+AG49+AG51+AG56+AG61+AG66</f>
        <v>-35565.742000000006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5" thickTop="1" x14ac:dyDescent="0.2">
      <c r="A83" s="4"/>
      <c r="B83" s="3"/>
    </row>
    <row r="84" spans="1:79" x14ac:dyDescent="0.2">
      <c r="A84" s="4"/>
      <c r="B84" s="3"/>
      <c r="I84" s="45"/>
    </row>
    <row r="85" spans="1:79" x14ac:dyDescent="0.2">
      <c r="A85" s="4" t="s">
        <v>185</v>
      </c>
      <c r="B85" s="3"/>
      <c r="F85" s="31"/>
      <c r="G85" s="31"/>
      <c r="H85" s="31"/>
      <c r="I85" s="31"/>
      <c r="K85"/>
      <c r="L85" s="45"/>
    </row>
    <row r="86" spans="1:79" s="3" customFormat="1" x14ac:dyDescent="0.2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114066.14000000013</v>
      </c>
      <c r="F86" s="178">
        <f>'TIE-OUT'!R86+RECLASS!R86</f>
        <v>0</v>
      </c>
      <c r="G86" s="178">
        <f>'TIE-OUT'!S86+RECLASS!S86</f>
        <v>3914066.14</v>
      </c>
      <c r="H86" s="178">
        <v>0</v>
      </c>
      <c r="I86" s="178">
        <v>0</v>
      </c>
      <c r="J86" s="178">
        <v>0</v>
      </c>
      <c r="K86" s="178">
        <v>-3800000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</row>
    <row r="87" spans="1:79" s="3" customFormat="1" x14ac:dyDescent="0.2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'TIE-OUT'!R87+RECLASS!R87</f>
        <v>0</v>
      </c>
      <c r="G87" s="179">
        <f>'TIE-OUT'!S87+RECLASS!S87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</row>
    <row r="88" spans="1:79" s="3" customFormat="1" x14ac:dyDescent="0.2">
      <c r="A88" s="177"/>
      <c r="C88" s="10" t="s">
        <v>74</v>
      </c>
      <c r="D88" s="180">
        <f t="shared" si="26"/>
        <v>0</v>
      </c>
      <c r="E88" s="180">
        <f t="shared" si="26"/>
        <v>-113100</v>
      </c>
      <c r="F88" s="180">
        <f>'TIE-OUT'!R88+RECLASS!R88</f>
        <v>0</v>
      </c>
      <c r="G88" s="180">
        <f>'TIE-OUT'!S88+RECLASS!S88</f>
        <v>-113100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</row>
    <row r="89" spans="1:79" s="44" customFormat="1" ht="20.25" customHeight="1" x14ac:dyDescent="0.2">
      <c r="A89" s="184"/>
      <c r="B89" s="185"/>
      <c r="C89" s="190" t="s">
        <v>184</v>
      </c>
      <c r="D89" s="188">
        <f>SUM(D86:D88)</f>
        <v>0</v>
      </c>
      <c r="E89" s="188">
        <f t="shared" ref="E89:M89" si="27">SUM(E86:E88)</f>
        <v>966.14000000013039</v>
      </c>
      <c r="F89" s="188">
        <f t="shared" si="27"/>
        <v>0</v>
      </c>
      <c r="G89" s="188">
        <f t="shared" si="27"/>
        <v>3800966.14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-3800000</v>
      </c>
      <c r="L89" s="188">
        <f t="shared" si="27"/>
        <v>0</v>
      </c>
      <c r="M89" s="188">
        <f t="shared" si="27"/>
        <v>0</v>
      </c>
      <c r="N89" s="188">
        <f t="shared" ref="N89:AE89" si="28">SUM(N86:N88)</f>
        <v>0</v>
      </c>
      <c r="O89" s="188">
        <f t="shared" si="28"/>
        <v>0</v>
      </c>
      <c r="P89" s="188">
        <f t="shared" si="28"/>
        <v>0</v>
      </c>
      <c r="Q89" s="188">
        <f t="shared" si="28"/>
        <v>0</v>
      </c>
      <c r="R89" s="188">
        <f t="shared" si="28"/>
        <v>0</v>
      </c>
      <c r="S89" s="188">
        <f t="shared" si="28"/>
        <v>0</v>
      </c>
      <c r="T89" s="188">
        <f t="shared" si="28"/>
        <v>0</v>
      </c>
      <c r="U89" s="188">
        <f t="shared" si="28"/>
        <v>0</v>
      </c>
      <c r="V89" s="188">
        <f t="shared" si="28"/>
        <v>0</v>
      </c>
      <c r="W89" s="188">
        <f t="shared" si="28"/>
        <v>0</v>
      </c>
      <c r="X89" s="188">
        <f t="shared" si="28"/>
        <v>0</v>
      </c>
      <c r="Y89" s="188">
        <f t="shared" si="28"/>
        <v>0</v>
      </c>
      <c r="Z89" s="188">
        <f t="shared" si="28"/>
        <v>0</v>
      </c>
      <c r="AA89" s="188">
        <f t="shared" si="28"/>
        <v>0</v>
      </c>
      <c r="AB89" s="188">
        <f t="shared" si="28"/>
        <v>0</v>
      </c>
      <c r="AC89" s="188">
        <f t="shared" si="28"/>
        <v>0</v>
      </c>
      <c r="AD89" s="188">
        <f t="shared" si="28"/>
        <v>0</v>
      </c>
      <c r="AE89" s="188">
        <f t="shared" si="28"/>
        <v>0</v>
      </c>
      <c r="AF89" s="188">
        <f t="shared" ref="AF89:AQ89" si="29">SUM(AF86:AF88)</f>
        <v>0</v>
      </c>
      <c r="AG89" s="188">
        <f t="shared" si="29"/>
        <v>0</v>
      </c>
      <c r="AH89" s="188">
        <f t="shared" si="29"/>
        <v>0</v>
      </c>
      <c r="AI89" s="188">
        <f t="shared" si="29"/>
        <v>0</v>
      </c>
      <c r="AJ89" s="188">
        <f t="shared" si="29"/>
        <v>0</v>
      </c>
      <c r="AK89" s="188">
        <f t="shared" si="29"/>
        <v>0</v>
      </c>
      <c r="AL89" s="188">
        <f t="shared" si="29"/>
        <v>0</v>
      </c>
      <c r="AM89" s="188">
        <f t="shared" si="29"/>
        <v>0</v>
      </c>
      <c r="AN89" s="188">
        <f t="shared" si="29"/>
        <v>0</v>
      </c>
      <c r="AO89" s="188">
        <f t="shared" si="29"/>
        <v>0</v>
      </c>
      <c r="AP89" s="188">
        <f t="shared" si="29"/>
        <v>0</v>
      </c>
      <c r="AQ89" s="188">
        <f t="shared" si="29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">
      <c r="A91" s="184"/>
      <c r="B91" s="185"/>
      <c r="C91" s="190" t="s">
        <v>187</v>
      </c>
      <c r="D91" s="188">
        <f>+D82+D89</f>
        <v>0</v>
      </c>
      <c r="E91" s="188">
        <f t="shared" ref="E91:M91" si="30">+E82+E89</f>
        <v>2007135.3629999883</v>
      </c>
      <c r="F91" s="188">
        <f t="shared" si="30"/>
        <v>0</v>
      </c>
      <c r="G91" s="188">
        <f t="shared" si="30"/>
        <v>258631.66000000015</v>
      </c>
      <c r="H91" s="188">
        <f t="shared" si="30"/>
        <v>0</v>
      </c>
      <c r="I91" s="188">
        <f t="shared" si="30"/>
        <v>3541478.4579999661</v>
      </c>
      <c r="J91" s="188">
        <f t="shared" si="30"/>
        <v>0</v>
      </c>
      <c r="K91" s="188">
        <f t="shared" si="30"/>
        <v>-3072274.4580000015</v>
      </c>
      <c r="L91" s="188">
        <f t="shared" si="30"/>
        <v>0</v>
      </c>
      <c r="M91" s="188">
        <f t="shared" si="30"/>
        <v>2254661.4939999999</v>
      </c>
      <c r="N91" s="188">
        <f t="shared" ref="N91:AE91" si="31">+N82+N89</f>
        <v>0</v>
      </c>
      <c r="O91" s="188">
        <f t="shared" si="31"/>
        <v>1232066.9980000006</v>
      </c>
      <c r="P91" s="188">
        <f t="shared" si="31"/>
        <v>0</v>
      </c>
      <c r="Q91" s="188">
        <f t="shared" si="31"/>
        <v>-3600352.0180000002</v>
      </c>
      <c r="R91" s="188">
        <f t="shared" si="31"/>
        <v>0</v>
      </c>
      <c r="S91" s="188">
        <f t="shared" si="31"/>
        <v>1358620.5459999999</v>
      </c>
      <c r="T91" s="188">
        <f t="shared" si="31"/>
        <v>0</v>
      </c>
      <c r="U91" s="188">
        <f t="shared" si="31"/>
        <v>-25663.083999999959</v>
      </c>
      <c r="V91" s="188">
        <f t="shared" si="31"/>
        <v>0</v>
      </c>
      <c r="W91" s="188">
        <f t="shared" si="31"/>
        <v>13631.088999999976</v>
      </c>
      <c r="X91" s="188">
        <f t="shared" si="31"/>
        <v>0</v>
      </c>
      <c r="Y91" s="188">
        <f t="shared" si="31"/>
        <v>-5372.5899999999911</v>
      </c>
      <c r="Z91" s="188">
        <f t="shared" si="31"/>
        <v>0</v>
      </c>
      <c r="AA91" s="188">
        <f t="shared" si="31"/>
        <v>18802.240000000093</v>
      </c>
      <c r="AB91" s="188">
        <f t="shared" si="31"/>
        <v>0</v>
      </c>
      <c r="AC91" s="188">
        <f t="shared" si="31"/>
        <v>20307.484</v>
      </c>
      <c r="AD91" s="188">
        <f t="shared" si="31"/>
        <v>0</v>
      </c>
      <c r="AE91" s="188">
        <f t="shared" si="31"/>
        <v>48163.285999999935</v>
      </c>
      <c r="AF91" s="188">
        <f t="shared" ref="AF91:AQ91" si="32">+AF82+AF89</f>
        <v>0</v>
      </c>
      <c r="AG91" s="188">
        <f t="shared" si="32"/>
        <v>-35565.742000000006</v>
      </c>
      <c r="AH91" s="188">
        <f t="shared" si="32"/>
        <v>0</v>
      </c>
      <c r="AI91" s="188">
        <f t="shared" si="32"/>
        <v>0</v>
      </c>
      <c r="AJ91" s="188">
        <f t="shared" si="32"/>
        <v>0</v>
      </c>
      <c r="AK91" s="188">
        <f t="shared" si="32"/>
        <v>0</v>
      </c>
      <c r="AL91" s="188">
        <f t="shared" si="32"/>
        <v>0</v>
      </c>
      <c r="AM91" s="188">
        <f t="shared" si="32"/>
        <v>0</v>
      </c>
      <c r="AN91" s="188">
        <f t="shared" si="32"/>
        <v>0</v>
      </c>
      <c r="AO91" s="188">
        <f t="shared" si="32"/>
        <v>0</v>
      </c>
      <c r="AP91" s="188">
        <f t="shared" si="32"/>
        <v>0</v>
      </c>
      <c r="AQ91" s="188">
        <f t="shared" si="32"/>
        <v>0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Q176"/>
  <sheetViews>
    <sheetView zoomScale="75" workbookViewId="0">
      <pane xSplit="3" ySplit="9" topLeftCell="D53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935241</v>
      </c>
      <c r="E11" s="38">
        <f t="shared" si="0"/>
        <v>1864991.48</v>
      </c>
      <c r="F11" s="60">
        <f>'TIE-OUT'!P11+RECLASS!P11</f>
        <v>0</v>
      </c>
      <c r="G11" s="38">
        <f>'TIE-OUT'!Q11+RECLASS!Q11</f>
        <v>0</v>
      </c>
      <c r="H11" s="127">
        <f>+Actuals!E4</f>
        <v>943879</v>
      </c>
      <c r="I11" s="128">
        <f>+Actuals!F4</f>
        <v>1881474.81</v>
      </c>
      <c r="J11" s="127">
        <f>+Actuals!G4</f>
        <v>-8638</v>
      </c>
      <c r="K11" s="147">
        <f>+Actuals!H4</f>
        <v>-16483.36</v>
      </c>
      <c r="L11" s="127">
        <f>+Actuals!I4</f>
        <v>0</v>
      </c>
      <c r="M11" s="128">
        <f>+Actuals!J4</f>
        <v>0.03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  <c r="AL11" s="127">
        <f>+Actuals!AI4</f>
        <v>0</v>
      </c>
      <c r="AM11" s="128">
        <f>+Actuals!AJ4</f>
        <v>0</v>
      </c>
      <c r="AN11" s="127">
        <f>+Actuals!AK4</f>
        <v>0</v>
      </c>
      <c r="AO11" s="128">
        <f>+Actuals!AL4</f>
        <v>0</v>
      </c>
      <c r="AP11" s="127">
        <f>+Actuals!AM4</f>
        <v>0</v>
      </c>
      <c r="AQ11" s="128">
        <f>+Actuals!AN4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-736020.91999999993</v>
      </c>
      <c r="F12" s="60">
        <f>'TIE-OUT'!P12+RECLASS!P12</f>
        <v>0</v>
      </c>
      <c r="G12" s="38">
        <f>'TIE-OUT'!Q12+RECLASS!Q12</f>
        <v>-736020.91999999993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47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  <c r="AN12" s="127">
        <f>+Actuals!AK5</f>
        <v>0</v>
      </c>
      <c r="AO12" s="128">
        <f>+Actuals!AL5</f>
        <v>0</v>
      </c>
      <c r="AP12" s="127">
        <f>+Actuals!AM5</f>
        <v>0</v>
      </c>
      <c r="AQ12" s="128">
        <f>+Actuals!AN5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  <c r="AN13" s="127">
        <f>+Actuals!AK6</f>
        <v>0</v>
      </c>
      <c r="AO13" s="128">
        <f>+Actuals!AL6</f>
        <v>0</v>
      </c>
      <c r="AP13" s="127">
        <f>+Actuals!AM6</f>
        <v>0</v>
      </c>
      <c r="AQ13" s="128">
        <f>+Actuals!AN6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  <c r="AN14" s="127">
        <f>+Actuals!AK7</f>
        <v>0</v>
      </c>
      <c r="AO14" s="128">
        <f>+Actuals!AL7</f>
        <v>0</v>
      </c>
      <c r="AP14" s="127">
        <f>+Actuals!AM7</f>
        <v>0</v>
      </c>
      <c r="AQ14" s="128">
        <f>+Actuals!AN7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  <c r="AN15" s="127">
        <f>+Actuals!AK8</f>
        <v>0</v>
      </c>
      <c r="AO15" s="128">
        <f>+Actuals!AL8</f>
        <v>0</v>
      </c>
      <c r="AP15" s="127">
        <f>+Actuals!AM8</f>
        <v>0</v>
      </c>
      <c r="AQ15" s="128">
        <f>+Actuals!AN8</f>
        <v>0</v>
      </c>
    </row>
    <row r="16" spans="1:43" x14ac:dyDescent="0.2">
      <c r="A16" s="9"/>
      <c r="B16" s="7" t="s">
        <v>32</v>
      </c>
      <c r="C16" s="6"/>
      <c r="D16" s="61">
        <f t="shared" ref="D16:AA16" si="1">SUM(D11:D15)</f>
        <v>935241</v>
      </c>
      <c r="E16" s="39">
        <f t="shared" si="1"/>
        <v>1128970.56</v>
      </c>
      <c r="F16" s="61">
        <f t="shared" si="1"/>
        <v>0</v>
      </c>
      <c r="G16" s="39">
        <f t="shared" si="1"/>
        <v>-736020.91999999993</v>
      </c>
      <c r="H16" s="61">
        <f t="shared" si="1"/>
        <v>943879</v>
      </c>
      <c r="I16" s="39">
        <f t="shared" si="1"/>
        <v>1881474.81</v>
      </c>
      <c r="J16" s="61">
        <f t="shared" si="1"/>
        <v>-8638</v>
      </c>
      <c r="K16" s="148">
        <f t="shared" si="1"/>
        <v>-16483.36</v>
      </c>
      <c r="L16" s="61">
        <f t="shared" si="1"/>
        <v>0</v>
      </c>
      <c r="M16" s="39">
        <f t="shared" si="1"/>
        <v>0.03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-1207478</v>
      </c>
      <c r="E19" s="38">
        <f t="shared" si="3"/>
        <v>-2174847.5699999998</v>
      </c>
      <c r="F19" s="64">
        <f>'TIE-OUT'!P19+RECLASS!P19</f>
        <v>0</v>
      </c>
      <c r="G19" s="68">
        <f>'TIE-OUT'!Q19+RECLASS!Q19</f>
        <v>0</v>
      </c>
      <c r="H19" s="127">
        <f>+Actuals!E9</f>
        <v>-1173447</v>
      </c>
      <c r="I19" s="128">
        <f>+Actuals!F9</f>
        <v>-2078348.6</v>
      </c>
      <c r="J19" s="127">
        <f>+Actuals!G9</f>
        <v>18537</v>
      </c>
      <c r="K19" s="147">
        <f>+Actuals!H9</f>
        <v>-6881.38</v>
      </c>
      <c r="L19" s="127">
        <f>+Actuals!I9</f>
        <v>-59110</v>
      </c>
      <c r="M19" s="128">
        <f>+Actuals!J9</f>
        <v>-104209.29</v>
      </c>
      <c r="N19" s="127">
        <f>+Actuals!K9</f>
        <v>3783</v>
      </c>
      <c r="O19" s="128">
        <f>+Actuals!L9</f>
        <v>8494.31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2759</v>
      </c>
      <c r="AE19" s="128">
        <f>+Actuals!AB9</f>
        <v>6097.39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f>+Actuals!AI9</f>
        <v>0</v>
      </c>
      <c r="AM19" s="128">
        <f>+Actuals!AJ9</f>
        <v>0</v>
      </c>
      <c r="AN19" s="127">
        <f>+Actuals!AK9</f>
        <v>0</v>
      </c>
      <c r="AO19" s="128">
        <f>+Actuals!AL9</f>
        <v>0</v>
      </c>
      <c r="AP19" s="127">
        <f>+Actuals!AM9</f>
        <v>0</v>
      </c>
      <c r="AQ19" s="128">
        <f>+Actuals!AN9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-39357.299999999996</v>
      </c>
      <c r="F20" s="60">
        <f>'TIE-OUT'!P20+RECLASS!P20</f>
        <v>0</v>
      </c>
      <c r="G20" s="38">
        <f>'TIE-OUT'!Q20+RECLASS!Q20</f>
        <v>-39357.299999999996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  <c r="AN20" s="127">
        <f>+Actuals!AK10</f>
        <v>0</v>
      </c>
      <c r="AO20" s="128">
        <f>+Actuals!AL10</f>
        <v>0</v>
      </c>
      <c r="AP20" s="127">
        <f>+Actuals!AM10</f>
        <v>0</v>
      </c>
      <c r="AQ20" s="128">
        <f>+Actuals!AN10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  <c r="AN21" s="127">
        <f>+Actuals!AK11</f>
        <v>0</v>
      </c>
      <c r="AO21" s="128">
        <f>+Actuals!AL11</f>
        <v>0</v>
      </c>
      <c r="AP21" s="127">
        <f>+Actuals!AM11</f>
        <v>0</v>
      </c>
      <c r="AQ21" s="128">
        <f>+Actuals!AN11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  <c r="AN22" s="127">
        <f>+Actuals!AK12</f>
        <v>0</v>
      </c>
      <c r="AO22" s="128">
        <f>+Actuals!AL12</f>
        <v>0</v>
      </c>
      <c r="AP22" s="127">
        <f>+Actuals!AM12</f>
        <v>0</v>
      </c>
      <c r="AQ22" s="128">
        <f>+Actuals!AN12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  <c r="AN23" s="127">
        <f>+Actuals!AK13</f>
        <v>0</v>
      </c>
      <c r="AO23" s="128">
        <f>+Actuals!AL13</f>
        <v>0</v>
      </c>
      <c r="AP23" s="127">
        <f>+Actuals!AM13</f>
        <v>0</v>
      </c>
      <c r="AQ23" s="128">
        <f>+Actuals!AN13</f>
        <v>0</v>
      </c>
    </row>
    <row r="24" spans="1:43" x14ac:dyDescent="0.2">
      <c r="A24" s="9"/>
      <c r="B24" s="7" t="s">
        <v>35</v>
      </c>
      <c r="C24" s="6"/>
      <c r="D24" s="61">
        <f t="shared" ref="D24:AA24" si="4">SUM(D19:D23)</f>
        <v>-1207478</v>
      </c>
      <c r="E24" s="39">
        <f t="shared" si="4"/>
        <v>-2214204.8699999996</v>
      </c>
      <c r="F24" s="61">
        <f t="shared" si="4"/>
        <v>0</v>
      </c>
      <c r="G24" s="39">
        <f t="shared" si="4"/>
        <v>-39357.299999999996</v>
      </c>
      <c r="H24" s="61">
        <f t="shared" si="4"/>
        <v>-1173447</v>
      </c>
      <c r="I24" s="39">
        <f t="shared" si="4"/>
        <v>-2078348.6</v>
      </c>
      <c r="J24" s="61">
        <f t="shared" si="4"/>
        <v>18537</v>
      </c>
      <c r="K24" s="148">
        <f t="shared" si="4"/>
        <v>-6881.38</v>
      </c>
      <c r="L24" s="61">
        <f t="shared" si="4"/>
        <v>-59110</v>
      </c>
      <c r="M24" s="39">
        <f t="shared" si="4"/>
        <v>-104209.29</v>
      </c>
      <c r="N24" s="61">
        <f t="shared" si="4"/>
        <v>3783</v>
      </c>
      <c r="O24" s="39">
        <f t="shared" si="4"/>
        <v>8494.31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2759</v>
      </c>
      <c r="AE24" s="39">
        <f t="shared" si="5"/>
        <v>6097.39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348097</v>
      </c>
      <c r="E27" s="38">
        <f>SUM(G27,I27,K27,M27,O27,Q27,S27,U27,W27,Y27,AA27,AC27,AE27,AG27)</f>
        <v>643490.45979999995</v>
      </c>
      <c r="F27" s="64">
        <f>'TIE-OUT'!P27+RECLASS!P27</f>
        <v>0</v>
      </c>
      <c r="G27" s="68">
        <f>'TIE-OUT'!Q27+RECLASS!Q27</f>
        <v>0</v>
      </c>
      <c r="H27" s="127">
        <f>+Actuals!E14</f>
        <v>249130</v>
      </c>
      <c r="I27" s="128">
        <f>+Actuals!F14</f>
        <v>463381.8</v>
      </c>
      <c r="J27" s="127">
        <f>+Actuals!G14</f>
        <v>-19381</v>
      </c>
      <c r="K27" s="147">
        <f>+Actuals!H14</f>
        <v>-28256.61099999999</v>
      </c>
      <c r="L27" s="127">
        <f>+Actuals!I14</f>
        <v>125556</v>
      </c>
      <c r="M27" s="128">
        <f>+Actuals!J14</f>
        <v>222021.83500000002</v>
      </c>
      <c r="N27" s="127">
        <f>+Actuals!K14</f>
        <v>-3783</v>
      </c>
      <c r="O27" s="128">
        <f>+Actuals!L14</f>
        <v>-7003.62</v>
      </c>
      <c r="P27" s="127">
        <f>+Actuals!M14</f>
        <v>-666</v>
      </c>
      <c r="Q27" s="128">
        <f>+Actuals!N14</f>
        <v>-1799.8631999999998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-2759</v>
      </c>
      <c r="AE27" s="128">
        <f>+Actuals!AB14</f>
        <v>-4853.0810000000001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  <c r="AN27" s="127">
        <f>+Actuals!AK14</f>
        <v>0</v>
      </c>
      <c r="AO27" s="128">
        <f>+Actuals!AL14</f>
        <v>0</v>
      </c>
      <c r="AP27" s="127">
        <f>+Actuals!AM14</f>
        <v>0</v>
      </c>
      <c r="AQ27" s="128">
        <f>+Actuals!AN14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-10080</v>
      </c>
      <c r="E28" s="38">
        <f>SUM(G28,I28,K28,M28,O28,Q28,S28,U28,W28,Y28,AA28,AC28,AE28,AG28)</f>
        <v>-22912.16</v>
      </c>
      <c r="F28" s="81">
        <f>'TIE-OUT'!P28+RECLASS!P28</f>
        <v>0</v>
      </c>
      <c r="G28" s="82">
        <f>'TIE-OUT'!Q28+RECLASS!Q28</f>
        <v>0</v>
      </c>
      <c r="H28" s="127">
        <f>+Actuals!E15</f>
        <v>-10619</v>
      </c>
      <c r="I28" s="128">
        <f>+Actuals!F15</f>
        <v>-23914.7</v>
      </c>
      <c r="J28" s="127">
        <f>+Actuals!G15</f>
        <v>539</v>
      </c>
      <c r="K28" s="147">
        <f>+Actuals!H15</f>
        <v>1002.54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  <c r="AN28" s="127">
        <f>+Actuals!AK15</f>
        <v>0</v>
      </c>
      <c r="AO28" s="128">
        <f>+Actuals!AL15</f>
        <v>0</v>
      </c>
      <c r="AP28" s="127">
        <f>+Actuals!AM15</f>
        <v>0</v>
      </c>
      <c r="AQ28" s="128">
        <f>+Actuals!AN15</f>
        <v>0</v>
      </c>
    </row>
    <row r="29" spans="1:43" x14ac:dyDescent="0.2">
      <c r="A29" s="9"/>
      <c r="B29" s="7" t="s">
        <v>39</v>
      </c>
      <c r="C29" s="18"/>
      <c r="D29" s="61">
        <f t="shared" ref="D29:AA29" si="6">SUM(D27:D28)</f>
        <v>338017</v>
      </c>
      <c r="E29" s="39">
        <f t="shared" si="6"/>
        <v>620578.29979999992</v>
      </c>
      <c r="F29" s="61">
        <f t="shared" si="6"/>
        <v>0</v>
      </c>
      <c r="G29" s="39">
        <f t="shared" si="6"/>
        <v>0</v>
      </c>
      <c r="H29" s="61">
        <f t="shared" si="6"/>
        <v>238511</v>
      </c>
      <c r="I29" s="39">
        <f t="shared" si="6"/>
        <v>439467.1</v>
      </c>
      <c r="J29" s="61">
        <f t="shared" si="6"/>
        <v>-18842</v>
      </c>
      <c r="K29" s="148">
        <f t="shared" si="6"/>
        <v>-27254.070999999989</v>
      </c>
      <c r="L29" s="61">
        <f t="shared" si="6"/>
        <v>125556</v>
      </c>
      <c r="M29" s="39">
        <f t="shared" si="6"/>
        <v>222021.83500000002</v>
      </c>
      <c r="N29" s="61">
        <f t="shared" si="6"/>
        <v>-3783</v>
      </c>
      <c r="O29" s="39">
        <f t="shared" si="6"/>
        <v>-7003.62</v>
      </c>
      <c r="P29" s="61">
        <f t="shared" si="6"/>
        <v>-666</v>
      </c>
      <c r="Q29" s="39">
        <f t="shared" si="6"/>
        <v>-1799.8631999999998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-2759</v>
      </c>
      <c r="AE29" s="39">
        <f t="shared" si="7"/>
        <v>-4853.0810000000001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-65780</v>
      </c>
      <c r="E32" s="38">
        <f t="shared" si="8"/>
        <v>-119588.04200000002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-66446</v>
      </c>
      <c r="M32" s="128">
        <f>+Actuals!J16</f>
        <v>-152028.45000000001</v>
      </c>
      <c r="N32" s="127">
        <f>+Actuals!K16</f>
        <v>0</v>
      </c>
      <c r="O32" s="128">
        <f>+Actuals!L16</f>
        <v>7109.7219999999998</v>
      </c>
      <c r="P32" s="127">
        <f>+Actuals!M16</f>
        <v>666</v>
      </c>
      <c r="Q32" s="128">
        <f>+Actuals!N16</f>
        <v>-3086.2739999999999</v>
      </c>
      <c r="R32" s="127">
        <f>+Actuals!O16</f>
        <v>0</v>
      </c>
      <c r="S32" s="128">
        <f>+Actuals!P16</f>
        <v>-22167.86</v>
      </c>
      <c r="T32" s="127">
        <f>+Actuals!Q16</f>
        <v>0</v>
      </c>
      <c r="U32" s="128">
        <f>+Actuals!R16</f>
        <v>-18484.18</v>
      </c>
      <c r="V32" s="127">
        <f>+Actuals!S16</f>
        <v>0</v>
      </c>
      <c r="W32" s="128">
        <f>+Actuals!T16</f>
        <v>73147.360000000001</v>
      </c>
      <c r="X32" s="127">
        <f>+Actuals!U16</f>
        <v>0</v>
      </c>
      <c r="Y32" s="128">
        <f>+Actuals!V16</f>
        <v>-4078.36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  <c r="AL32" s="127">
        <f>+Actuals!AI16</f>
        <v>0</v>
      </c>
      <c r="AM32" s="128">
        <f>+Actuals!AJ16</f>
        <v>0</v>
      </c>
      <c r="AN32" s="127">
        <f>+Actuals!AK16</f>
        <v>0</v>
      </c>
      <c r="AO32" s="128">
        <f>+Actuals!AL16</f>
        <v>0</v>
      </c>
      <c r="AP32" s="127">
        <f>+Actuals!AM16</f>
        <v>0</v>
      </c>
      <c r="AQ32" s="128">
        <f>+Actuals!AN16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  <c r="AN33" s="127">
        <f>+Actuals!AK17</f>
        <v>0</v>
      </c>
      <c r="AO33" s="128">
        <f>+Actuals!AL17</f>
        <v>0</v>
      </c>
      <c r="AP33" s="127">
        <f>+Actuals!AM17</f>
        <v>0</v>
      </c>
      <c r="AQ33" s="128">
        <f>+Actuals!AN17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  <c r="AN34" s="127">
        <f>+Actuals!AK18</f>
        <v>0</v>
      </c>
      <c r="AO34" s="128">
        <f>+Actuals!AL18</f>
        <v>0</v>
      </c>
      <c r="AP34" s="127">
        <f>+Actuals!AM18</f>
        <v>0</v>
      </c>
      <c r="AQ34" s="128">
        <f>+Actuals!AN18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  <c r="AN35" s="127">
        <f>+Actuals!AK19</f>
        <v>0</v>
      </c>
      <c r="AO35" s="128">
        <f>+Actuals!AL19</f>
        <v>0</v>
      </c>
      <c r="AP35" s="127">
        <f>+Actuals!AM19</f>
        <v>0</v>
      </c>
      <c r="AQ35" s="128">
        <f>+Actuals!AN19</f>
        <v>0</v>
      </c>
    </row>
    <row r="36" spans="1:43" x14ac:dyDescent="0.2">
      <c r="A36" s="9"/>
      <c r="B36" s="7" t="s">
        <v>45</v>
      </c>
      <c r="C36" s="6"/>
      <c r="D36" s="61">
        <f t="shared" ref="D36:AA36" si="9">SUM(D32:D35)</f>
        <v>-65780</v>
      </c>
      <c r="E36" s="39">
        <f t="shared" si="9"/>
        <v>-119588.04200000002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-66446</v>
      </c>
      <c r="M36" s="39">
        <f t="shared" si="9"/>
        <v>-152028.45000000001</v>
      </c>
      <c r="N36" s="61">
        <f t="shared" si="9"/>
        <v>0</v>
      </c>
      <c r="O36" s="39">
        <f t="shared" si="9"/>
        <v>7109.7219999999998</v>
      </c>
      <c r="P36" s="61">
        <f t="shared" si="9"/>
        <v>666</v>
      </c>
      <c r="Q36" s="39">
        <f t="shared" si="9"/>
        <v>-3086.2739999999999</v>
      </c>
      <c r="R36" s="61">
        <f t="shared" si="9"/>
        <v>0</v>
      </c>
      <c r="S36" s="39">
        <f t="shared" si="9"/>
        <v>-22167.86</v>
      </c>
      <c r="T36" s="61">
        <f t="shared" si="9"/>
        <v>0</v>
      </c>
      <c r="U36" s="39">
        <f t="shared" si="9"/>
        <v>-18484.18</v>
      </c>
      <c r="V36" s="61">
        <f t="shared" si="9"/>
        <v>0</v>
      </c>
      <c r="W36" s="39">
        <f t="shared" si="9"/>
        <v>73147.360000000001</v>
      </c>
      <c r="X36" s="61">
        <f t="shared" si="9"/>
        <v>0</v>
      </c>
      <c r="Y36" s="39">
        <f t="shared" si="9"/>
        <v>-4078.36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1197708</v>
      </c>
      <c r="I39" s="128">
        <f>+Actuals!F20</f>
        <v>1859801</v>
      </c>
      <c r="J39" s="127">
        <f>+Actuals!G20</f>
        <v>-1197708</v>
      </c>
      <c r="K39" s="147">
        <f>+Actuals!H20</f>
        <v>-1859801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  <c r="AN39" s="127">
        <f>+Actuals!AK20</f>
        <v>0</v>
      </c>
      <c r="AO39" s="128">
        <f>+Actuals!AL20</f>
        <v>0</v>
      </c>
      <c r="AP39" s="127">
        <f>+Actuals!AM20</f>
        <v>0</v>
      </c>
      <c r="AQ39" s="128">
        <f>+Actuals!AN20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  <c r="AN40" s="127">
        <f>+Actuals!AK21</f>
        <v>0</v>
      </c>
      <c r="AO40" s="128">
        <f>+Actuals!AL21</f>
        <v>0</v>
      </c>
      <c r="AP40" s="127">
        <f>+Actuals!AM21</f>
        <v>0</v>
      </c>
      <c r="AQ40" s="128">
        <f>+Actuals!AN21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  <c r="AN41" s="127">
        <f>+Actuals!AK22</f>
        <v>0</v>
      </c>
      <c r="AO41" s="128">
        <f>+Actuals!AL22</f>
        <v>0</v>
      </c>
      <c r="AP41" s="127">
        <f>+Actuals!AM22</f>
        <v>0</v>
      </c>
      <c r="AQ41" s="128">
        <f>+Actuals!AN22</f>
        <v>0</v>
      </c>
    </row>
    <row r="42" spans="1:43" x14ac:dyDescent="0.2">
      <c r="A42" s="9"/>
      <c r="B42" s="7"/>
      <c r="C42" s="53" t="s">
        <v>50</v>
      </c>
      <c r="D42" s="61">
        <f t="shared" ref="D42:AA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AA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1197708</v>
      </c>
      <c r="I43" s="39">
        <f t="shared" si="14"/>
        <v>1859801</v>
      </c>
      <c r="J43" s="61">
        <f t="shared" si="14"/>
        <v>-1197708</v>
      </c>
      <c r="K43" s="148">
        <f t="shared" si="14"/>
        <v>-1859801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  <c r="AN45" s="127">
        <f>+Actuals!AK23</f>
        <v>0</v>
      </c>
      <c r="AO45" s="128">
        <f>+Actuals!AL23</f>
        <v>0</v>
      </c>
      <c r="AP45" s="127">
        <f>+Actuals!AM23</f>
        <v>0</v>
      </c>
      <c r="AQ45" s="128">
        <f>+Actuals!AN23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-9718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+Actuals!P24-9718</f>
        <v>-9718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  <c r="AN47" s="127">
        <f>+Actuals!AK24</f>
        <v>0</v>
      </c>
      <c r="AO47" s="128">
        <f>+Actuals!AL24</f>
        <v>0</v>
      </c>
      <c r="AP47" s="127">
        <f>+Actuals!AM24</f>
        <v>0</v>
      </c>
      <c r="AQ47" s="128">
        <f>+Actuals!AN24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  <c r="AL49" s="127">
        <f>+Actuals!AI25</f>
        <v>0</v>
      </c>
      <c r="AM49" s="128">
        <f>+Actuals!AJ25</f>
        <v>0</v>
      </c>
      <c r="AN49" s="127">
        <f>+Actuals!AK25</f>
        <v>0</v>
      </c>
      <c r="AO49" s="128">
        <f>+Actuals!AL25</f>
        <v>0</v>
      </c>
      <c r="AP49" s="127">
        <f>+Actuals!AM25</f>
        <v>0</v>
      </c>
      <c r="AQ49" s="128">
        <f>+Actuals!AN25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>
        <f>+Actuals!AI26</f>
        <v>0</v>
      </c>
      <c r="AM51" s="128">
        <f>+Actuals!AJ26</f>
        <v>0</v>
      </c>
      <c r="AN51" s="127">
        <f>+Actuals!AK26</f>
        <v>0</v>
      </c>
      <c r="AO51" s="128">
        <f>+Actuals!AL26</f>
        <v>0</v>
      </c>
      <c r="AP51" s="127">
        <f>+Actuals!AM26</f>
        <v>0</v>
      </c>
      <c r="AQ51" s="128">
        <f>+Actuals!AN26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350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350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  <c r="AL54" s="127">
        <f>+Actuals!AI27</f>
        <v>0</v>
      </c>
      <c r="AM54" s="128">
        <f>+Actuals!AJ27</f>
        <v>0</v>
      </c>
      <c r="AN54" s="127">
        <f>+Actuals!AK27</f>
        <v>0</v>
      </c>
      <c r="AO54" s="128">
        <f>+Actuals!AL27</f>
        <v>0</v>
      </c>
      <c r="AP54" s="127">
        <f>+Actuals!AM27</f>
        <v>0</v>
      </c>
      <c r="AQ54" s="128">
        <f>+Actuals!AN27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-677185</v>
      </c>
      <c r="F55" s="81">
        <f>'TIE-OUT'!P55+RECLASS!P55</f>
        <v>0</v>
      </c>
      <c r="G55" s="82">
        <f>'TIE-OUT'!Q55+RECLASS!Q55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f>+Actuals!H28-904705</f>
        <v>-904705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+Actuals!L28+227520</f>
        <v>227520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  <c r="AL55" s="127">
        <f>+Actuals!AI28</f>
        <v>0</v>
      </c>
      <c r="AM55" s="128">
        <f>+Actuals!AJ28</f>
        <v>0</v>
      </c>
      <c r="AN55" s="127">
        <f>+Actuals!AK28</f>
        <v>0</v>
      </c>
      <c r="AO55" s="128">
        <f>+Actuals!AL28</f>
        <v>0</v>
      </c>
      <c r="AP55" s="127">
        <f>+Actuals!AM28</f>
        <v>0</v>
      </c>
      <c r="AQ55" s="128">
        <f>+Actuals!AN28</f>
        <v>0</v>
      </c>
    </row>
    <row r="56" spans="1:43" x14ac:dyDescent="0.2">
      <c r="A56" s="9"/>
      <c r="B56" s="7" t="s">
        <v>59</v>
      </c>
      <c r="C56" s="6"/>
      <c r="D56" s="61">
        <f t="shared" ref="D56:AA56" si="16">SUM(D54:D55)</f>
        <v>0</v>
      </c>
      <c r="E56" s="39">
        <f t="shared" si="16"/>
        <v>-676835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350</v>
      </c>
      <c r="J56" s="61">
        <f t="shared" si="16"/>
        <v>0</v>
      </c>
      <c r="K56" s="148">
        <f t="shared" si="16"/>
        <v>-904705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227520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20475.079999999998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350</v>
      </c>
      <c r="J59" s="127">
        <f>+Actuals!G29</f>
        <v>0</v>
      </c>
      <c r="K59" s="147">
        <f>+Actuals!H29</f>
        <v>-350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22718.1</v>
      </c>
      <c r="V59" s="127">
        <f>+Actuals!S29</f>
        <v>0</v>
      </c>
      <c r="W59" s="128">
        <f>+Actuals!T29</f>
        <v>-2243.02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  <c r="AN59" s="127">
        <f>+Actuals!AK29</f>
        <v>0</v>
      </c>
      <c r="AO59" s="128">
        <f>+Actuals!AL29</f>
        <v>0</v>
      </c>
      <c r="AP59" s="127">
        <f>+Actuals!AM29</f>
        <v>0</v>
      </c>
      <c r="AQ59" s="128">
        <f>+Actuals!AN29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  <c r="AN60" s="127">
        <f>+Actuals!AK30</f>
        <v>0</v>
      </c>
      <c r="AO60" s="128">
        <f>+Actuals!AL30</f>
        <v>0</v>
      </c>
      <c r="AP60" s="127">
        <f>+Actuals!AM30</f>
        <v>0</v>
      </c>
      <c r="AQ60" s="128">
        <f>+Actuals!AN30</f>
        <v>0</v>
      </c>
    </row>
    <row r="61" spans="1:43" x14ac:dyDescent="0.2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20475.079999999998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48">
        <f t="shared" si="18"/>
        <v>-350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22718.1</v>
      </c>
      <c r="V61" s="61">
        <f t="shared" si="18"/>
        <v>0</v>
      </c>
      <c r="W61" s="39">
        <f t="shared" si="18"/>
        <v>-2243.02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-1513643</v>
      </c>
      <c r="E64" s="38">
        <f>SUM(G64,I64,K64,M64,O64,Q64,S64,U64,W64,Y64,AA64,AC64,AE64,AG64)</f>
        <v>-94951.959999999992</v>
      </c>
      <c r="F64" s="64">
        <f>'TIE-OUT'!P64+RECLASS!P64</f>
        <v>0</v>
      </c>
      <c r="G64" s="68">
        <f>'TIE-OUT'!Q64+RECLASS!Q64</f>
        <v>0</v>
      </c>
      <c r="H64" s="127">
        <f>+Actuals!E31</f>
        <v>-1192879</v>
      </c>
      <c r="I64" s="128">
        <f>+Actuals!F31</f>
        <v>-84714.06</v>
      </c>
      <c r="J64" s="127">
        <f>+Actuals!G31</f>
        <v>-281518</v>
      </c>
      <c r="K64" s="147">
        <f>+Actuals!H31</f>
        <v>-5419.95</v>
      </c>
      <c r="L64" s="127">
        <f>+Actuals!I31</f>
        <v>-35171</v>
      </c>
      <c r="M64" s="128">
        <f>+Actuals!J31</f>
        <v>-4776.5600000000004</v>
      </c>
      <c r="N64" s="127">
        <f>+Actuals!K31</f>
        <v>-4075</v>
      </c>
      <c r="O64" s="128">
        <f>+Actuals!L31</f>
        <v>-40.75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2759</v>
      </c>
      <c r="AE64" s="128">
        <f>+Actuals!AB31</f>
        <v>-0.64</v>
      </c>
      <c r="AF64" s="127">
        <f>+Actuals!AC31</f>
        <v>-2759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  <c r="AL64" s="127">
        <f>+Actuals!AI31</f>
        <v>0</v>
      </c>
      <c r="AM64" s="128">
        <f>+Actuals!AJ31</f>
        <v>0</v>
      </c>
      <c r="AN64" s="127">
        <f>+Actuals!AK31</f>
        <v>0</v>
      </c>
      <c r="AO64" s="128">
        <f>+Actuals!AL31</f>
        <v>0</v>
      </c>
      <c r="AP64" s="127">
        <f>+Actuals!AM31</f>
        <v>0</v>
      </c>
      <c r="AQ64" s="128">
        <f>+Actuals!AN31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71516</v>
      </c>
      <c r="F65" s="81">
        <f>'TIE-OUT'!P65+RECLASS!P65</f>
        <v>0</v>
      </c>
      <c r="G65" s="82">
        <f>'TIE-OUT'!Q65+RECLASS!Q65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+Actuals!H32-16840+84714+8043</f>
        <v>75917</v>
      </c>
      <c r="L65" s="127">
        <f>+Actuals!I32</f>
        <v>0</v>
      </c>
      <c r="M65" s="160">
        <v>-4442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+Actuals!N32+41</f>
        <v>41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  <c r="AN65" s="127">
        <f>+Actuals!AK32</f>
        <v>0</v>
      </c>
      <c r="AO65" s="128">
        <f>+Actuals!AL32</f>
        <v>0</v>
      </c>
      <c r="AP65" s="127">
        <f>+Actuals!AM32</f>
        <v>0</v>
      </c>
      <c r="AQ65" s="128">
        <f>+Actuals!AN32</f>
        <v>0</v>
      </c>
    </row>
    <row r="66" spans="1:43" x14ac:dyDescent="0.2">
      <c r="A66" s="9"/>
      <c r="B66" s="7" t="s">
        <v>66</v>
      </c>
      <c r="C66" s="6"/>
      <c r="D66" s="61">
        <f t="shared" ref="D66:AA66" si="20">SUM(D64:D65)</f>
        <v>-1513643</v>
      </c>
      <c r="E66" s="39">
        <f t="shared" si="20"/>
        <v>-23435.959999999992</v>
      </c>
      <c r="F66" s="61">
        <f t="shared" si="20"/>
        <v>0</v>
      </c>
      <c r="G66" s="39">
        <f t="shared" si="20"/>
        <v>0</v>
      </c>
      <c r="H66" s="61">
        <f t="shared" si="20"/>
        <v>-1192879</v>
      </c>
      <c r="I66" s="39">
        <f t="shared" si="20"/>
        <v>-84714.06</v>
      </c>
      <c r="J66" s="61">
        <f t="shared" si="20"/>
        <v>-281518</v>
      </c>
      <c r="K66" s="148">
        <f t="shared" si="20"/>
        <v>70497.05</v>
      </c>
      <c r="L66" s="61">
        <f t="shared" si="20"/>
        <v>-35171</v>
      </c>
      <c r="M66" s="39">
        <f t="shared" si="20"/>
        <v>-9218.5600000000013</v>
      </c>
      <c r="N66" s="61">
        <f t="shared" si="20"/>
        <v>-4075</v>
      </c>
      <c r="O66" s="39">
        <f t="shared" si="20"/>
        <v>-40.75</v>
      </c>
      <c r="P66" s="61">
        <f t="shared" si="20"/>
        <v>0</v>
      </c>
      <c r="Q66" s="39">
        <f t="shared" si="20"/>
        <v>41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2759</v>
      </c>
      <c r="AE66" s="39">
        <f t="shared" si="21"/>
        <v>-0.64</v>
      </c>
      <c r="AF66" s="61">
        <f>SUM(AF64:AF65)</f>
        <v>-2759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  <c r="AN70" s="127">
        <f>+Actuals!AK33</f>
        <v>0</v>
      </c>
      <c r="AO70" s="128">
        <f>+Actuals!AL33</f>
        <v>0</v>
      </c>
      <c r="AP70" s="127">
        <f>+Actuals!AM33</f>
        <v>0</v>
      </c>
      <c r="AQ70" s="128">
        <f>+Actuals!AN33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  <c r="AN71" s="127">
        <f>+Actuals!AK34</f>
        <v>0</v>
      </c>
      <c r="AO71" s="128">
        <f>+Actuals!AL34</f>
        <v>0</v>
      </c>
      <c r="AP71" s="127">
        <f>+Actuals!AM34</f>
        <v>0</v>
      </c>
      <c r="AQ71" s="128">
        <f>+Actuals!AN34</f>
        <v>0</v>
      </c>
    </row>
    <row r="72" spans="1:43" x14ac:dyDescent="0.2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  <c r="AN73" s="127">
        <f>+Actuals!AK35</f>
        <v>0</v>
      </c>
      <c r="AO73" s="128">
        <f>+Actuals!AL35</f>
        <v>0</v>
      </c>
      <c r="AP73" s="127">
        <f>+Actuals!AM35</f>
        <v>0</v>
      </c>
      <c r="AQ73" s="128">
        <f>+Actuals!AN35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89700</v>
      </c>
      <c r="F74" s="60">
        <f>'TIE-OUT'!P74+RECLASS!P74</f>
        <v>0</v>
      </c>
      <c r="G74" s="60">
        <f>'TIE-OUT'!Q74+RECLASS!Q74</f>
        <v>89700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  <c r="AN74" s="127">
        <f>+Actuals!AK36</f>
        <v>0</v>
      </c>
      <c r="AO74" s="128">
        <f>+Actuals!AL36</f>
        <v>0</v>
      </c>
      <c r="AP74" s="127">
        <f>+Actuals!AM36</f>
        <v>0</v>
      </c>
      <c r="AQ74" s="128">
        <f>+Actuals!AN36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  <c r="AN75" s="127">
        <f>+Actuals!AK37</f>
        <v>0</v>
      </c>
      <c r="AO75" s="128">
        <f>+Actuals!AL37</f>
        <v>0</v>
      </c>
      <c r="AP75" s="127">
        <f>+Actuals!AM37</f>
        <v>0</v>
      </c>
      <c r="AQ75" s="128">
        <f>+Actuals!AN37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  <c r="AN76" s="127">
        <f>+Actuals!AK38</f>
        <v>0</v>
      </c>
      <c r="AO76" s="128">
        <f>+Actuals!AL38</f>
        <v>0</v>
      </c>
      <c r="AP76" s="127">
        <f>+Actuals!AM38</f>
        <v>0</v>
      </c>
      <c r="AQ76" s="128">
        <f>+Actuals!AN38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  <c r="AN77" s="127">
        <f>+Actuals!AK39</f>
        <v>0</v>
      </c>
      <c r="AO77" s="128">
        <f>+Actuals!AL39</f>
        <v>0</v>
      </c>
      <c r="AP77" s="127">
        <f>+Actuals!AM39</f>
        <v>0</v>
      </c>
      <c r="AQ77" s="128">
        <f>+Actuals!AN39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  <c r="AN78" s="127">
        <f>+Actuals!AK40</f>
        <v>0</v>
      </c>
      <c r="AO78" s="128">
        <f>+Actuals!AL40</f>
        <v>0</v>
      </c>
      <c r="AP78" s="127">
        <f>+Actuals!AM40</f>
        <v>0</v>
      </c>
      <c r="AQ78" s="128">
        <f>+Actuals!AN40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  <c r="AN79" s="127">
        <f>+Actuals!AK41</f>
        <v>0</v>
      </c>
      <c r="AO79" s="128">
        <f>+Actuals!AL41</f>
        <v>0</v>
      </c>
      <c r="AP79" s="127">
        <f>+Actuals!AM41</f>
        <v>0</v>
      </c>
      <c r="AQ79" s="128">
        <f>+Actuals!AN41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  <c r="AN80" s="127">
        <f>+Actuals!AK42</f>
        <v>0</v>
      </c>
      <c r="AO80" s="128">
        <f>+Actuals!AL42</f>
        <v>0</v>
      </c>
      <c r="AP80" s="127">
        <f>+Actuals!AM42</f>
        <v>0</v>
      </c>
      <c r="AQ80" s="128">
        <f>+Actuals!AN42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  <c r="AN81" s="127">
        <f>+Actuals!AK43</f>
        <v>0</v>
      </c>
      <c r="AO81" s="128">
        <f>+Actuals!AL43</f>
        <v>0</v>
      </c>
      <c r="AP81" s="127">
        <f>+Actuals!AM43</f>
        <v>0</v>
      </c>
      <c r="AQ81" s="128">
        <f>+Actuals!AN43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-1184057.9321999997</v>
      </c>
      <c r="F82" s="92">
        <f>F16+F24+F29+F36+F43+F45+F47+F49</f>
        <v>0</v>
      </c>
      <c r="G82" s="93">
        <f>SUM(G72:G81)+G16+G24+G29+G36+G43+G45+G47+G49+G51+G56+G61+G66</f>
        <v>-685678.22</v>
      </c>
      <c r="H82" s="92">
        <f>H16+H24+H29+H36+H43+H45+H47+H49</f>
        <v>1206651</v>
      </c>
      <c r="I82" s="93">
        <f>SUM(I72:I81)+I16+I24+I29+I36+I43+I45+I47+I49+I51+I56+I61+I66</f>
        <v>2018380.25</v>
      </c>
      <c r="J82" s="92">
        <f>J16+J24+J29+J36+J43+J45+J47+J49</f>
        <v>-1206651</v>
      </c>
      <c r="K82" s="112">
        <f>SUM(K72:K81)+K16+K24+K29+K36+K43+K45+K47+K49+K51+K56+K61+K66</f>
        <v>-2744977.7609999999</v>
      </c>
      <c r="L82" s="92">
        <f>L16+L24+L29+L36+L43+L45+L47+L49</f>
        <v>0</v>
      </c>
      <c r="M82" s="93">
        <f>SUM(M72:M81)+M16+M24+M29+M36+M43+M45+M47+M49+M51+M56+M61+M66</f>
        <v>-43434.434999999983</v>
      </c>
      <c r="N82" s="92">
        <f>N16+N24+N29+N36+N43+N45+N47+N49</f>
        <v>0</v>
      </c>
      <c r="O82" s="93">
        <f>SUM(O72:O81)+O16+O24+O29+O36+O43+O45+O47+O49+O51+O56+O61+O66</f>
        <v>236079.66200000001</v>
      </c>
      <c r="P82" s="92">
        <f>P16+P24+P29+P36+P43+P45+P47+P49</f>
        <v>0</v>
      </c>
      <c r="Q82" s="93">
        <f>SUM(Q72:Q81)+Q16+Q24+Q29+Q36+Q43+Q45+Q47+Q49+Q51+Q56+Q61+Q66</f>
        <v>-4845.1371999999992</v>
      </c>
      <c r="R82" s="92">
        <f>R16+R24+R29+R36+R43+R45+R47+R49</f>
        <v>0</v>
      </c>
      <c r="S82" s="93">
        <f>SUM(S72:S81)+S16+S24+S29+S36+S43+S45+S47+S49+S51+S56+S61+S66</f>
        <v>-31885.86</v>
      </c>
      <c r="T82" s="92">
        <f>T16+T24+T29+T36+T43+T45+T47+T49</f>
        <v>0</v>
      </c>
      <c r="U82" s="93">
        <f>SUM(U72:U81)+U16+U24+U29+U36+U43+U45+U47+U49+U51+U56+U61+U66</f>
        <v>4233.9199999999983</v>
      </c>
      <c r="V82" s="92">
        <f>V16+V24+V29+V36+V43+V45+V47+V49</f>
        <v>0</v>
      </c>
      <c r="W82" s="93">
        <f>SUM(W72:W81)+W16+W24+W29+W36+W43+W45+W47+W49+W51+W56+W61+W66</f>
        <v>70904.34</v>
      </c>
      <c r="X82" s="92">
        <f>X16+X24+X29+X36+X43+X45+X47+X49</f>
        <v>0</v>
      </c>
      <c r="Y82" s="93">
        <f>SUM(Y72:Y81)+Y16+Y24+Y29+Y36+Y43+Y45+Y47+Y49+Y51+Y56+Y61+Y66</f>
        <v>-4078.36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1243.6690000000001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CA187"/>
  <sheetViews>
    <sheetView zoomScale="75" workbookViewId="0">
      <pane xSplit="3" ySplit="9" topLeftCell="I11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52764283</v>
      </c>
      <c r="E11" s="38">
        <f t="shared" si="0"/>
        <v>104372567.32399999</v>
      </c>
      <c r="F11" s="60">
        <f>('TIE-OUT'!P11+'TIE-OUT'!R11)+(RECLASS!P11+RECLASS!R11)</f>
        <v>0</v>
      </c>
      <c r="G11" s="38">
        <f>('TIE-OUT'!Q11+'TIE-OUT'!S11)+(RECLASS!Q11+RECLASS!S11)</f>
        <v>1455110</v>
      </c>
      <c r="H11" s="60">
        <f>'TX-EGM-GL'!H11+'TX-HPL-GL '!H11</f>
        <v>54134335</v>
      </c>
      <c r="I11" s="38">
        <f>'TX-EGM-GL'!I11+'TX-HPL-GL '!I11</f>
        <v>105557802.38999999</v>
      </c>
      <c r="J11" s="60">
        <f>'TX-EGM-GL'!J11+'TX-HPL-GL '!J11</f>
        <v>-3813321</v>
      </c>
      <c r="K11" s="38">
        <f>'TX-EGM-GL'!K11+'TX-HPL-GL '!K11</f>
        <v>-7806770.3460000008</v>
      </c>
      <c r="L11" s="60">
        <f>'TX-EGM-GL'!L11+'TX-HPL-GL '!L11</f>
        <v>2101090</v>
      </c>
      <c r="M11" s="38">
        <f>'TX-EGM-GL'!M11+'TX-HPL-GL '!M11</f>
        <v>3911919.8899999997</v>
      </c>
      <c r="N11" s="60">
        <f>'TX-EGM-GL'!N11+'TX-HPL-GL '!N11</f>
        <v>1055503</v>
      </c>
      <c r="O11" s="38">
        <f>'TX-EGM-GL'!O11+'TX-HPL-GL '!O11</f>
        <v>2075484.82</v>
      </c>
      <c r="P11" s="60">
        <f>'TX-EGM-GL'!P11+'TX-HPL-GL '!P11</f>
        <v>-1490360</v>
      </c>
      <c r="Q11" s="38">
        <f>'TX-EGM-GL'!Q11+'TX-HPL-GL '!Q11</f>
        <v>-2328360.64</v>
      </c>
      <c r="R11" s="60">
        <f>'TX-EGM-GL'!R11+'TX-HPL-GL '!R11</f>
        <v>741938</v>
      </c>
      <c r="S11" s="38">
        <f>'TX-EGM-GL'!S11+'TX-HPL-GL '!S11</f>
        <v>1427503.34</v>
      </c>
      <c r="T11" s="60">
        <f>'TX-EGM-GL'!T11+'TX-HPL-GL '!T11</f>
        <v>40165</v>
      </c>
      <c r="U11" s="38">
        <f>'TX-EGM-GL'!U11+'TX-HPL-GL '!U11</f>
        <v>64941.279999999999</v>
      </c>
      <c r="V11" s="60">
        <f>'TX-EGM-GL'!V11+'TX-HPL-GL '!V11</f>
        <v>0</v>
      </c>
      <c r="W11" s="38">
        <f>'TX-EGM-GL'!W11+'TX-HPL-GL '!W11</f>
        <v>2021.78</v>
      </c>
      <c r="X11" s="60">
        <f>'TX-EGM-GL'!X11+'TX-HPL-GL '!X11</f>
        <v>50000</v>
      </c>
      <c r="Y11" s="38">
        <f>'TX-EGM-GL'!Y11+'TX-HPL-GL '!Y11</f>
        <v>112484.99</v>
      </c>
      <c r="Z11" s="60">
        <f>'TX-EGM-GL'!Z11+'TX-HPL-GL '!Z11</f>
        <v>-50000</v>
      </c>
      <c r="AA11" s="38">
        <f>'TX-EGM-GL'!AA11+'TX-HPL-GL '!AA11</f>
        <v>-102675.19</v>
      </c>
      <c r="AB11" s="60">
        <f>'TX-EGM-GL'!AB11+'TX-HPL-GL '!AB11</f>
        <v>-5067</v>
      </c>
      <c r="AC11" s="38">
        <f>'TX-EGM-GL'!AC11+'TX-HPL-GL '!AC11</f>
        <v>-9105.99</v>
      </c>
      <c r="AD11" s="60">
        <f>'TX-EGM-GL'!AD11+'TX-HPL-GL '!AD11</f>
        <v>0</v>
      </c>
      <c r="AE11" s="38">
        <f>'TX-EGM-GL'!AE11+'TX-HPL-GL '!AE11</f>
        <v>0</v>
      </c>
      <c r="AF11" s="60">
        <f>'TX-EGM-GL'!AF11+'TX-HPL-GL '!AF11</f>
        <v>0</v>
      </c>
      <c r="AG11" s="38">
        <f>'TX-EGM-GL'!AG11+'TX-HPL-GL '!AG11</f>
        <v>12211</v>
      </c>
      <c r="AH11" s="60">
        <f>'TX-EGM-GL'!AT11+'TX-HPL-GL '!AT11</f>
        <v>0</v>
      </c>
      <c r="AI11" s="38">
        <f>'TX-EGM-GL'!AU11+'TX-HPL-GL '!AU11</f>
        <v>0</v>
      </c>
      <c r="AJ11" s="60">
        <f>'TX-EGM-GL'!AV11+'TX-HPL-GL '!AV11</f>
        <v>0</v>
      </c>
      <c r="AK11" s="38">
        <f>'TX-EGM-GL'!AW11+'TX-HPL-GL '!AW11</f>
        <v>0</v>
      </c>
      <c r="AL11" s="60">
        <f>'TX-EGM-GL'!AX11+'TX-HPL-GL '!AX11</f>
        <v>0</v>
      </c>
      <c r="AM11" s="38">
        <f>'TX-EGM-GL'!AY11+'TX-HPL-GL '!AY11</f>
        <v>0</v>
      </c>
      <c r="AN11" s="60">
        <f>'TX-EGM-GL'!AZ11+'TX-HPL-GL '!AZ11</f>
        <v>0</v>
      </c>
      <c r="AO11" s="38">
        <f>'TX-EGM-GL'!BA11+'TX-HPL-GL '!BA11</f>
        <v>0</v>
      </c>
      <c r="AP11" s="60">
        <f>'TX-EGM-GL'!BB11+'TX-HPL-GL '!BB11</f>
        <v>0</v>
      </c>
      <c r="AQ11" s="38">
        <f>'TX-EGM-GL'!BC11+'TX-HPL-GL '!BC11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-6191705.75</v>
      </c>
      <c r="F12" s="60">
        <f>('TIE-OUT'!P12+'TIE-OUT'!R12)+(RECLASS!P12+RECLASS!R12)</f>
        <v>0</v>
      </c>
      <c r="G12" s="38">
        <f>('TIE-OUT'!Q12+'TIE-OUT'!S12)+(RECLASS!Q12+RECLASS!S12)</f>
        <v>-6191705.75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'TX-EGM-GL'!AF12+'TX-HPL-GL '!AF12</f>
        <v>0</v>
      </c>
      <c r="AG12" s="38">
        <f>'TX-EGM-GL'!AG12+'TX-HPL-GL '!AG12</f>
        <v>0</v>
      </c>
      <c r="AH12" s="60">
        <f>'TX-EGM-GL'!AT12+'TX-HPL-GL '!AT12</f>
        <v>0</v>
      </c>
      <c r="AI12" s="38">
        <f>'TX-EGM-GL'!AU12+'TX-HPL-GL '!AU12</f>
        <v>0</v>
      </c>
      <c r="AJ12" s="60">
        <f>'TX-EGM-GL'!AV12+'TX-HPL-GL '!AV12</f>
        <v>0</v>
      </c>
      <c r="AK12" s="38">
        <f>'TX-EGM-GL'!AW12+'TX-HPL-GL '!AW12</f>
        <v>0</v>
      </c>
      <c r="AL12" s="60">
        <f>'TX-EGM-GL'!AX12+'TX-HPL-GL '!AX12</f>
        <v>0</v>
      </c>
      <c r="AM12" s="38">
        <f>'TX-EGM-GL'!AY12+'TX-HPL-GL '!AY12</f>
        <v>0</v>
      </c>
      <c r="AN12" s="60">
        <f>'TX-EGM-GL'!AZ12+'TX-HPL-GL '!AZ12</f>
        <v>0</v>
      </c>
      <c r="AO12" s="38">
        <f>'TX-EGM-GL'!BA12+'TX-HPL-GL '!BA12</f>
        <v>0</v>
      </c>
      <c r="AP12" s="60">
        <f>'TX-EGM-GL'!BB12+'TX-HPL-GL '!BB12</f>
        <v>0</v>
      </c>
      <c r="AQ12" s="38">
        <f>'TX-EGM-GL'!BC12+'TX-HPL-GL '!BC12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31422383</v>
      </c>
      <c r="E13" s="38">
        <f t="shared" si="0"/>
        <v>66166091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31422383</v>
      </c>
      <c r="I13" s="38">
        <f>'TX-EGM-GL'!I13+'TX-HPL-GL '!I13</f>
        <v>66166091</v>
      </c>
      <c r="J13" s="60">
        <f>'TX-EGM-GL'!J13+'TX-HPL-GL '!J13</f>
        <v>-403986</v>
      </c>
      <c r="K13" s="38">
        <f>'TX-EGM-GL'!K13+'TX-HPL-GL '!K13</f>
        <v>-757905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458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110711</v>
      </c>
      <c r="U13" s="38">
        <f>'TX-EGM-GL'!U13+'TX-HPL-GL '!U13</f>
        <v>227267</v>
      </c>
      <c r="V13" s="60">
        <f>'TX-EGM-GL'!V13+'TX-HPL-GL '!V13</f>
        <v>110711</v>
      </c>
      <c r="W13" s="38">
        <f>'TX-EGM-GL'!W13+'TX-HPL-GL '!W13</f>
        <v>227267</v>
      </c>
      <c r="X13" s="60">
        <f>'TX-EGM-GL'!X13+'TX-HPL-GL '!X13</f>
        <v>182564</v>
      </c>
      <c r="Y13" s="38">
        <f>'TX-EGM-GL'!Y13+'TX-HPL-GL '!Y13</f>
        <v>302913</v>
      </c>
      <c r="Z13" s="60">
        <f>'TX-EGM-GL'!Z13+'TX-HPL-GL '!Z13</f>
        <v>-182564</v>
      </c>
      <c r="AA13" s="38">
        <f>'TX-EGM-GL'!AA13+'TX-HPL-GL '!AA13</f>
        <v>-302913</v>
      </c>
      <c r="AB13" s="60">
        <f>'TX-EGM-GL'!AB13+'TX-HPL-GL '!AB13</f>
        <v>0</v>
      </c>
      <c r="AC13" s="38">
        <f>'TX-EGM-GL'!AC13+'TX-HPL-GL '!AC13</f>
        <v>0</v>
      </c>
      <c r="AD13" s="60">
        <f>'TX-EGM-GL'!AD13+'TX-HPL-GL '!AD13</f>
        <v>182564</v>
      </c>
      <c r="AE13" s="38">
        <f>'TX-EGM-GL'!AE13+'TX-HPL-GL '!AE13</f>
        <v>302913</v>
      </c>
      <c r="AF13" s="60">
        <f>'TX-EGM-GL'!AF13+'TX-HPL-GL '!AF13</f>
        <v>0</v>
      </c>
      <c r="AG13" s="38">
        <f>'TX-EGM-GL'!AG13+'TX-HPL-GL '!AG13</f>
        <v>0</v>
      </c>
      <c r="AH13" s="60">
        <f>'TX-EGM-GL'!AT13+'TX-HPL-GL '!AT13</f>
        <v>0</v>
      </c>
      <c r="AI13" s="38">
        <f>'TX-EGM-GL'!AU13+'TX-HPL-GL '!AU13</f>
        <v>0</v>
      </c>
      <c r="AJ13" s="60">
        <f>'TX-EGM-GL'!AV13+'TX-HPL-GL '!AV13</f>
        <v>0</v>
      </c>
      <c r="AK13" s="38">
        <f>'TX-EGM-GL'!AW13+'TX-HPL-GL '!AW13</f>
        <v>0</v>
      </c>
      <c r="AL13" s="60">
        <f>'TX-EGM-GL'!AX13+'TX-HPL-GL '!AX13</f>
        <v>0</v>
      </c>
      <c r="AM13" s="38">
        <f>'TX-EGM-GL'!AY13+'TX-HPL-GL '!AY13</f>
        <v>0</v>
      </c>
      <c r="AN13" s="60">
        <f>'TX-EGM-GL'!AZ13+'TX-HPL-GL '!AZ13</f>
        <v>0</v>
      </c>
      <c r="AO13" s="38">
        <f>'TX-EGM-GL'!BA13+'TX-HPL-GL '!BA13</f>
        <v>0</v>
      </c>
      <c r="AP13" s="60">
        <f>'TX-EGM-GL'!BB13+'TX-HPL-GL '!BB13</f>
        <v>0</v>
      </c>
      <c r="AQ13" s="38">
        <f>'TX-EGM-GL'!BC13+'TX-HPL-GL '!BC13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'TX-EGM-GL'!AF14+'TX-HPL-GL '!AF14</f>
        <v>0</v>
      </c>
      <c r="AG14" s="38">
        <f>'TX-EGM-GL'!AG14+'TX-HPL-GL '!AG14</f>
        <v>0</v>
      </c>
      <c r="AH14" s="60">
        <f>'TX-EGM-GL'!AT14+'TX-HPL-GL '!AT14</f>
        <v>0</v>
      </c>
      <c r="AI14" s="38">
        <f>'TX-EGM-GL'!AU14+'TX-HPL-GL '!AU14</f>
        <v>0</v>
      </c>
      <c r="AJ14" s="60">
        <f>'TX-EGM-GL'!AV14+'TX-HPL-GL '!AV14</f>
        <v>0</v>
      </c>
      <c r="AK14" s="38">
        <f>'TX-EGM-GL'!AW14+'TX-HPL-GL '!AW14</f>
        <v>0</v>
      </c>
      <c r="AL14" s="60">
        <f>'TX-EGM-GL'!AX14+'TX-HPL-GL '!AX14</f>
        <v>0</v>
      </c>
      <c r="AM14" s="38">
        <f>'TX-EGM-GL'!AY14+'TX-HPL-GL '!AY14</f>
        <v>0</v>
      </c>
      <c r="AN14" s="60">
        <f>'TX-EGM-GL'!AZ14+'TX-HPL-GL '!AZ14</f>
        <v>0</v>
      </c>
      <c r="AO14" s="38">
        <f>'TX-EGM-GL'!BA14+'TX-HPL-GL '!BA14</f>
        <v>0</v>
      </c>
      <c r="AP14" s="60">
        <f>'TX-EGM-GL'!BB14+'TX-HPL-GL '!BB14</f>
        <v>0</v>
      </c>
      <c r="AQ14" s="38">
        <f>'TX-EGM-GL'!BC14+'TX-HPL-GL '!BC14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'TX-EGM-GL'!AF15+'TX-HPL-GL '!AF15</f>
        <v>0</v>
      </c>
      <c r="AG15" s="38">
        <f>'TX-EGM-GL'!AG15+'TX-HPL-GL '!AG15</f>
        <v>0</v>
      </c>
      <c r="AH15" s="60">
        <f>'TX-EGM-GL'!AT15+'TX-HPL-GL '!AT15</f>
        <v>0</v>
      </c>
      <c r="AI15" s="38">
        <f>'TX-EGM-GL'!AU15+'TX-HPL-GL '!AU15</f>
        <v>0</v>
      </c>
      <c r="AJ15" s="60">
        <f>'TX-EGM-GL'!AV15+'TX-HPL-GL '!AV15</f>
        <v>0</v>
      </c>
      <c r="AK15" s="38">
        <f>'TX-EGM-GL'!AW15+'TX-HPL-GL '!AW15</f>
        <v>0</v>
      </c>
      <c r="AL15" s="60">
        <f>'TX-EGM-GL'!AX15+'TX-HPL-GL '!AX15</f>
        <v>0</v>
      </c>
      <c r="AM15" s="38">
        <f>'TX-EGM-GL'!AY15+'TX-HPL-GL '!AY15</f>
        <v>0</v>
      </c>
      <c r="AN15" s="60">
        <f>'TX-EGM-GL'!AZ15+'TX-HPL-GL '!AZ15</f>
        <v>0</v>
      </c>
      <c r="AO15" s="38">
        <f>'TX-EGM-GL'!BA15+'TX-HPL-GL '!BA15</f>
        <v>0</v>
      </c>
      <c r="AP15" s="60">
        <f>'TX-EGM-GL'!BB15+'TX-HPL-GL '!BB15</f>
        <v>0</v>
      </c>
      <c r="AQ15" s="38">
        <f>'TX-EGM-GL'!BC15+'TX-HPL-GL '!BC15</f>
        <v>0</v>
      </c>
    </row>
    <row r="16" spans="1:43" x14ac:dyDescent="0.2">
      <c r="A16" s="9"/>
      <c r="B16" s="7" t="s">
        <v>32</v>
      </c>
      <c r="C16" s="6"/>
      <c r="D16" s="61">
        <f>SUM(D11:D15)</f>
        <v>84186666</v>
      </c>
      <c r="E16" s="39">
        <f>SUM(E11:E15)</f>
        <v>164346952.574</v>
      </c>
      <c r="F16" s="61">
        <f t="shared" ref="F16:Z16" si="1">SUM(F11:F15)</f>
        <v>0</v>
      </c>
      <c r="G16" s="39">
        <f t="shared" si="1"/>
        <v>-4736595.75</v>
      </c>
      <c r="H16" s="61">
        <f t="shared" si="1"/>
        <v>85556718</v>
      </c>
      <c r="I16" s="39">
        <f t="shared" si="1"/>
        <v>171723893.38999999</v>
      </c>
      <c r="J16" s="61">
        <f t="shared" si="1"/>
        <v>-4217307</v>
      </c>
      <c r="K16" s="39">
        <f t="shared" si="1"/>
        <v>-8564675.3460000008</v>
      </c>
      <c r="L16" s="61">
        <f t="shared" si="1"/>
        <v>2101090</v>
      </c>
      <c r="M16" s="39">
        <f t="shared" si="1"/>
        <v>3911919.8899999997</v>
      </c>
      <c r="N16" s="61">
        <f t="shared" si="1"/>
        <v>1055503</v>
      </c>
      <c r="O16" s="39">
        <f t="shared" si="1"/>
        <v>2075484.82</v>
      </c>
      <c r="P16" s="61">
        <f t="shared" si="1"/>
        <v>-1490360</v>
      </c>
      <c r="Q16" s="39">
        <f t="shared" si="1"/>
        <v>-2327902.64</v>
      </c>
      <c r="R16" s="61">
        <f t="shared" si="1"/>
        <v>741938</v>
      </c>
      <c r="S16" s="39">
        <f t="shared" si="1"/>
        <v>1427503.34</v>
      </c>
      <c r="T16" s="61">
        <f t="shared" si="1"/>
        <v>150876</v>
      </c>
      <c r="U16" s="39">
        <f>SUM(U11:U15)</f>
        <v>292208.28000000003</v>
      </c>
      <c r="V16" s="61">
        <f t="shared" si="1"/>
        <v>110711</v>
      </c>
      <c r="W16" s="39">
        <f>SUM(W11:W15)</f>
        <v>229288.78</v>
      </c>
      <c r="X16" s="61">
        <f t="shared" si="1"/>
        <v>232564</v>
      </c>
      <c r="Y16" s="39">
        <f>SUM(Y11:Y15)</f>
        <v>415397.99</v>
      </c>
      <c r="Z16" s="61">
        <f t="shared" si="1"/>
        <v>-232564</v>
      </c>
      <c r="AA16" s="39">
        <f t="shared" ref="AA16:AQ16" si="2">SUM(AA11:AA15)</f>
        <v>-405588.19</v>
      </c>
      <c r="AB16" s="61">
        <f t="shared" si="2"/>
        <v>-5067</v>
      </c>
      <c r="AC16" s="39">
        <f t="shared" si="2"/>
        <v>-9105.99</v>
      </c>
      <c r="AD16" s="61">
        <f t="shared" si="2"/>
        <v>182564</v>
      </c>
      <c r="AE16" s="39">
        <f t="shared" si="2"/>
        <v>302913</v>
      </c>
      <c r="AF16" s="61">
        <f>SUM(AF11:AF15)</f>
        <v>0</v>
      </c>
      <c r="AG16" s="39">
        <f>SUM(AG11:AG15)</f>
        <v>12211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-40133735</v>
      </c>
      <c r="E19" s="38">
        <f t="shared" si="3"/>
        <v>-74273141.160000011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-41361981</v>
      </c>
      <c r="I19" s="38">
        <f>'TX-EGM-GL'!I19+'TX-HPL-GL '!I19</f>
        <v>-76269436.260000005</v>
      </c>
      <c r="J19" s="60">
        <f>'TX-EGM-GL'!J19+'TX-HPL-GL '!J19</f>
        <v>828499</v>
      </c>
      <c r="K19" s="38">
        <f>'TX-EGM-GL'!K19+'TX-HPL-GL '!K19</f>
        <v>1328713.31</v>
      </c>
      <c r="L19" s="60">
        <f>'TX-EGM-GL'!L19+'TX-HPL-GL '!L19</f>
        <v>-447220</v>
      </c>
      <c r="M19" s="38">
        <f>'TX-EGM-GL'!M19+'TX-HPL-GL '!M19</f>
        <v>-865214.98</v>
      </c>
      <c r="N19" s="60">
        <f>'TX-EGM-GL'!N19+'TX-HPL-GL '!N19</f>
        <v>949728</v>
      </c>
      <c r="O19" s="38">
        <f>'TX-EGM-GL'!O19+'TX-HPL-GL '!O19</f>
        <v>1722456.81</v>
      </c>
      <c r="P19" s="60">
        <f>'TX-EGM-GL'!P19+'TX-HPL-GL '!P19</f>
        <v>-51461</v>
      </c>
      <c r="Q19" s="38">
        <f>'TX-EGM-GL'!Q19+'TX-HPL-GL '!Q19</f>
        <v>-77504.800000000003</v>
      </c>
      <c r="R19" s="60">
        <f>'TX-EGM-GL'!R19+'TX-HPL-GL '!R19</f>
        <v>17486</v>
      </c>
      <c r="S19" s="38">
        <f>'TX-EGM-GL'!S19+'TX-HPL-GL '!S19</f>
        <v>46991.040000000001</v>
      </c>
      <c r="T19" s="60">
        <f>'TX-EGM-GL'!T19+'TX-HPL-GL '!T19</f>
        <v>-47993</v>
      </c>
      <c r="U19" s="38">
        <f>'TX-EGM-GL'!U19+'TX-HPL-GL '!U19</f>
        <v>-122433.93</v>
      </c>
      <c r="V19" s="60">
        <f>'TX-EGM-GL'!V19+'TX-HPL-GL '!V19</f>
        <v>-28619</v>
      </c>
      <c r="W19" s="38">
        <f>'TX-EGM-GL'!W19+'TX-HPL-GL '!W19</f>
        <v>-52229.68</v>
      </c>
      <c r="X19" s="60">
        <f>'TX-EGM-GL'!X19+'TX-HPL-GL '!X19</f>
        <v>0</v>
      </c>
      <c r="Y19" s="38">
        <f>'TX-EGM-GL'!Y19+'TX-HPL-GL '!Y19</f>
        <v>10.86</v>
      </c>
      <c r="Z19" s="60">
        <f>'TX-EGM-GL'!Z19+'TX-HPL-GL '!Z19</f>
        <v>0</v>
      </c>
      <c r="AA19" s="38">
        <f>'TX-EGM-GL'!AA19+'TX-HPL-GL '!AA19</f>
        <v>0</v>
      </c>
      <c r="AB19" s="60">
        <f>'TX-EGM-GL'!AB19+'TX-HPL-GL '!AB19</f>
        <v>5067</v>
      </c>
      <c r="AC19" s="38">
        <f>'TX-EGM-GL'!AC19+'TX-HPL-GL '!AC19</f>
        <v>9409.08</v>
      </c>
      <c r="AD19" s="60">
        <f>'TX-EGM-GL'!AD19+'TX-HPL-GL '!AD19</f>
        <v>2759</v>
      </c>
      <c r="AE19" s="38">
        <f>'TX-EGM-GL'!AE19+'TX-HPL-GL '!AE19</f>
        <v>6097.39</v>
      </c>
      <c r="AF19" s="60">
        <f>'TX-EGM-GL'!AF19+'TX-HPL-GL '!AF19</f>
        <v>0</v>
      </c>
      <c r="AG19" s="38">
        <f>'TX-EGM-GL'!AG19+'TX-HPL-GL '!AG19</f>
        <v>0</v>
      </c>
      <c r="AH19" s="60">
        <f>'TX-EGM-GL'!AT19+'TX-HPL-GL '!AT19</f>
        <v>0</v>
      </c>
      <c r="AI19" s="38">
        <f>'TX-EGM-GL'!AU19+'TX-HPL-GL '!AU19</f>
        <v>0</v>
      </c>
      <c r="AJ19" s="60">
        <f>'TX-EGM-GL'!AV19+'TX-HPL-GL '!AV19</f>
        <v>0</v>
      </c>
      <c r="AK19" s="38">
        <f>'TX-EGM-GL'!AW19+'TX-HPL-GL '!AW19</f>
        <v>0</v>
      </c>
      <c r="AL19" s="60">
        <f>'TX-EGM-GL'!AX19+'TX-HPL-GL '!AX19</f>
        <v>0</v>
      </c>
      <c r="AM19" s="38">
        <f>'TX-EGM-GL'!AY19+'TX-HPL-GL '!AY19</f>
        <v>0</v>
      </c>
      <c r="AN19" s="60">
        <f>'TX-EGM-GL'!AZ19+'TX-HPL-GL '!AZ19</f>
        <v>0</v>
      </c>
      <c r="AO19" s="38">
        <f>'TX-EGM-GL'!BA19+'TX-HPL-GL '!BA19</f>
        <v>0</v>
      </c>
      <c r="AP19" s="60">
        <f>'TX-EGM-GL'!BB19+'TX-HPL-GL '!BB19</f>
        <v>0</v>
      </c>
      <c r="AQ19" s="38">
        <f>'TX-EGM-GL'!BC19+'TX-HPL-GL '!BC19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251199.11</v>
      </c>
      <c r="F20" s="60">
        <f>('TIE-OUT'!P20+'TIE-OUT'!R20)+(RECLASS!P20+RECLASS!R20)</f>
        <v>0</v>
      </c>
      <c r="G20" s="38">
        <f>('TIE-OUT'!Q20+'TIE-OUT'!S20)+(RECLASS!Q20+RECLASS!S20)</f>
        <v>251199.11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'TX-EGM-GL'!AF20+'TX-HPL-GL '!AF20</f>
        <v>0</v>
      </c>
      <c r="AG20" s="38">
        <f>'TX-EGM-GL'!AG20+'TX-HPL-GL '!AG20</f>
        <v>0</v>
      </c>
      <c r="AH20" s="60">
        <f>'TX-EGM-GL'!AT20+'TX-HPL-GL '!AT20</f>
        <v>0</v>
      </c>
      <c r="AI20" s="38">
        <f>'TX-EGM-GL'!AU20+'TX-HPL-GL '!AU20</f>
        <v>0</v>
      </c>
      <c r="AJ20" s="60">
        <f>'TX-EGM-GL'!AV20+'TX-HPL-GL '!AV20</f>
        <v>0</v>
      </c>
      <c r="AK20" s="38">
        <f>'TX-EGM-GL'!AW20+'TX-HPL-GL '!AW20</f>
        <v>0</v>
      </c>
      <c r="AL20" s="60">
        <f>'TX-EGM-GL'!AX20+'TX-HPL-GL '!AX20</f>
        <v>0</v>
      </c>
      <c r="AM20" s="38">
        <f>'TX-EGM-GL'!AY20+'TX-HPL-GL '!AY20</f>
        <v>0</v>
      </c>
      <c r="AN20" s="60">
        <f>'TX-EGM-GL'!AZ20+'TX-HPL-GL '!AZ20</f>
        <v>0</v>
      </c>
      <c r="AO20" s="38">
        <f>'TX-EGM-GL'!BA20+'TX-HPL-GL '!BA20</f>
        <v>0</v>
      </c>
      <c r="AP20" s="60">
        <f>'TX-EGM-GL'!BB20+'TX-HPL-GL '!BB20</f>
        <v>0</v>
      </c>
      <c r="AQ20" s="38">
        <f>'TX-EGM-GL'!BC20+'TX-HPL-GL '!BC20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-33619372</v>
      </c>
      <c r="E21" s="38">
        <f t="shared" si="3"/>
        <v>-70421291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-33619372</v>
      </c>
      <c r="I21" s="38">
        <f>'TX-EGM-GL'!I21+'TX-HPL-GL '!I21</f>
        <v>-70421291</v>
      </c>
      <c r="J21" s="60">
        <f>'TX-EGM-GL'!J21+'TX-HPL-GL '!J21</f>
        <v>1014315</v>
      </c>
      <c r="K21" s="38">
        <f>'TX-EGM-GL'!K21+'TX-HPL-GL '!K21</f>
        <v>1808390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-1019</v>
      </c>
      <c r="Q21" s="38">
        <f>'TX-EGM-GL'!Q21+'TX-HPL-GL '!Q21</f>
        <v>-4794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-110711</v>
      </c>
      <c r="U21" s="38">
        <f>'TX-EGM-GL'!U21+'TX-HPL-GL '!U21</f>
        <v>-227267</v>
      </c>
      <c r="V21" s="60">
        <f>'TX-EGM-GL'!V21+'TX-HPL-GL '!V21</f>
        <v>-110711</v>
      </c>
      <c r="W21" s="38">
        <f>'TX-EGM-GL'!W21+'TX-HPL-GL '!W21</f>
        <v>-227267</v>
      </c>
      <c r="X21" s="60">
        <f>'TX-EGM-GL'!X21+'TX-HPL-GL '!X21</f>
        <v>-791874</v>
      </c>
      <c r="Y21" s="38">
        <f>'TX-EGM-GL'!Y21+'TX-HPL-GL '!Y21</f>
        <v>-1349062</v>
      </c>
      <c r="Z21" s="60">
        <f>'TX-EGM-GL'!Z21+'TX-HPL-GL '!Z21</f>
        <v>791874</v>
      </c>
      <c r="AA21" s="38">
        <f>'TX-EGM-GL'!AA21+'TX-HPL-GL '!AA21</f>
        <v>1349062</v>
      </c>
      <c r="AB21" s="60">
        <f>'TX-EGM-GL'!AB21+'TX-HPL-GL '!AB21</f>
        <v>0</v>
      </c>
      <c r="AC21" s="38">
        <f>'TX-EGM-GL'!AC21+'TX-HPL-GL '!AC21</f>
        <v>0</v>
      </c>
      <c r="AD21" s="60">
        <f>'TX-EGM-GL'!AD21+'TX-HPL-GL '!AD21</f>
        <v>-791874</v>
      </c>
      <c r="AE21" s="38">
        <f>'TX-EGM-GL'!AE21+'TX-HPL-GL '!AE21</f>
        <v>-1349062</v>
      </c>
      <c r="AF21" s="60">
        <f>'TX-EGM-GL'!AF21+'TX-HPL-GL '!AF21</f>
        <v>0</v>
      </c>
      <c r="AG21" s="38">
        <f>'TX-EGM-GL'!AG21+'TX-HPL-GL '!AG21</f>
        <v>0</v>
      </c>
      <c r="AH21" s="60">
        <f>'TX-EGM-GL'!AT21+'TX-HPL-GL '!AT21</f>
        <v>0</v>
      </c>
      <c r="AI21" s="38">
        <f>'TX-EGM-GL'!AU21+'TX-HPL-GL '!AU21</f>
        <v>0</v>
      </c>
      <c r="AJ21" s="60">
        <f>'TX-EGM-GL'!AV21+'TX-HPL-GL '!AV21</f>
        <v>0</v>
      </c>
      <c r="AK21" s="38">
        <f>'TX-EGM-GL'!AW21+'TX-HPL-GL '!AW21</f>
        <v>0</v>
      </c>
      <c r="AL21" s="60">
        <f>'TX-EGM-GL'!AX21+'TX-HPL-GL '!AX21</f>
        <v>0</v>
      </c>
      <c r="AM21" s="38">
        <f>'TX-EGM-GL'!AY21+'TX-HPL-GL '!AY21</f>
        <v>0</v>
      </c>
      <c r="AN21" s="60">
        <f>'TX-EGM-GL'!AZ21+'TX-HPL-GL '!AZ21</f>
        <v>0</v>
      </c>
      <c r="AO21" s="38">
        <f>'TX-EGM-GL'!BA21+'TX-HPL-GL '!BA21</f>
        <v>0</v>
      </c>
      <c r="AP21" s="60">
        <f>'TX-EGM-GL'!BB21+'TX-HPL-GL '!BB21</f>
        <v>0</v>
      </c>
      <c r="AQ21" s="38">
        <f>'TX-EGM-GL'!BC21+'TX-HPL-GL '!BC21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'TX-EGM-GL'!AF22+'TX-HPL-GL '!AF22</f>
        <v>0</v>
      </c>
      <c r="AG22" s="38">
        <f>'TX-EGM-GL'!AG22+'TX-HPL-GL '!AG22</f>
        <v>0</v>
      </c>
      <c r="AH22" s="60">
        <f>'TX-EGM-GL'!AT22+'TX-HPL-GL '!AT22</f>
        <v>0</v>
      </c>
      <c r="AI22" s="38">
        <f>'TX-EGM-GL'!AU22+'TX-HPL-GL '!AU22</f>
        <v>0</v>
      </c>
      <c r="AJ22" s="60">
        <f>'TX-EGM-GL'!AV22+'TX-HPL-GL '!AV22</f>
        <v>0</v>
      </c>
      <c r="AK22" s="38">
        <f>'TX-EGM-GL'!AW22+'TX-HPL-GL '!AW22</f>
        <v>0</v>
      </c>
      <c r="AL22" s="60">
        <f>'TX-EGM-GL'!AX22+'TX-HPL-GL '!AX22</f>
        <v>0</v>
      </c>
      <c r="AM22" s="38">
        <f>'TX-EGM-GL'!AY22+'TX-HPL-GL '!AY22</f>
        <v>0</v>
      </c>
      <c r="AN22" s="60">
        <f>'TX-EGM-GL'!AZ22+'TX-HPL-GL '!AZ22</f>
        <v>0</v>
      </c>
      <c r="AO22" s="38">
        <f>'TX-EGM-GL'!BA22+'TX-HPL-GL '!BA22</f>
        <v>0</v>
      </c>
      <c r="AP22" s="60">
        <f>'TX-EGM-GL'!BB22+'TX-HPL-GL '!BB22</f>
        <v>0</v>
      </c>
      <c r="AQ22" s="38">
        <f>'TX-EGM-GL'!BC22+'TX-HPL-GL '!BC22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5738</v>
      </c>
      <c r="E23" s="38">
        <f t="shared" si="3"/>
        <v>10431.678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3100</v>
      </c>
      <c r="I23" s="38">
        <f>'TX-EGM-GL'!I23+'TX-HPL-GL '!I23</f>
        <v>5635.8</v>
      </c>
      <c r="J23" s="60">
        <f>'TX-EGM-GL'!J23+'TX-HPL-GL '!J23</f>
        <v>2619</v>
      </c>
      <c r="K23" s="38">
        <f>'TX-EGM-GL'!K23+'TX-HPL-GL '!K23</f>
        <v>4761.34</v>
      </c>
      <c r="L23" s="60">
        <f>'TX-EGM-GL'!L23+'TX-HPL-GL '!L23</f>
        <v>5123</v>
      </c>
      <c r="M23" s="38">
        <f>'TX-EGM-GL'!M23+'TX-HPL-GL '!M23</f>
        <v>9313.61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-5104</v>
      </c>
      <c r="S23" s="38">
        <f>'TX-EGM-GL'!S23+'TX-HPL-GL '!S23</f>
        <v>-9279.0720000000001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'TX-EGM-GL'!AF23+'TX-HPL-GL '!AF23</f>
        <v>0</v>
      </c>
      <c r="AG23" s="38">
        <f>'TX-EGM-GL'!AG23+'TX-HPL-GL '!AG23</f>
        <v>0</v>
      </c>
      <c r="AH23" s="60">
        <f>'TX-EGM-GL'!AT23+'TX-HPL-GL '!AT23</f>
        <v>0</v>
      </c>
      <c r="AI23" s="38">
        <f>'TX-EGM-GL'!AU23+'TX-HPL-GL '!AU23</f>
        <v>0</v>
      </c>
      <c r="AJ23" s="60">
        <f>'TX-EGM-GL'!AV23+'TX-HPL-GL '!AV23</f>
        <v>0</v>
      </c>
      <c r="AK23" s="38">
        <f>'TX-EGM-GL'!AW23+'TX-HPL-GL '!AW23</f>
        <v>0</v>
      </c>
      <c r="AL23" s="60">
        <f>'TX-EGM-GL'!AX23+'TX-HPL-GL '!AX23</f>
        <v>0</v>
      </c>
      <c r="AM23" s="38">
        <f>'TX-EGM-GL'!AY23+'TX-HPL-GL '!AY23</f>
        <v>0</v>
      </c>
      <c r="AN23" s="60">
        <f>'TX-EGM-GL'!AZ23+'TX-HPL-GL '!AZ23</f>
        <v>0</v>
      </c>
      <c r="AO23" s="38">
        <f>'TX-EGM-GL'!BA23+'TX-HPL-GL '!BA23</f>
        <v>0</v>
      </c>
      <c r="AP23" s="60">
        <f>'TX-EGM-GL'!BB23+'TX-HPL-GL '!BB23</f>
        <v>0</v>
      </c>
      <c r="AQ23" s="38">
        <f>'TX-EGM-GL'!BC23+'TX-HPL-GL '!BC23</f>
        <v>0</v>
      </c>
    </row>
    <row r="24" spans="1:43" x14ac:dyDescent="0.2">
      <c r="A24" s="9"/>
      <c r="B24" s="7" t="s">
        <v>35</v>
      </c>
      <c r="C24" s="6"/>
      <c r="D24" s="61">
        <f>SUM(D19:D23)</f>
        <v>-73747369</v>
      </c>
      <c r="E24" s="39">
        <f>SUM(E19:E23)</f>
        <v>-144432801.37200001</v>
      </c>
      <c r="F24" s="61">
        <f t="shared" ref="F24:Z24" si="4">SUM(F19:F23)</f>
        <v>0</v>
      </c>
      <c r="G24" s="39">
        <f t="shared" si="4"/>
        <v>251199.11</v>
      </c>
      <c r="H24" s="61">
        <f t="shared" si="4"/>
        <v>-74978253</v>
      </c>
      <c r="I24" s="39">
        <f t="shared" si="4"/>
        <v>-146685091.45999998</v>
      </c>
      <c r="J24" s="61">
        <f t="shared" si="4"/>
        <v>1845433</v>
      </c>
      <c r="K24" s="39">
        <f t="shared" si="4"/>
        <v>3141864.65</v>
      </c>
      <c r="L24" s="61">
        <f t="shared" si="4"/>
        <v>-442097</v>
      </c>
      <c r="M24" s="39">
        <f t="shared" si="4"/>
        <v>-855901.37</v>
      </c>
      <c r="N24" s="61">
        <f t="shared" si="4"/>
        <v>949728</v>
      </c>
      <c r="O24" s="39">
        <f t="shared" si="4"/>
        <v>1722456.81</v>
      </c>
      <c r="P24" s="61">
        <f t="shared" si="4"/>
        <v>-52480</v>
      </c>
      <c r="Q24" s="39">
        <f t="shared" si="4"/>
        <v>-82298.8</v>
      </c>
      <c r="R24" s="61">
        <f t="shared" si="4"/>
        <v>12382</v>
      </c>
      <c r="S24" s="39">
        <f t="shared" si="4"/>
        <v>37711.968000000001</v>
      </c>
      <c r="T24" s="61">
        <f t="shared" si="4"/>
        <v>-158704</v>
      </c>
      <c r="U24" s="39">
        <f>SUM(U19:U23)</f>
        <v>-349700.93</v>
      </c>
      <c r="V24" s="61">
        <f t="shared" si="4"/>
        <v>-139330</v>
      </c>
      <c r="W24" s="39">
        <f>SUM(W19:W23)</f>
        <v>-279496.68</v>
      </c>
      <c r="X24" s="61">
        <f t="shared" si="4"/>
        <v>-791874</v>
      </c>
      <c r="Y24" s="39">
        <f>SUM(Y19:Y23)</f>
        <v>-1349051.14</v>
      </c>
      <c r="Z24" s="61">
        <f t="shared" si="4"/>
        <v>791874</v>
      </c>
      <c r="AA24" s="39">
        <f t="shared" ref="AA24:AQ24" si="5">SUM(AA19:AA23)</f>
        <v>1349062</v>
      </c>
      <c r="AB24" s="61">
        <f t="shared" si="5"/>
        <v>5067</v>
      </c>
      <c r="AC24" s="39">
        <f t="shared" si="5"/>
        <v>9409.08</v>
      </c>
      <c r="AD24" s="61">
        <f t="shared" si="5"/>
        <v>-789115</v>
      </c>
      <c r="AE24" s="39">
        <f t="shared" si="5"/>
        <v>-1342964.61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574870</v>
      </c>
      <c r="E27" s="38">
        <f>SUM(G27,I27,K27,M27,O27,Q27,S27,U27,W27,Y27,AA27,AC27,AE27,AG27)</f>
        <v>1065288.8798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276329</v>
      </c>
      <c r="I27" s="38">
        <f>'TX-EGM-GL'!I27+'TX-HPL-GL '!I27</f>
        <v>513972.33999999997</v>
      </c>
      <c r="J27" s="60">
        <f>'TX-EGM-GL'!J27+'TX-HPL-GL '!J27</f>
        <v>-18625</v>
      </c>
      <c r="K27" s="38">
        <f>'TX-EGM-GL'!K27+'TX-HPL-GL '!K27</f>
        <v>-26850.850999999991</v>
      </c>
      <c r="L27" s="60">
        <f>'TX-EGM-GL'!L27+'TX-HPL-GL '!L27</f>
        <v>129879</v>
      </c>
      <c r="M27" s="38">
        <f>'TX-EGM-GL'!M27+'TX-HPL-GL '!M27</f>
        <v>230062.61500000002</v>
      </c>
      <c r="N27" s="60">
        <f>'TX-EGM-GL'!N27+'TX-HPL-GL '!N27</f>
        <v>159963</v>
      </c>
      <c r="O27" s="38">
        <f>'TX-EGM-GL'!O27+'TX-HPL-GL '!O27</f>
        <v>297564.38</v>
      </c>
      <c r="P27" s="60">
        <f>'TX-EGM-GL'!P27+'TX-HPL-GL '!P27</f>
        <v>-163536</v>
      </c>
      <c r="Q27" s="38">
        <f>'TX-EGM-GL'!Q27+'TX-HPL-GL '!Q27</f>
        <v>-304737.86320000002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0</v>
      </c>
      <c r="U27" s="38">
        <f>'TX-EGM-GL'!U27+'TX-HPL-GL '!U27</f>
        <v>0</v>
      </c>
      <c r="V27" s="60">
        <f>'TX-EGM-GL'!V27+'TX-HPL-GL '!V27</f>
        <v>189296</v>
      </c>
      <c r="W27" s="38">
        <f>'TX-EGM-GL'!W27+'TX-HPL-GL '!W27</f>
        <v>352090.56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1564</v>
      </c>
      <c r="AE27" s="38">
        <f>'TX-EGM-GL'!AE27+'TX-HPL-GL '!AE27</f>
        <v>3187.6989999999996</v>
      </c>
      <c r="AF27" s="60">
        <f>'TX-EGM-GL'!AF27+'TX-HPL-GL '!AF27</f>
        <v>0</v>
      </c>
      <c r="AG27" s="38">
        <f>'TX-EGM-GL'!AG27+'TX-HPL-GL '!AG27</f>
        <v>0</v>
      </c>
      <c r="AH27" s="60">
        <f>'TX-EGM-GL'!AT27+'TX-HPL-GL '!AT27</f>
        <v>0</v>
      </c>
      <c r="AI27" s="38">
        <f>'TX-EGM-GL'!AU27+'TX-HPL-GL '!AU27</f>
        <v>0</v>
      </c>
      <c r="AJ27" s="60">
        <f>'TX-EGM-GL'!AV27+'TX-HPL-GL '!AV27</f>
        <v>0</v>
      </c>
      <c r="AK27" s="38">
        <f>'TX-EGM-GL'!AW27+'TX-HPL-GL '!AW27</f>
        <v>0</v>
      </c>
      <c r="AL27" s="60">
        <f>'TX-EGM-GL'!AX27+'TX-HPL-GL '!AX27</f>
        <v>0</v>
      </c>
      <c r="AM27" s="38">
        <f>'TX-EGM-GL'!AY27+'TX-HPL-GL '!AY27</f>
        <v>0</v>
      </c>
      <c r="AN27" s="60">
        <f>'TX-EGM-GL'!AZ27+'TX-HPL-GL '!AZ27</f>
        <v>0</v>
      </c>
      <c r="AO27" s="38">
        <f>'TX-EGM-GL'!BA27+'TX-HPL-GL '!BA27</f>
        <v>0</v>
      </c>
      <c r="AP27" s="60">
        <f>'TX-EGM-GL'!BB27+'TX-HPL-GL '!BB27</f>
        <v>0</v>
      </c>
      <c r="AQ27" s="38">
        <f>'TX-EGM-GL'!BC27+'TX-HPL-GL '!BC27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-13503344</v>
      </c>
      <c r="E28" s="38">
        <f>SUM(G28,I28,K28,M28,O28,Q28,S28,U28,W28,Y28,AA28,AC28,AE28,AG28)</f>
        <v>-25161817.240000006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-13478498</v>
      </c>
      <c r="I28" s="38">
        <f>'TX-EGM-GL'!I28+'TX-HPL-GL '!I28</f>
        <v>-25132553.120000001</v>
      </c>
      <c r="J28" s="60">
        <f>'TX-EGM-GL'!J28+'TX-HPL-GL '!J28</f>
        <v>-89726</v>
      </c>
      <c r="K28" s="38">
        <f>'TX-EGM-GL'!K28+'TX-HPL-GL '!K28</f>
        <v>-149019.28</v>
      </c>
      <c r="L28" s="60">
        <f>'TX-EGM-GL'!L28+'TX-HPL-GL '!L28</f>
        <v>62119</v>
      </c>
      <c r="M28" s="38">
        <f>'TX-EGM-GL'!M28+'TX-HPL-GL '!M28</f>
        <v>114619.7</v>
      </c>
      <c r="N28" s="60">
        <f>'TX-EGM-GL'!N28+'TX-HPL-GL '!N28</f>
        <v>-638955</v>
      </c>
      <c r="O28" s="38">
        <f>'TX-EGM-GL'!O28+'TX-HPL-GL '!O28</f>
        <v>1730.1</v>
      </c>
      <c r="P28" s="60">
        <f>'TX-EGM-GL'!P28+'TX-HPL-GL '!P28</f>
        <v>638955</v>
      </c>
      <c r="Q28" s="38">
        <f>'TX-EGM-GL'!Q28+'TX-HPL-GL '!Q28</f>
        <v>-1730.1</v>
      </c>
      <c r="R28" s="60">
        <f>'TX-EGM-GL'!R28+'TX-HPL-GL '!R28</f>
        <v>0</v>
      </c>
      <c r="S28" s="38">
        <f>'TX-EGM-GL'!S28+'TX-HPL-GL '!S28</f>
        <v>0</v>
      </c>
      <c r="T28" s="60">
        <f>'TX-EGM-GL'!T28+'TX-HPL-GL '!T28</f>
        <v>2</v>
      </c>
      <c r="U28" s="38">
        <f>'TX-EGM-GL'!U28+'TX-HPL-GL '!U28</f>
        <v>3.72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  <c r="AF28" s="60">
        <f>'TX-EGM-GL'!AF28+'TX-HPL-GL '!AF28</f>
        <v>2759</v>
      </c>
      <c r="AG28" s="38">
        <f>'TX-EGM-GL'!AG28+'TX-HPL-GL '!AG28</f>
        <v>5131.74</v>
      </c>
      <c r="AH28" s="60">
        <f>'TX-EGM-GL'!AT28+'TX-HPL-GL '!AT28</f>
        <v>0</v>
      </c>
      <c r="AI28" s="38">
        <f>'TX-EGM-GL'!AU28+'TX-HPL-GL '!AU28</f>
        <v>0</v>
      </c>
      <c r="AJ28" s="60">
        <f>'TX-EGM-GL'!AV28+'TX-HPL-GL '!AV28</f>
        <v>0</v>
      </c>
      <c r="AK28" s="38">
        <f>'TX-EGM-GL'!AW28+'TX-HPL-GL '!AW28</f>
        <v>0</v>
      </c>
      <c r="AL28" s="60">
        <f>'TX-EGM-GL'!AX28+'TX-HPL-GL '!AX28</f>
        <v>0</v>
      </c>
      <c r="AM28" s="38">
        <f>'TX-EGM-GL'!AY28+'TX-HPL-GL '!AY28</f>
        <v>0</v>
      </c>
      <c r="AN28" s="60">
        <f>'TX-EGM-GL'!AZ28+'TX-HPL-GL '!AZ28</f>
        <v>0</v>
      </c>
      <c r="AO28" s="38">
        <f>'TX-EGM-GL'!BA28+'TX-HPL-GL '!BA28</f>
        <v>0</v>
      </c>
      <c r="AP28" s="60">
        <f>'TX-EGM-GL'!BB28+'TX-HPL-GL '!BB28</f>
        <v>0</v>
      </c>
      <c r="AQ28" s="38">
        <f>'TX-EGM-GL'!BC28+'TX-HPL-GL '!BC28</f>
        <v>0</v>
      </c>
    </row>
    <row r="29" spans="1:43" x14ac:dyDescent="0.2">
      <c r="A29" s="9"/>
      <c r="B29" s="7" t="s">
        <v>39</v>
      </c>
      <c r="C29" s="18"/>
      <c r="D29" s="61">
        <f>SUM(D27:D28)</f>
        <v>-12928474</v>
      </c>
      <c r="E29" s="39">
        <f>SUM(E27:E28)</f>
        <v>-24096528.360200007</v>
      </c>
      <c r="F29" s="61">
        <f t="shared" ref="F29:Z29" si="6">SUM(F27:F28)</f>
        <v>0</v>
      </c>
      <c r="G29" s="39">
        <f t="shared" si="6"/>
        <v>0</v>
      </c>
      <c r="H29" s="61">
        <f t="shared" si="6"/>
        <v>-13202169</v>
      </c>
      <c r="I29" s="39">
        <f t="shared" si="6"/>
        <v>-24618580.780000001</v>
      </c>
      <c r="J29" s="61">
        <f t="shared" si="6"/>
        <v>-108351</v>
      </c>
      <c r="K29" s="39">
        <f t="shared" si="6"/>
        <v>-175870.13099999999</v>
      </c>
      <c r="L29" s="61">
        <f t="shared" si="6"/>
        <v>191998</v>
      </c>
      <c r="M29" s="39">
        <f t="shared" si="6"/>
        <v>344682.315</v>
      </c>
      <c r="N29" s="61">
        <f t="shared" si="6"/>
        <v>-478992</v>
      </c>
      <c r="O29" s="39">
        <f t="shared" si="6"/>
        <v>299294.48</v>
      </c>
      <c r="P29" s="61">
        <f t="shared" si="6"/>
        <v>475419</v>
      </c>
      <c r="Q29" s="39">
        <f t="shared" si="6"/>
        <v>-306467.9632</v>
      </c>
      <c r="R29" s="61">
        <f t="shared" si="6"/>
        <v>0</v>
      </c>
      <c r="S29" s="39">
        <f t="shared" si="6"/>
        <v>0</v>
      </c>
      <c r="T29" s="61">
        <f t="shared" si="6"/>
        <v>2</v>
      </c>
      <c r="U29" s="39">
        <f>SUM(U27:U28)</f>
        <v>3.72</v>
      </c>
      <c r="V29" s="61">
        <f t="shared" si="6"/>
        <v>189296</v>
      </c>
      <c r="W29" s="39">
        <f>SUM(W27:W28)</f>
        <v>352090.56</v>
      </c>
      <c r="X29" s="61">
        <f t="shared" si="6"/>
        <v>0</v>
      </c>
      <c r="Y29" s="39">
        <f>SUM(Y27:Y28)</f>
        <v>0</v>
      </c>
      <c r="Z29" s="61">
        <f t="shared" si="6"/>
        <v>0</v>
      </c>
      <c r="AA29" s="39">
        <f t="shared" ref="AA29:AQ29" si="7">SUM(AA27:AA28)</f>
        <v>0</v>
      </c>
      <c r="AB29" s="61">
        <f t="shared" si="7"/>
        <v>0</v>
      </c>
      <c r="AC29" s="39">
        <f t="shared" si="7"/>
        <v>0</v>
      </c>
      <c r="AD29" s="61">
        <f t="shared" si="7"/>
        <v>1564</v>
      </c>
      <c r="AE29" s="39">
        <f t="shared" si="7"/>
        <v>3187.6989999999996</v>
      </c>
      <c r="AF29" s="61">
        <f>SUM(AF27:AF28)</f>
        <v>2759</v>
      </c>
      <c r="AG29" s="39">
        <f>SUM(AG27:AG28)</f>
        <v>5131.74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-121367</v>
      </c>
      <c r="E32" s="38">
        <f t="shared" si="8"/>
        <v>-220645.96499999994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-238232</v>
      </c>
      <c r="I32" s="38">
        <f>'TX-EGM-GL'!I32+'TX-HPL-GL '!I32</f>
        <v>-433105.78</v>
      </c>
      <c r="J32" s="60">
        <f>'TX-EGM-GL'!J32+'TX-HPL-GL '!J32</f>
        <v>687273</v>
      </c>
      <c r="K32" s="38">
        <f>'TX-EGM-GL'!K32+'TX-HPL-GL '!K32</f>
        <v>1249462.32</v>
      </c>
      <c r="L32" s="60">
        <f>'TX-EGM-GL'!L32+'TX-HPL-GL '!L32</f>
        <v>-543219</v>
      </c>
      <c r="M32" s="38">
        <f>'TX-EGM-GL'!M32+'TX-HPL-GL '!M32</f>
        <v>-1028868.48</v>
      </c>
      <c r="N32" s="60">
        <f>'TX-EGM-GL'!N32+'TX-HPL-GL '!N32</f>
        <v>-13024</v>
      </c>
      <c r="O32" s="38">
        <f>'TX-EGM-GL'!O32+'TX-HPL-GL '!O32</f>
        <v>-22194.277999999998</v>
      </c>
      <c r="P32" s="60">
        <f>'TX-EGM-GL'!P32+'TX-HPL-GL '!P32</f>
        <v>-804720</v>
      </c>
      <c r="Q32" s="38">
        <f>'TX-EGM-GL'!Q32+'TX-HPL-GL '!Q32</f>
        <v>-2720366.2340000002</v>
      </c>
      <c r="R32" s="60">
        <f>'TX-EGM-GL'!R32+'TX-HPL-GL '!R32</f>
        <v>814351</v>
      </c>
      <c r="S32" s="38">
        <f>'TX-EGM-GL'!S32+'TX-HPL-GL '!S32</f>
        <v>2712774.6</v>
      </c>
      <c r="T32" s="60">
        <f>'TX-EGM-GL'!T32+'TX-HPL-GL '!T32</f>
        <v>-37862</v>
      </c>
      <c r="U32" s="38">
        <f>'TX-EGM-GL'!U32+'TX-HPL-GL '!U32</f>
        <v>-83055.820000000007</v>
      </c>
      <c r="V32" s="60">
        <f>'TX-EGM-GL'!V32+'TX-HPL-GL '!V32</f>
        <v>146650</v>
      </c>
      <c r="W32" s="38">
        <f>'TX-EGM-GL'!W32+'TX-HPL-GL '!W32</f>
        <v>339757.065</v>
      </c>
      <c r="X32" s="60">
        <f>'TX-EGM-GL'!X32+'TX-HPL-GL '!X32</f>
        <v>0</v>
      </c>
      <c r="Y32" s="38">
        <f>'TX-EGM-GL'!Y32+'TX-HPL-GL '!Y32</f>
        <v>-4078.36</v>
      </c>
      <c r="Z32" s="60">
        <f>'TX-EGM-GL'!Z32+'TX-HPL-GL '!Z32</f>
        <v>-159000</v>
      </c>
      <c r="AA32" s="38">
        <f>'TX-EGM-GL'!AA32+'TX-HPL-GL '!AA32</f>
        <v>-289062</v>
      </c>
      <c r="AB32" s="60">
        <f>'TX-EGM-GL'!AB32+'TX-HPL-GL '!AB32</f>
        <v>27732</v>
      </c>
      <c r="AC32" s="38">
        <f>'TX-EGM-GL'!AC32+'TX-HPL-GL '!AC32</f>
        <v>60483.49</v>
      </c>
      <c r="AD32" s="60">
        <f>'TX-EGM-GL'!AD32+'TX-HPL-GL '!AD32</f>
        <v>3618</v>
      </c>
      <c r="AE32" s="38">
        <f>'TX-EGM-GL'!AE32+'TX-HPL-GL '!AE32</f>
        <v>6577.5240000000003</v>
      </c>
      <c r="AF32" s="60">
        <f>'TX-EGM-GL'!AF32+'TX-HPL-GL '!AF32</f>
        <v>-4934</v>
      </c>
      <c r="AG32" s="38">
        <f>'TX-EGM-GL'!AG32+'TX-HPL-GL '!AG32</f>
        <v>-8970.0120000000006</v>
      </c>
      <c r="AH32" s="60">
        <f>'TX-EGM-GL'!AT32+'TX-HPL-GL '!AT32</f>
        <v>0</v>
      </c>
      <c r="AI32" s="38">
        <f>'TX-EGM-GL'!AU32+'TX-HPL-GL '!AU32</f>
        <v>0</v>
      </c>
      <c r="AJ32" s="60">
        <f>'TX-EGM-GL'!AV32+'TX-HPL-GL '!AV32</f>
        <v>0</v>
      </c>
      <c r="AK32" s="38">
        <f>'TX-EGM-GL'!AW32+'TX-HPL-GL '!AW32</f>
        <v>0</v>
      </c>
      <c r="AL32" s="60">
        <f>'TX-EGM-GL'!AX32+'TX-HPL-GL '!AX32</f>
        <v>0</v>
      </c>
      <c r="AM32" s="38">
        <f>'TX-EGM-GL'!AY32+'TX-HPL-GL '!AY32</f>
        <v>0</v>
      </c>
      <c r="AN32" s="60">
        <f>'TX-EGM-GL'!AZ32+'TX-HPL-GL '!AZ32</f>
        <v>0</v>
      </c>
      <c r="AO32" s="38">
        <f>'TX-EGM-GL'!BA32+'TX-HPL-GL '!BA32</f>
        <v>0</v>
      </c>
      <c r="AP32" s="60">
        <f>'TX-EGM-GL'!BB32+'TX-HPL-GL '!BB32</f>
        <v>0</v>
      </c>
      <c r="AQ32" s="38">
        <f>'TX-EGM-GL'!BC32+'TX-HPL-GL '!BC32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'TX-EGM-GL'!AF33+'TX-HPL-GL '!AF33</f>
        <v>0</v>
      </c>
      <c r="AG33" s="38">
        <f>'TX-EGM-GL'!AG33+'TX-HPL-GL '!AG33</f>
        <v>0</v>
      </c>
      <c r="AH33" s="60">
        <f>'TX-EGM-GL'!AT33+'TX-HPL-GL '!AT33</f>
        <v>0</v>
      </c>
      <c r="AI33" s="38">
        <f>'TX-EGM-GL'!AU33+'TX-HPL-GL '!AU33</f>
        <v>0</v>
      </c>
      <c r="AJ33" s="60">
        <f>'TX-EGM-GL'!AV33+'TX-HPL-GL '!AV33</f>
        <v>0</v>
      </c>
      <c r="AK33" s="38">
        <f>'TX-EGM-GL'!AW33+'TX-HPL-GL '!AW33</f>
        <v>0</v>
      </c>
      <c r="AL33" s="60">
        <f>'TX-EGM-GL'!AX33+'TX-HPL-GL '!AX33</f>
        <v>0</v>
      </c>
      <c r="AM33" s="38">
        <f>'TX-EGM-GL'!AY33+'TX-HPL-GL '!AY33</f>
        <v>0</v>
      </c>
      <c r="AN33" s="60">
        <f>'TX-EGM-GL'!AZ33+'TX-HPL-GL '!AZ33</f>
        <v>0</v>
      </c>
      <c r="AO33" s="38">
        <f>'TX-EGM-GL'!BA33+'TX-HPL-GL '!BA33</f>
        <v>0</v>
      </c>
      <c r="AP33" s="60">
        <f>'TX-EGM-GL'!BB33+'TX-HPL-GL '!BB33</f>
        <v>0</v>
      </c>
      <c r="AQ33" s="38">
        <f>'TX-EGM-GL'!BC33+'TX-HPL-GL '!BC33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'TX-EGM-GL'!AF34+'TX-HPL-GL '!AF34</f>
        <v>0</v>
      </c>
      <c r="AG34" s="38">
        <f>'TX-EGM-GL'!AG34+'TX-HPL-GL '!AG34</f>
        <v>0</v>
      </c>
      <c r="AH34" s="60">
        <f>'TX-EGM-GL'!AT34+'TX-HPL-GL '!AT34</f>
        <v>0</v>
      </c>
      <c r="AI34" s="38">
        <f>'TX-EGM-GL'!AU34+'TX-HPL-GL '!AU34</f>
        <v>0</v>
      </c>
      <c r="AJ34" s="60">
        <f>'TX-EGM-GL'!AV34+'TX-HPL-GL '!AV34</f>
        <v>0</v>
      </c>
      <c r="AK34" s="38">
        <f>'TX-EGM-GL'!AW34+'TX-HPL-GL '!AW34</f>
        <v>0</v>
      </c>
      <c r="AL34" s="60">
        <f>'TX-EGM-GL'!AX34+'TX-HPL-GL '!AX34</f>
        <v>0</v>
      </c>
      <c r="AM34" s="38">
        <f>'TX-EGM-GL'!AY34+'TX-HPL-GL '!AY34</f>
        <v>0</v>
      </c>
      <c r="AN34" s="60">
        <f>'TX-EGM-GL'!AZ34+'TX-HPL-GL '!AZ34</f>
        <v>0</v>
      </c>
      <c r="AO34" s="38">
        <f>'TX-EGM-GL'!BA34+'TX-HPL-GL '!BA34</f>
        <v>0</v>
      </c>
      <c r="AP34" s="60">
        <f>'TX-EGM-GL'!BB34+'TX-HPL-GL '!BB34</f>
        <v>0</v>
      </c>
      <c r="AQ34" s="38">
        <f>'TX-EGM-GL'!BC34+'TX-HPL-GL '!BC34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'TX-EGM-GL'!AF35+'TX-HPL-GL '!AF35</f>
        <v>0</v>
      </c>
      <c r="AG35" s="38">
        <f>'TX-EGM-GL'!AG35+'TX-HPL-GL '!AG35</f>
        <v>0</v>
      </c>
      <c r="AH35" s="60">
        <f>'TX-EGM-GL'!AT35+'TX-HPL-GL '!AT35</f>
        <v>0</v>
      </c>
      <c r="AI35" s="38">
        <f>'TX-EGM-GL'!AU35+'TX-HPL-GL '!AU35</f>
        <v>0</v>
      </c>
      <c r="AJ35" s="60">
        <f>'TX-EGM-GL'!AV35+'TX-HPL-GL '!AV35</f>
        <v>0</v>
      </c>
      <c r="AK35" s="38">
        <f>'TX-EGM-GL'!AW35+'TX-HPL-GL '!AW35</f>
        <v>0</v>
      </c>
      <c r="AL35" s="60">
        <f>'TX-EGM-GL'!AX35+'TX-HPL-GL '!AX35</f>
        <v>0</v>
      </c>
      <c r="AM35" s="38">
        <f>'TX-EGM-GL'!AY35+'TX-HPL-GL '!AY35</f>
        <v>0</v>
      </c>
      <c r="AN35" s="60">
        <f>'TX-EGM-GL'!AZ35+'TX-HPL-GL '!AZ35</f>
        <v>0</v>
      </c>
      <c r="AO35" s="38">
        <f>'TX-EGM-GL'!BA35+'TX-HPL-GL '!BA35</f>
        <v>0</v>
      </c>
      <c r="AP35" s="60">
        <f>'TX-EGM-GL'!BB35+'TX-HPL-GL '!BB35</f>
        <v>0</v>
      </c>
      <c r="AQ35" s="38">
        <f>'TX-EGM-GL'!BC35+'TX-HPL-GL '!BC35</f>
        <v>0</v>
      </c>
    </row>
    <row r="36" spans="1:43" x14ac:dyDescent="0.2">
      <c r="A36" s="9"/>
      <c r="B36" s="7" t="s">
        <v>45</v>
      </c>
      <c r="C36" s="6"/>
      <c r="D36" s="61">
        <f>SUM(D32:D35)</f>
        <v>-121367</v>
      </c>
      <c r="E36" s="39">
        <f>SUM(E32:E35)</f>
        <v>-220645.96499999994</v>
      </c>
      <c r="F36" s="61">
        <f t="shared" ref="F36:Z36" si="9">SUM(F32:F35)</f>
        <v>0</v>
      </c>
      <c r="G36" s="39">
        <f t="shared" si="9"/>
        <v>0</v>
      </c>
      <c r="H36" s="61">
        <f t="shared" si="9"/>
        <v>-238232</v>
      </c>
      <c r="I36" s="39">
        <f t="shared" si="9"/>
        <v>-433105.78</v>
      </c>
      <c r="J36" s="61">
        <f t="shared" si="9"/>
        <v>687273</v>
      </c>
      <c r="K36" s="39">
        <f t="shared" si="9"/>
        <v>1249462.32</v>
      </c>
      <c r="L36" s="61">
        <f t="shared" si="9"/>
        <v>-543219</v>
      </c>
      <c r="M36" s="39">
        <f t="shared" si="9"/>
        <v>-1028868.48</v>
      </c>
      <c r="N36" s="61">
        <f t="shared" si="9"/>
        <v>-13024</v>
      </c>
      <c r="O36" s="39">
        <f t="shared" si="9"/>
        <v>-22194.277999999998</v>
      </c>
      <c r="P36" s="61">
        <f t="shared" si="9"/>
        <v>-804720</v>
      </c>
      <c r="Q36" s="39">
        <f t="shared" si="9"/>
        <v>-2720366.2340000002</v>
      </c>
      <c r="R36" s="61">
        <f t="shared" si="9"/>
        <v>814351</v>
      </c>
      <c r="S36" s="39">
        <f t="shared" si="9"/>
        <v>2712774.6</v>
      </c>
      <c r="T36" s="61">
        <f t="shared" si="9"/>
        <v>-37862</v>
      </c>
      <c r="U36" s="39">
        <f>SUM(U32:U35)</f>
        <v>-83055.820000000007</v>
      </c>
      <c r="V36" s="61">
        <f t="shared" si="9"/>
        <v>146650</v>
      </c>
      <c r="W36" s="39">
        <f>SUM(W32:W35)</f>
        <v>339757.065</v>
      </c>
      <c r="X36" s="61">
        <f t="shared" si="9"/>
        <v>0</v>
      </c>
      <c r="Y36" s="39">
        <f>SUM(Y32:Y35)</f>
        <v>-4078.36</v>
      </c>
      <c r="Z36" s="61">
        <f t="shared" si="9"/>
        <v>-159000</v>
      </c>
      <c r="AA36" s="39">
        <f t="shared" ref="AA36:AQ36" si="10">SUM(AA32:AA35)</f>
        <v>-289062</v>
      </c>
      <c r="AB36" s="61">
        <f t="shared" si="10"/>
        <v>27732</v>
      </c>
      <c r="AC36" s="39">
        <f t="shared" si="10"/>
        <v>60483.49</v>
      </c>
      <c r="AD36" s="61">
        <f t="shared" si="10"/>
        <v>3618</v>
      </c>
      <c r="AE36" s="39">
        <f t="shared" si="10"/>
        <v>6577.5240000000003</v>
      </c>
      <c r="AF36" s="61">
        <f>SUM(AF32:AF35)</f>
        <v>-4934</v>
      </c>
      <c r="AG36" s="39">
        <f>SUM(AG32:AG35)</f>
        <v>-8970.0120000000006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3017845</v>
      </c>
      <c r="E39" s="38">
        <f t="shared" si="11"/>
        <v>4802462.04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3548596</v>
      </c>
      <c r="I39" s="38">
        <f>'TX-EGM-GL'!I39+'TX-HPL-GL '!I39</f>
        <v>5578292.4199999999</v>
      </c>
      <c r="J39" s="60">
        <f>'TX-EGM-GL'!J39+'TX-HPL-GL '!J39</f>
        <v>-532855</v>
      </c>
      <c r="K39" s="38">
        <f>'TX-EGM-GL'!K39+'TX-HPL-GL '!K39</f>
        <v>-750173.71</v>
      </c>
      <c r="L39" s="60">
        <f>'TX-EGM-GL'!L39+'TX-HPL-GL '!L39</f>
        <v>-515870</v>
      </c>
      <c r="M39" s="38">
        <f>'TX-EGM-GL'!M39+'TX-HPL-GL '!M39</f>
        <v>-801146.11</v>
      </c>
      <c r="N39" s="60">
        <f>'TX-EGM-GL'!N39+'TX-HPL-GL '!N39</f>
        <v>-300286</v>
      </c>
      <c r="O39" s="38">
        <f>'TX-EGM-GL'!O39+'TX-HPL-GL '!O39</f>
        <v>-627184.5</v>
      </c>
      <c r="P39" s="60">
        <f>'TX-EGM-GL'!P39+'TX-HPL-GL '!P39</f>
        <v>822267</v>
      </c>
      <c r="Q39" s="38">
        <f>'TX-EGM-GL'!Q39+'TX-HPL-GL '!Q39</f>
        <v>1499200.55</v>
      </c>
      <c r="R39" s="60">
        <f>'TX-EGM-GL'!R39+'TX-HPL-GL '!R39</f>
        <v>-733</v>
      </c>
      <c r="S39" s="38">
        <f>'TX-EGM-GL'!S39+'TX-HPL-GL '!S39</f>
        <v>-517.78</v>
      </c>
      <c r="T39" s="60">
        <f>'TX-EGM-GL'!T39+'TX-HPL-GL '!T39</f>
        <v>-3274</v>
      </c>
      <c r="U39" s="38">
        <f>'TX-EGM-GL'!U39+'TX-HPL-GL '!U39</f>
        <v>-5788.04</v>
      </c>
      <c r="V39" s="60">
        <f>'TX-EGM-GL'!V39+'TX-HPL-GL '!V39</f>
        <v>2110</v>
      </c>
      <c r="W39" s="38">
        <f>'TX-EGM-GL'!W39+'TX-HPL-GL '!W39</f>
        <v>3956.25</v>
      </c>
      <c r="X39" s="60">
        <f>'TX-EGM-GL'!X39+'TX-HPL-GL '!X39</f>
        <v>0</v>
      </c>
      <c r="Y39" s="38">
        <f>'TX-EGM-GL'!Y39+'TX-HPL-GL '!Y39</f>
        <v>3763.21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-2110</v>
      </c>
      <c r="AE39" s="38">
        <f>'TX-EGM-GL'!AE39+'TX-HPL-GL '!AE39</f>
        <v>-3956.25</v>
      </c>
      <c r="AF39" s="60">
        <f>'TX-EGM-GL'!AF39+'TX-HPL-GL '!AF39</f>
        <v>0</v>
      </c>
      <c r="AG39" s="38">
        <f>'TX-EGM-GL'!AG39+'TX-HPL-GL '!AG39</f>
        <v>-93984</v>
      </c>
      <c r="AH39" s="60">
        <f>'TX-EGM-GL'!AT39+'TX-HPL-GL '!AT39</f>
        <v>0</v>
      </c>
      <c r="AI39" s="38">
        <f>'TX-EGM-GL'!AU39+'TX-HPL-GL '!AU39</f>
        <v>0</v>
      </c>
      <c r="AJ39" s="60">
        <f>'TX-EGM-GL'!AV39+'TX-HPL-GL '!AV39</f>
        <v>0</v>
      </c>
      <c r="AK39" s="38">
        <f>'TX-EGM-GL'!AW39+'TX-HPL-GL '!AW39</f>
        <v>0</v>
      </c>
      <c r="AL39" s="60">
        <f>'TX-EGM-GL'!AX39+'TX-HPL-GL '!AX39</f>
        <v>0</v>
      </c>
      <c r="AM39" s="38">
        <f>'TX-EGM-GL'!AY39+'TX-HPL-GL '!AY39</f>
        <v>0</v>
      </c>
      <c r="AN39" s="60">
        <f>'TX-EGM-GL'!AZ39+'TX-HPL-GL '!AZ39</f>
        <v>0</v>
      </c>
      <c r="AO39" s="38">
        <f>'TX-EGM-GL'!BA39+'TX-HPL-GL '!BA39</f>
        <v>0</v>
      </c>
      <c r="AP39" s="60">
        <f>'TX-EGM-GL'!BB39+'TX-HPL-GL '!BB39</f>
        <v>0</v>
      </c>
      <c r="AQ39" s="38">
        <f>'TX-EGM-GL'!BC39+'TX-HPL-GL '!BC39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'TX-EGM-GL'!AF40+'TX-HPL-GL '!AF40</f>
        <v>0</v>
      </c>
      <c r="AG40" s="38">
        <f>'TX-EGM-GL'!AG40+'TX-HPL-GL '!AG40</f>
        <v>0</v>
      </c>
      <c r="AH40" s="60">
        <f>'TX-EGM-GL'!AT40+'TX-HPL-GL '!AT40</f>
        <v>0</v>
      </c>
      <c r="AI40" s="38">
        <f>'TX-EGM-GL'!AU40+'TX-HPL-GL '!AU40</f>
        <v>0</v>
      </c>
      <c r="AJ40" s="60">
        <f>'TX-EGM-GL'!AV40+'TX-HPL-GL '!AV40</f>
        <v>0</v>
      </c>
      <c r="AK40" s="38">
        <f>'TX-EGM-GL'!AW40+'TX-HPL-GL '!AW40</f>
        <v>0</v>
      </c>
      <c r="AL40" s="60">
        <f>'TX-EGM-GL'!AX40+'TX-HPL-GL '!AX40</f>
        <v>0</v>
      </c>
      <c r="AM40" s="38">
        <f>'TX-EGM-GL'!AY40+'TX-HPL-GL '!AY40</f>
        <v>0</v>
      </c>
      <c r="AN40" s="60">
        <f>'TX-EGM-GL'!AZ40+'TX-HPL-GL '!AZ40</f>
        <v>0</v>
      </c>
      <c r="AO40" s="38">
        <f>'TX-EGM-GL'!BA40+'TX-HPL-GL '!BA40</f>
        <v>0</v>
      </c>
      <c r="AP40" s="60">
        <f>'TX-EGM-GL'!BB40+'TX-HPL-GL '!BB40</f>
        <v>0</v>
      </c>
      <c r="AQ40" s="38">
        <f>'TX-EGM-GL'!BC40+'TX-HPL-GL '!BC40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-3763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-3763</v>
      </c>
      <c r="AF41" s="60">
        <f>'TX-EGM-GL'!AF41+'TX-HPL-GL '!AF41</f>
        <v>0</v>
      </c>
      <c r="AG41" s="38">
        <f>'TX-EGM-GL'!AG41+'TX-HPL-GL '!AG41</f>
        <v>0</v>
      </c>
      <c r="AH41" s="60">
        <f>'TX-EGM-GL'!AT41+'TX-HPL-GL '!AT41</f>
        <v>0</v>
      </c>
      <c r="AI41" s="38">
        <f>'TX-EGM-GL'!AU41+'TX-HPL-GL '!AU41</f>
        <v>0</v>
      </c>
      <c r="AJ41" s="60">
        <f>'TX-EGM-GL'!AV41+'TX-HPL-GL '!AV41</f>
        <v>0</v>
      </c>
      <c r="AK41" s="38">
        <f>'TX-EGM-GL'!AW41+'TX-HPL-GL '!AW41</f>
        <v>0</v>
      </c>
      <c r="AL41" s="60">
        <f>'TX-EGM-GL'!AX41+'TX-HPL-GL '!AX41</f>
        <v>0</v>
      </c>
      <c r="AM41" s="38">
        <f>'TX-EGM-GL'!AY41+'TX-HPL-GL '!AY41</f>
        <v>0</v>
      </c>
      <c r="AN41" s="60">
        <f>'TX-EGM-GL'!AZ41+'TX-HPL-GL '!AZ41</f>
        <v>0</v>
      </c>
      <c r="AO41" s="38">
        <f>'TX-EGM-GL'!BA41+'TX-HPL-GL '!BA41</f>
        <v>0</v>
      </c>
      <c r="AP41" s="60">
        <f>'TX-EGM-GL'!BB41+'TX-HPL-GL '!BB41</f>
        <v>0</v>
      </c>
      <c r="AQ41" s="38">
        <f>'TX-EGM-GL'!BC41+'TX-HPL-GL '!BC41</f>
        <v>0</v>
      </c>
    </row>
    <row r="42" spans="1:4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-3763</v>
      </c>
      <c r="F42" s="61">
        <f t="shared" ref="F42:Z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>SUM(Y40:Y41)</f>
        <v>0</v>
      </c>
      <c r="Z42" s="61">
        <f t="shared" si="12"/>
        <v>0</v>
      </c>
      <c r="AA42" s="39">
        <f t="shared" ref="AA42:AQ42" si="13">SUM(AA40:AA41)</f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-3763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>D42+D39</f>
        <v>3017845</v>
      </c>
      <c r="E43" s="39">
        <f>E42+E39</f>
        <v>4798699.04</v>
      </c>
      <c r="F43" s="61">
        <f t="shared" ref="F43:Z43" si="14">F42+F39</f>
        <v>0</v>
      </c>
      <c r="G43" s="39">
        <f t="shared" si="14"/>
        <v>0</v>
      </c>
      <c r="H43" s="61">
        <f t="shared" si="14"/>
        <v>3548596</v>
      </c>
      <c r="I43" s="39">
        <f t="shared" si="14"/>
        <v>5578292.4199999999</v>
      </c>
      <c r="J43" s="61">
        <f t="shared" si="14"/>
        <v>-532855</v>
      </c>
      <c r="K43" s="39">
        <f t="shared" si="14"/>
        <v>-750173.71</v>
      </c>
      <c r="L43" s="61">
        <f t="shared" si="14"/>
        <v>-515870</v>
      </c>
      <c r="M43" s="39">
        <f t="shared" si="14"/>
        <v>-801146.11</v>
      </c>
      <c r="N43" s="61">
        <f t="shared" si="14"/>
        <v>-300286</v>
      </c>
      <c r="O43" s="39">
        <f t="shared" si="14"/>
        <v>-627184.5</v>
      </c>
      <c r="P43" s="61">
        <f t="shared" si="14"/>
        <v>822267</v>
      </c>
      <c r="Q43" s="39">
        <f t="shared" si="14"/>
        <v>1499200.55</v>
      </c>
      <c r="R43" s="61">
        <f t="shared" si="14"/>
        <v>-733</v>
      </c>
      <c r="S43" s="39">
        <f t="shared" si="14"/>
        <v>-517.78</v>
      </c>
      <c r="T43" s="61">
        <f t="shared" si="14"/>
        <v>-3274</v>
      </c>
      <c r="U43" s="39">
        <f>U42+U39</f>
        <v>-5788.04</v>
      </c>
      <c r="V43" s="61">
        <f t="shared" si="14"/>
        <v>2110</v>
      </c>
      <c r="W43" s="39">
        <f>W42+W39</f>
        <v>3956.25</v>
      </c>
      <c r="X43" s="61">
        <f t="shared" si="14"/>
        <v>0</v>
      </c>
      <c r="Y43" s="39">
        <f>Y42+Y39</f>
        <v>3763.21</v>
      </c>
      <c r="Z43" s="61">
        <f t="shared" si="14"/>
        <v>0</v>
      </c>
      <c r="AA43" s="39">
        <f t="shared" ref="AA43:AQ43" si="15">AA42+AA39</f>
        <v>0</v>
      </c>
      <c r="AB43" s="61">
        <f t="shared" si="15"/>
        <v>0</v>
      </c>
      <c r="AC43" s="39">
        <f t="shared" si="15"/>
        <v>0</v>
      </c>
      <c r="AD43" s="61">
        <f t="shared" si="15"/>
        <v>-2110</v>
      </c>
      <c r="AE43" s="39">
        <f t="shared" si="15"/>
        <v>-7719.25</v>
      </c>
      <c r="AF43" s="61">
        <f>AF42+AF39</f>
        <v>0</v>
      </c>
      <c r="AG43" s="39">
        <f>AG42+AG39</f>
        <v>-93984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'TX-EGM-GL'!AF45+'TX-HPL-GL '!AF45</f>
        <v>0</v>
      </c>
      <c r="AG45" s="38">
        <f>'TX-EGM-GL'!AG45+'TX-HPL-GL '!AG45</f>
        <v>0</v>
      </c>
      <c r="AH45" s="60">
        <f>'TX-EGM-GL'!AT45+'TX-HPL-GL '!AT45</f>
        <v>0</v>
      </c>
      <c r="AI45" s="38">
        <f>'TX-EGM-GL'!AU45+'TX-HPL-GL '!AU45</f>
        <v>0</v>
      </c>
      <c r="AJ45" s="60">
        <f>'TX-EGM-GL'!AV45+'TX-HPL-GL '!AV45</f>
        <v>0</v>
      </c>
      <c r="AK45" s="38">
        <f>'TX-EGM-GL'!AW45+'TX-HPL-GL '!AW45</f>
        <v>0</v>
      </c>
      <c r="AL45" s="60">
        <f>'TX-EGM-GL'!AX45+'TX-HPL-GL '!AX45</f>
        <v>0</v>
      </c>
      <c r="AM45" s="38">
        <f>'TX-EGM-GL'!AY45+'TX-HPL-GL '!AY45</f>
        <v>0</v>
      </c>
      <c r="AN45" s="60">
        <f>'TX-EGM-GL'!AZ45+'TX-HPL-GL '!AZ45</f>
        <v>0</v>
      </c>
      <c r="AO45" s="38">
        <f>'TX-EGM-GL'!BA45+'TX-HPL-GL '!BA45</f>
        <v>0</v>
      </c>
      <c r="AP45" s="60">
        <f>'TX-EGM-GL'!BB45+'TX-HPL-GL '!BB45</f>
        <v>0</v>
      </c>
      <c r="AQ45" s="38">
        <f>'TX-EGM-GL'!BC45+'TX-HPL-GL '!BC45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-9718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'TX-EGM-GL'!AF47+'TX-HPL-GL '!AF47</f>
        <v>0</v>
      </c>
      <c r="AG47" s="38">
        <f>'TX-EGM-GL'!AG47+'TX-HPL-GL '!AG47</f>
        <v>0</v>
      </c>
      <c r="AH47" s="60">
        <f>'TX-EGM-GL'!AT47+'TX-HPL-GL '!AT47</f>
        <v>0</v>
      </c>
      <c r="AI47" s="38">
        <f>'TX-EGM-GL'!AU47+'TX-HPL-GL '!AU47</f>
        <v>0</v>
      </c>
      <c r="AJ47" s="60">
        <f>'TX-EGM-GL'!AV47+'TX-HPL-GL '!AV47</f>
        <v>0</v>
      </c>
      <c r="AK47" s="38">
        <f>'TX-EGM-GL'!AW47+'TX-HPL-GL '!AW47</f>
        <v>0</v>
      </c>
      <c r="AL47" s="60">
        <f>'TX-EGM-GL'!AX47+'TX-HPL-GL '!AX47</f>
        <v>0</v>
      </c>
      <c r="AM47" s="38">
        <f>'TX-EGM-GL'!AY47+'TX-HPL-GL '!AY47</f>
        <v>0</v>
      </c>
      <c r="AN47" s="60">
        <f>'TX-EGM-GL'!AZ47+'TX-HPL-GL '!AZ47</f>
        <v>0</v>
      </c>
      <c r="AO47" s="38">
        <f>'TX-EGM-GL'!BA47+'TX-HPL-GL '!BA47</f>
        <v>0</v>
      </c>
      <c r="AP47" s="60">
        <f>'TX-EGM-GL'!BB47+'TX-HPL-GL '!BB47</f>
        <v>0</v>
      </c>
      <c r="AQ47" s="38">
        <f>'TX-EGM-GL'!BC47+'TX-HPL-GL '!BC47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-407301</v>
      </c>
      <c r="E49" s="38">
        <f>SUM(G49,I49,K49,M49,O49,Q49,S49,U49,W49,Y49,AA49,AC49,AE49,AG49)</f>
        <v>-740473.21799999999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519991</v>
      </c>
      <c r="I49" s="38">
        <f>'TX-EGM-GL'!I49+'TX-HPL-GL '!I49</f>
        <v>945343.63800000004</v>
      </c>
      <c r="J49" s="60">
        <f>'TX-EGM-GL'!J49+'TX-HPL-GL '!J49</f>
        <v>1119156</v>
      </c>
      <c r="K49" s="38">
        <f>'TX-EGM-GL'!K49+'TX-HPL-GL '!K49</f>
        <v>2034625.6079999998</v>
      </c>
      <c r="L49" s="60">
        <f>'TX-EGM-GL'!L49+'TX-HPL-GL '!L49</f>
        <v>-791902</v>
      </c>
      <c r="M49" s="38">
        <f>'TX-EGM-GL'!M49+'TX-HPL-GL '!M49</f>
        <v>-1439677.8359999999</v>
      </c>
      <c r="N49" s="60">
        <f>'TX-EGM-GL'!N49+'TX-HPL-GL '!N49</f>
        <v>-1212929</v>
      </c>
      <c r="O49" s="38">
        <f>'TX-EGM-GL'!O49+'TX-HPL-GL '!O49</f>
        <v>-2205104.9219999998</v>
      </c>
      <c r="P49" s="60">
        <f>'TX-EGM-GL'!P49+'TX-HPL-GL '!P49</f>
        <v>1049874</v>
      </c>
      <c r="Q49" s="38">
        <f>'TX-EGM-GL'!Q49+'TX-HPL-GL '!Q49</f>
        <v>1908670.932</v>
      </c>
      <c r="R49" s="60">
        <f>'TX-EGM-GL'!R49+'TX-HPL-GL '!R49</f>
        <v>-1567938</v>
      </c>
      <c r="S49" s="38">
        <f>'TX-EGM-GL'!S49+'TX-HPL-GL '!S49</f>
        <v>-2850511.284</v>
      </c>
      <c r="T49" s="60">
        <f>'TX-EGM-GL'!T49+'TX-HPL-GL '!T49</f>
        <v>48962</v>
      </c>
      <c r="U49" s="38">
        <f>'TX-EGM-GL'!U49+'TX-HPL-GL '!U49</f>
        <v>89012.915999999997</v>
      </c>
      <c r="V49" s="60">
        <f>'TX-EGM-GL'!V49+'TX-HPL-GL '!V49</f>
        <v>-309437</v>
      </c>
      <c r="W49" s="38">
        <f>'TX-EGM-GL'!W49+'TX-HPL-GL '!W49</f>
        <v>-562556.46600000001</v>
      </c>
      <c r="X49" s="60">
        <f>'TX-EGM-GL'!X49+'TX-HPL-GL '!X49</f>
        <v>559310</v>
      </c>
      <c r="Y49" s="38">
        <f>'TX-EGM-GL'!Y49+'TX-HPL-GL '!Y49</f>
        <v>1016825.58</v>
      </c>
      <c r="Z49" s="60">
        <f>'TX-EGM-GL'!Z49+'TX-HPL-GL '!Z49</f>
        <v>-400310</v>
      </c>
      <c r="AA49" s="38">
        <f>'TX-EGM-GL'!AA49+'TX-HPL-GL '!AA49</f>
        <v>-727763.58</v>
      </c>
      <c r="AB49" s="60">
        <f>'TX-EGM-GL'!AB49+'TX-HPL-GL '!AB49</f>
        <v>-27732</v>
      </c>
      <c r="AC49" s="38">
        <f>'TX-EGM-GL'!AC49+'TX-HPL-GL '!AC49</f>
        <v>-50416.775999999998</v>
      </c>
      <c r="AD49" s="60">
        <f>'TX-EGM-GL'!AD49+'TX-HPL-GL '!AD49</f>
        <v>603479</v>
      </c>
      <c r="AE49" s="38">
        <f>'TX-EGM-GL'!AE49+'TX-HPL-GL '!AE49</f>
        <v>1097124.8219999999</v>
      </c>
      <c r="AF49" s="60">
        <f>'TX-EGM-GL'!AF49+'TX-HPL-GL '!AF49</f>
        <v>2175</v>
      </c>
      <c r="AG49" s="38">
        <f>'TX-EGM-GL'!AG49+'TX-HPL-GL '!AG49</f>
        <v>3954.15</v>
      </c>
      <c r="AH49" s="60">
        <f>'TX-EGM-GL'!AT49+'TX-HPL-GL '!AT49</f>
        <v>0</v>
      </c>
      <c r="AI49" s="38">
        <f>'TX-EGM-GL'!AU49+'TX-HPL-GL '!AU49</f>
        <v>0</v>
      </c>
      <c r="AJ49" s="60">
        <f>'TX-EGM-GL'!AV49+'TX-HPL-GL '!AV49</f>
        <v>0</v>
      </c>
      <c r="AK49" s="38">
        <f>'TX-EGM-GL'!AW49+'TX-HPL-GL '!AW49</f>
        <v>0</v>
      </c>
      <c r="AL49" s="60">
        <f>'TX-EGM-GL'!AX49+'TX-HPL-GL '!AX49</f>
        <v>0</v>
      </c>
      <c r="AM49" s="38">
        <f>'TX-EGM-GL'!AY49+'TX-HPL-GL '!AY49</f>
        <v>0</v>
      </c>
      <c r="AN49" s="60">
        <f>'TX-EGM-GL'!AZ49+'TX-HPL-GL '!AZ49</f>
        <v>0</v>
      </c>
      <c r="AO49" s="38">
        <f>'TX-EGM-GL'!BA49+'TX-HPL-GL '!BA49</f>
        <v>0</v>
      </c>
      <c r="AP49" s="60">
        <f>'TX-EGM-GL'!BB49+'TX-HPL-GL '!BB49</f>
        <v>0</v>
      </c>
      <c r="AQ49" s="38">
        <f>'TX-EGM-GL'!BC49+'TX-HPL-GL '!BC49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-5738</v>
      </c>
      <c r="E51" s="38">
        <f>SUM(G51,I51,K51,M51,O51,Q51,S51,U51,W51,Y51,AA51,AC51,AE51,AG51)</f>
        <v>-10431.678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-3100</v>
      </c>
      <c r="I51" s="38">
        <f>'TX-EGM-GL'!I51+'TX-HPL-GL '!I51</f>
        <v>-5635.8</v>
      </c>
      <c r="J51" s="60">
        <f>'TX-EGM-GL'!J51+'TX-HPL-GL '!J51</f>
        <v>-2619</v>
      </c>
      <c r="K51" s="38">
        <f>'TX-EGM-GL'!K51+'TX-HPL-GL '!K51</f>
        <v>-4761.34</v>
      </c>
      <c r="L51" s="60">
        <f>'TX-EGM-GL'!L51+'TX-HPL-GL '!L51</f>
        <v>-5123</v>
      </c>
      <c r="M51" s="38">
        <f>'TX-EGM-GL'!M51+'TX-HPL-GL '!M51</f>
        <v>-9313.61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5104</v>
      </c>
      <c r="S51" s="38">
        <f>'TX-EGM-GL'!S51+'TX-HPL-GL '!S51</f>
        <v>9279.0720000000001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'TX-EGM-GL'!AF51+'TX-HPL-GL '!AF51</f>
        <v>0</v>
      </c>
      <c r="AG51" s="38">
        <f>'TX-EGM-GL'!AG51+'TX-HPL-GL '!AG51</f>
        <v>0</v>
      </c>
      <c r="AH51" s="60">
        <f>'TX-EGM-GL'!AT51+'TX-HPL-GL '!AT51</f>
        <v>0</v>
      </c>
      <c r="AI51" s="38">
        <f>'TX-EGM-GL'!AU51+'TX-HPL-GL '!AU51</f>
        <v>0</v>
      </c>
      <c r="AJ51" s="60">
        <f>'TX-EGM-GL'!AV51+'TX-HPL-GL '!AV51</f>
        <v>0</v>
      </c>
      <c r="AK51" s="38">
        <f>'TX-EGM-GL'!AW51+'TX-HPL-GL '!AW51</f>
        <v>0</v>
      </c>
      <c r="AL51" s="60">
        <f>'TX-EGM-GL'!AX51+'TX-HPL-GL '!AX51</f>
        <v>0</v>
      </c>
      <c r="AM51" s="38">
        <f>'TX-EGM-GL'!AY51+'TX-HPL-GL '!AY51</f>
        <v>0</v>
      </c>
      <c r="AN51" s="60">
        <f>'TX-EGM-GL'!AZ51+'TX-HPL-GL '!AZ51</f>
        <v>0</v>
      </c>
      <c r="AO51" s="38">
        <f>'TX-EGM-GL'!BA51+'TX-HPL-GL '!BA51</f>
        <v>0</v>
      </c>
      <c r="AP51" s="60">
        <f>'TX-EGM-GL'!BB51+'TX-HPL-GL '!BB51</f>
        <v>0</v>
      </c>
      <c r="AQ51" s="38">
        <f>'TX-EGM-GL'!BC51+'TX-HPL-GL '!BC51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-5186275</v>
      </c>
      <c r="E54" s="38">
        <f>SUM(G54,I54,K54,M54,O54,Q54,S54,U54,W54,Y54,AA54,AC54,AE54,AG54)</f>
        <v>-301417.21000000008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0</v>
      </c>
      <c r="I54" s="38">
        <f>'TX-EGM-GL'!I54+'TX-HPL-GL '!I54</f>
        <v>28249.919999999998</v>
      </c>
      <c r="J54" s="60">
        <f>'TX-EGM-GL'!J54+'TX-HPL-GL '!J54</f>
        <v>-4848959</v>
      </c>
      <c r="K54" s="38">
        <f>'TX-EGM-GL'!K54+'TX-HPL-GL '!K54</f>
        <v>-464680.13</v>
      </c>
      <c r="L54" s="60">
        <f>'TX-EGM-GL'!L54+'TX-HPL-GL '!L54</f>
        <v>-756350</v>
      </c>
      <c r="M54" s="38">
        <f>'TX-EGM-GL'!M54+'TX-HPL-GL '!M54</f>
        <v>91087.44</v>
      </c>
      <c r="N54" s="60">
        <f>'TX-EGM-GL'!N54+'TX-HPL-GL '!N54</f>
        <v>-167465</v>
      </c>
      <c r="O54" s="38">
        <f>'TX-EGM-GL'!O54+'TX-HPL-GL '!O54</f>
        <v>-2042</v>
      </c>
      <c r="P54" s="60">
        <f>'TX-EGM-GL'!P54+'TX-HPL-GL '!P54</f>
        <v>23218</v>
      </c>
      <c r="Q54" s="38">
        <f>'TX-EGM-GL'!Q54+'TX-HPL-GL '!Q54</f>
        <v>1022</v>
      </c>
      <c r="R54" s="60">
        <f>'TX-EGM-GL'!R54+'TX-HPL-GL '!R54</f>
        <v>166</v>
      </c>
      <c r="S54" s="38">
        <f>'TX-EGM-GL'!S54+'TX-HPL-GL '!S54</f>
        <v>-745.77</v>
      </c>
      <c r="T54" s="60">
        <f>'TX-EGM-GL'!T54+'TX-HPL-GL '!T54</f>
        <v>-10204</v>
      </c>
      <c r="U54" s="38">
        <f>'TX-EGM-GL'!U54+'TX-HPL-GL '!U54</f>
        <v>13174.55</v>
      </c>
      <c r="V54" s="60">
        <f>'TX-EGM-GL'!V54+'TX-HPL-GL '!V54</f>
        <v>0</v>
      </c>
      <c r="W54" s="38">
        <f>'TX-EGM-GL'!W54+'TX-HPL-GL '!W54</f>
        <v>-13523.06</v>
      </c>
      <c r="X54" s="60">
        <f>'TX-EGM-GL'!X54+'TX-HPL-GL '!X54</f>
        <v>5730</v>
      </c>
      <c r="Y54" s="38">
        <f>'TX-EGM-GL'!Y54+'TX-HPL-GL '!Y54</f>
        <v>868.37</v>
      </c>
      <c r="Z54" s="60">
        <f>'TX-EGM-GL'!Z54+'TX-HPL-GL '!Z54</f>
        <v>-5730</v>
      </c>
      <c r="AA54" s="38">
        <f>'TX-EGM-GL'!AA54+'TX-HPL-GL '!AA54</f>
        <v>-1145.99</v>
      </c>
      <c r="AB54" s="60">
        <f>'TX-EGM-GL'!AB54+'TX-HPL-GL '!AB54</f>
        <v>109617</v>
      </c>
      <c r="AC54" s="38">
        <f>'TX-EGM-GL'!AC54+'TX-HPL-GL '!AC54</f>
        <v>9937.67</v>
      </c>
      <c r="AD54" s="60">
        <f>'TX-EGM-GL'!AD54+'TX-HPL-GL '!AD54</f>
        <v>-121542</v>
      </c>
      <c r="AE54" s="38">
        <f>'TX-EGM-GL'!AE54+'TX-HPL-GL '!AE54</f>
        <v>-9711.59</v>
      </c>
      <c r="AF54" s="60">
        <f>'TX-EGM-GL'!AF54+'TX-HPL-GL '!AF54</f>
        <v>585244</v>
      </c>
      <c r="AG54" s="38">
        <f>'TX-EGM-GL'!AG54+'TX-HPL-GL '!AG54</f>
        <v>46091.38</v>
      </c>
      <c r="AH54" s="60">
        <f>'TX-EGM-GL'!AT54+'TX-HPL-GL '!AT54</f>
        <v>0</v>
      </c>
      <c r="AI54" s="38">
        <f>'TX-EGM-GL'!AU54+'TX-HPL-GL '!AU54</f>
        <v>0</v>
      </c>
      <c r="AJ54" s="60">
        <f>'TX-EGM-GL'!AV54+'TX-HPL-GL '!AV54</f>
        <v>0</v>
      </c>
      <c r="AK54" s="38">
        <f>'TX-EGM-GL'!AW54+'TX-HPL-GL '!AW54</f>
        <v>0</v>
      </c>
      <c r="AL54" s="60">
        <f>'TX-EGM-GL'!AX54+'TX-HPL-GL '!AX54</f>
        <v>0</v>
      </c>
      <c r="AM54" s="38">
        <f>'TX-EGM-GL'!AY54+'TX-HPL-GL '!AY54</f>
        <v>0</v>
      </c>
      <c r="AN54" s="60">
        <f>'TX-EGM-GL'!AZ54+'TX-HPL-GL '!AZ54</f>
        <v>0</v>
      </c>
      <c r="AO54" s="38">
        <f>'TX-EGM-GL'!BA54+'TX-HPL-GL '!BA54</f>
        <v>0</v>
      </c>
      <c r="AP54" s="60">
        <f>'TX-EGM-GL'!BB54+'TX-HPL-GL '!BB54</f>
        <v>0</v>
      </c>
      <c r="AQ54" s="38">
        <f>'TX-EGM-GL'!BC54+'TX-HPL-GL '!BC54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-677185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-904705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227520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-93300</v>
      </c>
      <c r="Z55" s="60">
        <f>'TX-EGM-GL'!Z55+'TX-HPL-GL '!Z55</f>
        <v>0</v>
      </c>
      <c r="AA55" s="38">
        <f>'TX-EGM-GL'!AA55+'TX-HPL-GL '!AA55</f>
        <v>93300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'TX-EGM-GL'!AF55+'TX-HPL-GL '!AF55</f>
        <v>0</v>
      </c>
      <c r="AG55" s="38">
        <f>'TX-EGM-GL'!AG55+'TX-HPL-GL '!AG55</f>
        <v>0</v>
      </c>
      <c r="AH55" s="60">
        <f>'TX-EGM-GL'!AT55+'TX-HPL-GL '!AT55</f>
        <v>0</v>
      </c>
      <c r="AI55" s="38">
        <f>'TX-EGM-GL'!AU55+'TX-HPL-GL '!AU55</f>
        <v>0</v>
      </c>
      <c r="AJ55" s="60">
        <f>'TX-EGM-GL'!AV55+'TX-HPL-GL '!AV55</f>
        <v>0</v>
      </c>
      <c r="AK55" s="38">
        <f>'TX-EGM-GL'!AW55+'TX-HPL-GL '!AW55</f>
        <v>0</v>
      </c>
      <c r="AL55" s="60">
        <f>'TX-EGM-GL'!AX55+'TX-HPL-GL '!AX55</f>
        <v>0</v>
      </c>
      <c r="AM55" s="38">
        <f>'TX-EGM-GL'!AY55+'TX-HPL-GL '!AY55</f>
        <v>0</v>
      </c>
      <c r="AN55" s="60">
        <f>'TX-EGM-GL'!AZ55+'TX-HPL-GL '!AZ55</f>
        <v>0</v>
      </c>
      <c r="AO55" s="38">
        <f>'TX-EGM-GL'!BA55+'TX-HPL-GL '!BA55</f>
        <v>0</v>
      </c>
      <c r="AP55" s="60">
        <f>'TX-EGM-GL'!BB55+'TX-HPL-GL '!BB55</f>
        <v>0</v>
      </c>
      <c r="AQ55" s="38">
        <f>'TX-EGM-GL'!BC55+'TX-HPL-GL '!BC55</f>
        <v>0</v>
      </c>
    </row>
    <row r="56" spans="1:43" x14ac:dyDescent="0.2">
      <c r="A56" s="9"/>
      <c r="B56" s="7" t="s">
        <v>59</v>
      </c>
      <c r="C56" s="6"/>
      <c r="D56" s="61">
        <f>SUM(D54:D55)</f>
        <v>-5186275</v>
      </c>
      <c r="E56" s="39">
        <f>SUM(E54:E55)</f>
        <v>-978602.21000000008</v>
      </c>
      <c r="F56" s="61">
        <f t="shared" ref="F56:Z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28249.919999999998</v>
      </c>
      <c r="J56" s="61">
        <f t="shared" si="16"/>
        <v>-4848959</v>
      </c>
      <c r="K56" s="39">
        <f t="shared" si="16"/>
        <v>-1369385.13</v>
      </c>
      <c r="L56" s="61">
        <f t="shared" si="16"/>
        <v>-756350</v>
      </c>
      <c r="M56" s="39">
        <f t="shared" si="16"/>
        <v>91087.44</v>
      </c>
      <c r="N56" s="61">
        <f t="shared" si="16"/>
        <v>-167465</v>
      </c>
      <c r="O56" s="39">
        <f t="shared" si="16"/>
        <v>225478</v>
      </c>
      <c r="P56" s="61">
        <f t="shared" si="16"/>
        <v>23218</v>
      </c>
      <c r="Q56" s="39">
        <f t="shared" si="16"/>
        <v>1022</v>
      </c>
      <c r="R56" s="61">
        <f t="shared" si="16"/>
        <v>166</v>
      </c>
      <c r="S56" s="39">
        <f t="shared" si="16"/>
        <v>-745.77</v>
      </c>
      <c r="T56" s="61">
        <f t="shared" si="16"/>
        <v>-10204</v>
      </c>
      <c r="U56" s="39">
        <f>SUM(U54:U55)</f>
        <v>13174.55</v>
      </c>
      <c r="V56" s="61">
        <f t="shared" si="16"/>
        <v>0</v>
      </c>
      <c r="W56" s="39">
        <f>SUM(W54:W55)</f>
        <v>-13523.06</v>
      </c>
      <c r="X56" s="61">
        <f t="shared" si="16"/>
        <v>5730</v>
      </c>
      <c r="Y56" s="39">
        <f>SUM(Y54:Y55)</f>
        <v>-92431.63</v>
      </c>
      <c r="Z56" s="61">
        <f t="shared" si="16"/>
        <v>-5730</v>
      </c>
      <c r="AA56" s="39">
        <f t="shared" ref="AA56:AQ56" si="17">SUM(AA54:AA55)</f>
        <v>92154.01</v>
      </c>
      <c r="AB56" s="61">
        <f t="shared" si="17"/>
        <v>109617</v>
      </c>
      <c r="AC56" s="39">
        <f t="shared" si="17"/>
        <v>9937.67</v>
      </c>
      <c r="AD56" s="61">
        <f t="shared" si="17"/>
        <v>-121542</v>
      </c>
      <c r="AE56" s="39">
        <f t="shared" si="17"/>
        <v>-9711.59</v>
      </c>
      <c r="AF56" s="61">
        <f>SUM(AF54:AF55)</f>
        <v>585244</v>
      </c>
      <c r="AG56" s="39">
        <f>SUM(AG54:AG55)</f>
        <v>46091.38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21260.98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0</v>
      </c>
      <c r="L59" s="60">
        <f>'TX-EGM-GL'!L59+'TX-HPL-GL '!L59</f>
        <v>0</v>
      </c>
      <c r="M59" s="38">
        <f>'TX-EGM-GL'!M59+'TX-HPL-GL '!M59</f>
        <v>312.5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200</v>
      </c>
      <c r="R59" s="60">
        <f>'TX-EGM-GL'!R59+'TX-HPL-GL '!R59</f>
        <v>0</v>
      </c>
      <c r="S59" s="38">
        <f>'TX-EGM-GL'!S59+'TX-HPL-GL '!S59</f>
        <v>-200</v>
      </c>
      <c r="T59" s="60">
        <f>'TX-EGM-GL'!T59+'TX-HPL-GL '!T59</f>
        <v>0</v>
      </c>
      <c r="U59" s="38">
        <f>'TX-EGM-GL'!U59+'TX-HPL-GL '!U59</f>
        <v>22718.1</v>
      </c>
      <c r="V59" s="60">
        <f>'TX-EGM-GL'!V59+'TX-HPL-GL '!V59</f>
        <v>0</v>
      </c>
      <c r="W59" s="38">
        <f>'TX-EGM-GL'!W59+'TX-HPL-GL '!W59</f>
        <v>-2243.02</v>
      </c>
      <c r="X59" s="60">
        <f>'TX-EGM-GL'!X59+'TX-HPL-GL '!X59</f>
        <v>0</v>
      </c>
      <c r="Y59" s="38">
        <f>'TX-EGM-GL'!Y59+'TX-HPL-GL '!Y59</f>
        <v>123.4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'TX-EGM-GL'!AF59+'TX-HPL-GL '!AF59</f>
        <v>0</v>
      </c>
      <c r="AG59" s="38">
        <f>'TX-EGM-GL'!AG59+'TX-HPL-GL '!AG59</f>
        <v>0</v>
      </c>
      <c r="AH59" s="60">
        <f>'TX-EGM-GL'!AT59+'TX-HPL-GL '!AT59</f>
        <v>0</v>
      </c>
      <c r="AI59" s="38">
        <f>'TX-EGM-GL'!AU59+'TX-HPL-GL '!AU59</f>
        <v>0</v>
      </c>
      <c r="AJ59" s="60">
        <f>'TX-EGM-GL'!AV59+'TX-HPL-GL '!AV59</f>
        <v>0</v>
      </c>
      <c r="AK59" s="38">
        <f>'TX-EGM-GL'!AW59+'TX-HPL-GL '!AW59</f>
        <v>0</v>
      </c>
      <c r="AL59" s="60">
        <f>'TX-EGM-GL'!AX59+'TX-HPL-GL '!AX59</f>
        <v>0</v>
      </c>
      <c r="AM59" s="38">
        <f>'TX-EGM-GL'!AY59+'TX-HPL-GL '!AY59</f>
        <v>0</v>
      </c>
      <c r="AN59" s="60">
        <f>'TX-EGM-GL'!AZ59+'TX-HPL-GL '!AZ59</f>
        <v>0</v>
      </c>
      <c r="AO59" s="38">
        <f>'TX-EGM-GL'!BA59+'TX-HPL-GL '!BA59</f>
        <v>0</v>
      </c>
      <c r="AP59" s="60">
        <f>'TX-EGM-GL'!BB59+'TX-HPL-GL '!BB59</f>
        <v>0</v>
      </c>
      <c r="AQ59" s="38">
        <f>'TX-EGM-GL'!BC59+'TX-HPL-GL '!BC59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'TX-EGM-GL'!AF60+'TX-HPL-GL '!AF60</f>
        <v>0</v>
      </c>
      <c r="AG60" s="38">
        <f>'TX-EGM-GL'!AG60+'TX-HPL-GL '!AG60</f>
        <v>0</v>
      </c>
      <c r="AH60" s="60">
        <f>'TX-EGM-GL'!AT60+'TX-HPL-GL '!AT60</f>
        <v>0</v>
      </c>
      <c r="AI60" s="38">
        <f>'TX-EGM-GL'!AU60+'TX-HPL-GL '!AU60</f>
        <v>0</v>
      </c>
      <c r="AJ60" s="60">
        <f>'TX-EGM-GL'!AV60+'TX-HPL-GL '!AV60</f>
        <v>0</v>
      </c>
      <c r="AK60" s="38">
        <f>'TX-EGM-GL'!AW60+'TX-HPL-GL '!AW60</f>
        <v>0</v>
      </c>
      <c r="AL60" s="60">
        <f>'TX-EGM-GL'!AX60+'TX-HPL-GL '!AX60</f>
        <v>0</v>
      </c>
      <c r="AM60" s="38">
        <f>'TX-EGM-GL'!AY60+'TX-HPL-GL '!AY60</f>
        <v>0</v>
      </c>
      <c r="AN60" s="60">
        <f>'TX-EGM-GL'!AZ60+'TX-HPL-GL '!AZ60</f>
        <v>0</v>
      </c>
      <c r="AO60" s="38">
        <f>'TX-EGM-GL'!BA60+'TX-HPL-GL '!BA60</f>
        <v>0</v>
      </c>
      <c r="AP60" s="60">
        <f>'TX-EGM-GL'!BB60+'TX-HPL-GL '!BB60</f>
        <v>0</v>
      </c>
      <c r="AQ60" s="38">
        <f>'TX-EGM-GL'!BC60+'TX-HPL-GL '!BC60</f>
        <v>0</v>
      </c>
    </row>
    <row r="61" spans="1:43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21260.98</v>
      </c>
      <c r="F61" s="61">
        <f t="shared" ref="F61:Z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312.5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200</v>
      </c>
      <c r="R61" s="61">
        <f t="shared" si="18"/>
        <v>0</v>
      </c>
      <c r="S61" s="39">
        <f t="shared" si="18"/>
        <v>-200</v>
      </c>
      <c r="T61" s="61">
        <f t="shared" si="18"/>
        <v>0</v>
      </c>
      <c r="U61" s="39">
        <f>SUM(U59:U60)</f>
        <v>22718.1</v>
      </c>
      <c r="V61" s="61">
        <f t="shared" si="18"/>
        <v>0</v>
      </c>
      <c r="W61" s="39">
        <f>SUM(W59:W60)</f>
        <v>-2243.02</v>
      </c>
      <c r="X61" s="61">
        <f t="shared" si="18"/>
        <v>0</v>
      </c>
      <c r="Y61" s="39">
        <f>SUM(Y59:Y60)</f>
        <v>123.4</v>
      </c>
      <c r="Z61" s="61">
        <f t="shared" si="18"/>
        <v>0</v>
      </c>
      <c r="AA61" s="39">
        <f t="shared" ref="AA61:AQ61" si="19">SUM(AA59:AA60)</f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-56400993</v>
      </c>
      <c r="E64" s="38">
        <f>SUM(G64,I64,K64,M64,O64,Q64,S64,U64,W64,Y64,AA64,AC64,AE64,AG64)</f>
        <v>-1184627.9399999997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-38999811</v>
      </c>
      <c r="I64" s="38">
        <f>'TX-EGM-GL'!I64+'TX-HPL-GL '!I64</f>
        <v>-959629.34000000008</v>
      </c>
      <c r="J64" s="60">
        <f>'TX-EGM-GL'!J64+'TX-HPL-GL '!J64</f>
        <v>-17058687</v>
      </c>
      <c r="K64" s="38">
        <f>'TX-EGM-GL'!K64+'TX-HPL-GL '!K64</f>
        <v>-199778.14</v>
      </c>
      <c r="L64" s="60">
        <f>'TX-EGM-GL'!L64+'TX-HPL-GL '!L64</f>
        <v>696645</v>
      </c>
      <c r="M64" s="38">
        <f>'TX-EGM-GL'!M64+'TX-HPL-GL '!M64</f>
        <v>-25098.68</v>
      </c>
      <c r="N64" s="60">
        <f>'TX-EGM-GL'!N64+'TX-HPL-GL '!N64</f>
        <v>296578</v>
      </c>
      <c r="O64" s="38">
        <f>'TX-EGM-GL'!O64+'TX-HPL-GL '!O64</f>
        <v>-83.75</v>
      </c>
      <c r="P64" s="60">
        <f>'TX-EGM-GL'!P64+'TX-HPL-GL '!P64</f>
        <v>-1339725</v>
      </c>
      <c r="Q64" s="38">
        <f>'TX-EGM-GL'!Q64+'TX-HPL-GL '!Q64</f>
        <v>-30</v>
      </c>
      <c r="R64" s="60">
        <f>'TX-EGM-GL'!R64+'TX-HPL-GL '!R64</f>
        <v>2843</v>
      </c>
      <c r="S64" s="38">
        <f>'TX-EGM-GL'!S64+'TX-HPL-GL '!S64</f>
        <v>-5.46</v>
      </c>
      <c r="T64" s="60">
        <f>'TX-EGM-GL'!T64+'TX-HPL-GL '!T64</f>
        <v>1164</v>
      </c>
      <c r="U64" s="38">
        <f>'TX-EGM-GL'!U64+'TX-HPL-GL '!U64</f>
        <v>-1.94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0.01</v>
      </c>
      <c r="AD64" s="60">
        <f>'TX-EGM-GL'!AD64+'TX-HPL-GL '!AD64</f>
        <v>2759</v>
      </c>
      <c r="AE64" s="38">
        <f>'TX-EGM-GL'!AE64+'TX-HPL-GL '!AE64</f>
        <v>-0.64</v>
      </c>
      <c r="AF64" s="60">
        <f>'TX-EGM-GL'!AF64+'TX-HPL-GL '!AF64</f>
        <v>-2759</v>
      </c>
      <c r="AG64" s="38">
        <f>'TX-EGM-GL'!AG64+'TX-HPL-GL '!AG64</f>
        <v>0</v>
      </c>
      <c r="AH64" s="60">
        <f>'TX-EGM-GL'!AT64+'TX-HPL-GL '!AT64</f>
        <v>0</v>
      </c>
      <c r="AI64" s="38">
        <f>'TX-EGM-GL'!AU64+'TX-HPL-GL '!AU64</f>
        <v>0</v>
      </c>
      <c r="AJ64" s="60">
        <f>'TX-EGM-GL'!AV64+'TX-HPL-GL '!AV64</f>
        <v>0</v>
      </c>
      <c r="AK64" s="38">
        <f>'TX-EGM-GL'!AW64+'TX-HPL-GL '!AW64</f>
        <v>0</v>
      </c>
      <c r="AL64" s="60">
        <f>'TX-EGM-GL'!AX64+'TX-HPL-GL '!AX64</f>
        <v>0</v>
      </c>
      <c r="AM64" s="38">
        <f>'TX-EGM-GL'!AY64+'TX-HPL-GL '!AY64</f>
        <v>0</v>
      </c>
      <c r="AN64" s="60">
        <f>'TX-EGM-GL'!AZ64+'TX-HPL-GL '!AZ64</f>
        <v>0</v>
      </c>
      <c r="AO64" s="38">
        <f>'TX-EGM-GL'!BA64+'TX-HPL-GL '!BA64</f>
        <v>0</v>
      </c>
      <c r="AP64" s="60">
        <f>'TX-EGM-GL'!BB64+'TX-HPL-GL '!BB64</f>
        <v>0</v>
      </c>
      <c r="AQ64" s="38">
        <f>'TX-EGM-GL'!BC64+'TX-HPL-GL '!BC64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1182006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1151255</v>
      </c>
      <c r="L65" s="60">
        <f>'TX-EGM-GL'!L65+'TX-HPL-GL '!L65</f>
        <v>0</v>
      </c>
      <c r="M65" s="38">
        <f>'TX-EGM-GL'!M65+'TX-HPL-GL '!M65</f>
        <v>-2289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14614</v>
      </c>
      <c r="R65" s="60">
        <f>'TX-EGM-GL'!R65+'TX-HPL-GL '!R65</f>
        <v>0</v>
      </c>
      <c r="S65" s="38">
        <f>'TX-EGM-GL'!S65+'TX-HPL-GL '!S65</f>
        <v>1164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17262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'TX-EGM-GL'!AF65+'TX-HPL-GL '!AF65</f>
        <v>0</v>
      </c>
      <c r="AG65" s="38">
        <f>'TX-EGM-GL'!AG65+'TX-HPL-GL '!AG65</f>
        <v>0</v>
      </c>
      <c r="AH65" s="60">
        <f>'TX-EGM-GL'!AT65+'TX-HPL-GL '!AT65</f>
        <v>0</v>
      </c>
      <c r="AI65" s="38">
        <f>'TX-EGM-GL'!AU65+'TX-HPL-GL '!AU65</f>
        <v>0</v>
      </c>
      <c r="AJ65" s="60">
        <f>'TX-EGM-GL'!AV65+'TX-HPL-GL '!AV65</f>
        <v>0</v>
      </c>
      <c r="AK65" s="38">
        <f>'TX-EGM-GL'!AW65+'TX-HPL-GL '!AW65</f>
        <v>0</v>
      </c>
      <c r="AL65" s="60">
        <f>'TX-EGM-GL'!AX65+'TX-HPL-GL '!AX65</f>
        <v>0</v>
      </c>
      <c r="AM65" s="38">
        <f>'TX-EGM-GL'!AY65+'TX-HPL-GL '!AY65</f>
        <v>0</v>
      </c>
      <c r="AN65" s="60">
        <f>'TX-EGM-GL'!AZ65+'TX-HPL-GL '!AZ65</f>
        <v>0</v>
      </c>
      <c r="AO65" s="38">
        <f>'TX-EGM-GL'!BA65+'TX-HPL-GL '!BA65</f>
        <v>0</v>
      </c>
      <c r="AP65" s="60">
        <f>'TX-EGM-GL'!BB65+'TX-HPL-GL '!BB65</f>
        <v>0</v>
      </c>
      <c r="AQ65" s="38">
        <f>'TX-EGM-GL'!BC65+'TX-HPL-GL '!BC65</f>
        <v>0</v>
      </c>
    </row>
    <row r="66" spans="1:43" x14ac:dyDescent="0.2">
      <c r="A66" s="9"/>
      <c r="B66" s="7" t="s">
        <v>66</v>
      </c>
      <c r="C66" s="6"/>
      <c r="D66" s="61">
        <f>SUM(D64:D65)</f>
        <v>-56400993</v>
      </c>
      <c r="E66" s="39">
        <f>SUM(E64:E65)</f>
        <v>-2621.9399999997113</v>
      </c>
      <c r="F66" s="61">
        <f t="shared" ref="F66:Z66" si="20">SUM(F64:F65)</f>
        <v>0</v>
      </c>
      <c r="G66" s="39">
        <f t="shared" si="20"/>
        <v>0</v>
      </c>
      <c r="H66" s="61">
        <f t="shared" si="20"/>
        <v>-38999811</v>
      </c>
      <c r="I66" s="39">
        <f t="shared" si="20"/>
        <v>-959629.34000000008</v>
      </c>
      <c r="J66" s="61">
        <f t="shared" si="20"/>
        <v>-17058687</v>
      </c>
      <c r="K66" s="39">
        <f t="shared" si="20"/>
        <v>951476.86</v>
      </c>
      <c r="L66" s="61">
        <f t="shared" si="20"/>
        <v>696645</v>
      </c>
      <c r="M66" s="39">
        <f t="shared" si="20"/>
        <v>-27387.68</v>
      </c>
      <c r="N66" s="61">
        <f t="shared" si="20"/>
        <v>296578</v>
      </c>
      <c r="O66" s="39">
        <f t="shared" si="20"/>
        <v>-83.75</v>
      </c>
      <c r="P66" s="61">
        <f t="shared" si="20"/>
        <v>-1339725</v>
      </c>
      <c r="Q66" s="39">
        <f t="shared" si="20"/>
        <v>14584</v>
      </c>
      <c r="R66" s="61">
        <f t="shared" si="20"/>
        <v>2843</v>
      </c>
      <c r="S66" s="39">
        <f t="shared" si="20"/>
        <v>1158.54</v>
      </c>
      <c r="T66" s="61">
        <f t="shared" si="20"/>
        <v>1164</v>
      </c>
      <c r="U66" s="39">
        <f>SUM(U64:U65)</f>
        <v>-1.94</v>
      </c>
      <c r="V66" s="61">
        <f t="shared" si="20"/>
        <v>0</v>
      </c>
      <c r="W66" s="39">
        <f>SUM(W64:W65)</f>
        <v>17262</v>
      </c>
      <c r="X66" s="61">
        <f t="shared" si="20"/>
        <v>0</v>
      </c>
      <c r="Y66" s="39">
        <f>SUM(Y64:Y65)</f>
        <v>0</v>
      </c>
      <c r="Z66" s="61">
        <f t="shared" si="20"/>
        <v>0</v>
      </c>
      <c r="AA66" s="39">
        <f t="shared" ref="AA66:AQ66" si="21">SUM(AA64:AA65)</f>
        <v>0</v>
      </c>
      <c r="AB66" s="61">
        <f t="shared" si="21"/>
        <v>0</v>
      </c>
      <c r="AC66" s="39">
        <f t="shared" si="21"/>
        <v>0.01</v>
      </c>
      <c r="AD66" s="61">
        <f t="shared" si="21"/>
        <v>2759</v>
      </c>
      <c r="AE66" s="39">
        <f t="shared" si="21"/>
        <v>-0.64</v>
      </c>
      <c r="AF66" s="61">
        <f>SUM(AF64:AF65)</f>
        <v>-2759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1054678.81</v>
      </c>
      <c r="F70" s="64">
        <f>('TIE-OUT'!P70+'TIE-OUT'!R70)+(RECLASS!P70+RECLASS!R70)</f>
        <v>0</v>
      </c>
      <c r="G70" s="68">
        <f>('TIE-OUT'!Q70+'TIE-OUT'!S70)+(RECLASS!Q70+RECLASS!S70)</f>
        <v>1054678.81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'TX-EGM-GL'!AF70+'TX-HPL-GL '!AF70</f>
        <v>0</v>
      </c>
      <c r="AG70" s="38">
        <f>'TX-EGM-GL'!AG70+'TX-HPL-GL '!AG70</f>
        <v>0</v>
      </c>
      <c r="AH70" s="60">
        <f>'TX-EGM-GL'!AT70+'TX-HPL-GL '!AT70</f>
        <v>0</v>
      </c>
      <c r="AI70" s="38">
        <f>'TX-EGM-GL'!AU70+'TX-HPL-GL '!AU70</f>
        <v>0</v>
      </c>
      <c r="AJ70" s="60">
        <f>'TX-EGM-GL'!AV70+'TX-HPL-GL '!AV70</f>
        <v>0</v>
      </c>
      <c r="AK70" s="38">
        <f>'TX-EGM-GL'!AW70+'TX-HPL-GL '!AW70</f>
        <v>0</v>
      </c>
      <c r="AL70" s="60">
        <f>'TX-EGM-GL'!AX70+'TX-HPL-GL '!AX70</f>
        <v>0</v>
      </c>
      <c r="AM70" s="38">
        <f>'TX-EGM-GL'!AY70+'TX-HPL-GL '!AY70</f>
        <v>0</v>
      </c>
      <c r="AN70" s="60">
        <f>'TX-EGM-GL'!AZ70+'TX-HPL-GL '!AZ70</f>
        <v>0</v>
      </c>
      <c r="AO70" s="38">
        <f>'TX-EGM-GL'!BA70+'TX-HPL-GL '!BA70</f>
        <v>0</v>
      </c>
      <c r="AP70" s="60">
        <f>'TX-EGM-GL'!BB70+'TX-HPL-GL '!BB70</f>
        <v>0</v>
      </c>
      <c r="AQ70" s="38">
        <f>'TX-EGM-GL'!BC70+'TX-HPL-GL '!BC70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-300496</v>
      </c>
      <c r="F71" s="81">
        <f>('TIE-OUT'!P71+'TIE-OUT'!R71)+(RECLASS!P71+RECLASS!R71)</f>
        <v>0</v>
      </c>
      <c r="G71" s="82">
        <f>('TIE-OUT'!Q71+'TIE-OUT'!S71)+(RECLASS!Q71+RECLASS!S71)</f>
        <v>-300496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'TX-EGM-GL'!AF71+'TX-HPL-GL '!AF71</f>
        <v>0</v>
      </c>
      <c r="AG71" s="38">
        <f>'TX-EGM-GL'!AG71+'TX-HPL-GL '!AG71</f>
        <v>0</v>
      </c>
      <c r="AH71" s="60">
        <f>'TX-EGM-GL'!AT71+'TX-HPL-GL '!AT71</f>
        <v>0</v>
      </c>
      <c r="AI71" s="38">
        <f>'TX-EGM-GL'!AU71+'TX-HPL-GL '!AU71</f>
        <v>0</v>
      </c>
      <c r="AJ71" s="60">
        <f>'TX-EGM-GL'!AV71+'TX-HPL-GL '!AV71</f>
        <v>0</v>
      </c>
      <c r="AK71" s="38">
        <f>'TX-EGM-GL'!AW71+'TX-HPL-GL '!AW71</f>
        <v>0</v>
      </c>
      <c r="AL71" s="60">
        <f>'TX-EGM-GL'!AX71+'TX-HPL-GL '!AX71</f>
        <v>0</v>
      </c>
      <c r="AM71" s="38">
        <f>'TX-EGM-GL'!AY71+'TX-HPL-GL '!AY71</f>
        <v>0</v>
      </c>
      <c r="AN71" s="60">
        <f>'TX-EGM-GL'!AZ71+'TX-HPL-GL '!AZ71</f>
        <v>0</v>
      </c>
      <c r="AO71" s="38">
        <f>'TX-EGM-GL'!BA71+'TX-HPL-GL '!BA71</f>
        <v>0</v>
      </c>
      <c r="AP71" s="60">
        <f>'TX-EGM-GL'!BB71+'TX-HPL-GL '!BB71</f>
        <v>0</v>
      </c>
      <c r="AQ71" s="38">
        <f>'TX-EGM-GL'!BC71+'TX-HPL-GL '!BC71</f>
        <v>0</v>
      </c>
    </row>
    <row r="72" spans="1:4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754182.81</v>
      </c>
      <c r="F72" s="61">
        <f t="shared" ref="F72:Z72" si="22">SUM(F70:F71)</f>
        <v>0</v>
      </c>
      <c r="G72" s="39">
        <f t="shared" si="22"/>
        <v>754182.81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>SUM(Y70:Y71)</f>
        <v>0</v>
      </c>
      <c r="Z72" s="61">
        <f t="shared" si="22"/>
        <v>0</v>
      </c>
      <c r="AA72" s="39">
        <f t="shared" ref="AA72:AQ72" si="23">SUM(AA70:AA71)</f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'TX-EGM-GL'!AF73+'TX-HPL-GL '!AF73</f>
        <v>0</v>
      </c>
      <c r="AG73" s="38">
        <f>'TX-EGM-GL'!AG73+'TX-HPL-GL '!AG73</f>
        <v>0</v>
      </c>
      <c r="AH73" s="60">
        <f>'TX-EGM-GL'!AT73+'TX-HPL-GL '!AT73</f>
        <v>0</v>
      </c>
      <c r="AI73" s="38">
        <f>'TX-EGM-GL'!AU73+'TX-HPL-GL '!AU73</f>
        <v>0</v>
      </c>
      <c r="AJ73" s="60">
        <f>'TX-EGM-GL'!AV73+'TX-HPL-GL '!AV73</f>
        <v>0</v>
      </c>
      <c r="AK73" s="38">
        <f>'TX-EGM-GL'!AW73+'TX-HPL-GL '!AW73</f>
        <v>0</v>
      </c>
      <c r="AL73" s="60">
        <f>'TX-EGM-GL'!AX73+'TX-HPL-GL '!AX73</f>
        <v>0</v>
      </c>
      <c r="AM73" s="38">
        <f>'TX-EGM-GL'!AY73+'TX-HPL-GL '!AY73</f>
        <v>0</v>
      </c>
      <c r="AN73" s="60">
        <f>'TX-EGM-GL'!AZ73+'TX-HPL-GL '!AZ73</f>
        <v>0</v>
      </c>
      <c r="AO73" s="38">
        <f>'TX-EGM-GL'!BA73+'TX-HPL-GL '!BA73</f>
        <v>0</v>
      </c>
      <c r="AP73" s="60">
        <f>'TX-EGM-GL'!BB73+'TX-HPL-GL '!BB73</f>
        <v>0</v>
      </c>
      <c r="AQ73" s="38">
        <f>'TX-EGM-GL'!BC73+'TX-HPL-GL '!BC73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1288366.1299999999</v>
      </c>
      <c r="F74" s="60">
        <f>('TIE-OUT'!P74+'TIE-OUT'!R74)+(RECLASS!P74+RECLASS!R74)</f>
        <v>0</v>
      </c>
      <c r="G74" s="60">
        <f>('TIE-OUT'!Q74+'TIE-OUT'!S74)+(RECLASS!Q74+RECLASS!S74)</f>
        <v>-615498.87000000011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1470184</v>
      </c>
      <c r="L74" s="60">
        <f>'TX-EGM-GL'!L74+'TX-HPL-GL '!L74</f>
        <v>0</v>
      </c>
      <c r="M74" s="38">
        <f>'TX-EGM-GL'!M74+'TX-HPL-GL '!M74</f>
        <v>2025520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-1591839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'TX-EGM-GL'!AF74+'TX-HPL-GL '!AF74</f>
        <v>0</v>
      </c>
      <c r="AG74" s="38">
        <f>'TX-EGM-GL'!AG74+'TX-HPL-GL '!AG74</f>
        <v>0</v>
      </c>
      <c r="AH74" s="60">
        <f>'TX-EGM-GL'!AT74+'TX-HPL-GL '!AT74</f>
        <v>0</v>
      </c>
      <c r="AI74" s="38">
        <f>'TX-EGM-GL'!AU74+'TX-HPL-GL '!AU74</f>
        <v>0</v>
      </c>
      <c r="AJ74" s="60">
        <f>'TX-EGM-GL'!AV74+'TX-HPL-GL '!AV74</f>
        <v>0</v>
      </c>
      <c r="AK74" s="38">
        <f>'TX-EGM-GL'!AW74+'TX-HPL-GL '!AW74</f>
        <v>0</v>
      </c>
      <c r="AL74" s="60">
        <f>'TX-EGM-GL'!AX74+'TX-HPL-GL '!AX74</f>
        <v>0</v>
      </c>
      <c r="AM74" s="38">
        <f>'TX-EGM-GL'!AY74+'TX-HPL-GL '!AY74</f>
        <v>0</v>
      </c>
      <c r="AN74" s="60">
        <f>'TX-EGM-GL'!AZ74+'TX-HPL-GL '!AZ74</f>
        <v>0</v>
      </c>
      <c r="AO74" s="38">
        <f>'TX-EGM-GL'!BA74+'TX-HPL-GL '!BA74</f>
        <v>0</v>
      </c>
      <c r="AP74" s="60">
        <f>'TX-EGM-GL'!BB74+'TX-HPL-GL '!BB74</f>
        <v>0</v>
      </c>
      <c r="AQ74" s="38">
        <f>'TX-EGM-GL'!BC74+'TX-HPL-GL '!BC74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118700</v>
      </c>
      <c r="F75" s="60">
        <f>('TIE-OUT'!P75+'TIE-OUT'!R75)+(RECLASS!P75+RECLASS!R75)</f>
        <v>0</v>
      </c>
      <c r="G75" s="60">
        <f>('TIE-OUT'!Q75+'TIE-OUT'!S75)+(RECLASS!Q75+RECLASS!S75)</f>
        <v>118700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'TX-EGM-GL'!AF75+'TX-HPL-GL '!AF75</f>
        <v>0</v>
      </c>
      <c r="AG75" s="38">
        <f>'TX-EGM-GL'!AG75+'TX-HPL-GL '!AG75</f>
        <v>0</v>
      </c>
      <c r="AH75" s="60">
        <f>'TX-EGM-GL'!AT75+'TX-HPL-GL '!AT75</f>
        <v>0</v>
      </c>
      <c r="AI75" s="38">
        <f>'TX-EGM-GL'!AU75+'TX-HPL-GL '!AU75</f>
        <v>0</v>
      </c>
      <c r="AJ75" s="60">
        <f>'TX-EGM-GL'!AV75+'TX-HPL-GL '!AV75</f>
        <v>0</v>
      </c>
      <c r="AK75" s="38">
        <f>'TX-EGM-GL'!AW75+'TX-HPL-GL '!AW75</f>
        <v>0</v>
      </c>
      <c r="AL75" s="60">
        <f>'TX-EGM-GL'!AX75+'TX-HPL-GL '!AX75</f>
        <v>0</v>
      </c>
      <c r="AM75" s="38">
        <f>'TX-EGM-GL'!AY75+'TX-HPL-GL '!AY75</f>
        <v>0</v>
      </c>
      <c r="AN75" s="60">
        <f>'TX-EGM-GL'!AZ75+'TX-HPL-GL '!AZ75</f>
        <v>0</v>
      </c>
      <c r="AO75" s="38">
        <f>'TX-EGM-GL'!BA75+'TX-HPL-GL '!BA75</f>
        <v>0</v>
      </c>
      <c r="AP75" s="60">
        <f>'TX-EGM-GL'!BB75+'TX-HPL-GL '!BB75</f>
        <v>0</v>
      </c>
      <c r="AQ75" s="38">
        <f>'TX-EGM-GL'!BC75+'TX-HPL-GL '!BC75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-14227.5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-14227.5</v>
      </c>
      <c r="J76" s="60">
        <f>'TX-EGM-GL'!J76+'TX-HPL-GL '!J76</f>
        <v>0</v>
      </c>
      <c r="K76" s="38">
        <f>'TX-EGM-GL'!K76+'TX-HPL-GL '!K76</f>
        <v>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'TX-EGM-GL'!AF76+'TX-HPL-GL '!AF76</f>
        <v>0</v>
      </c>
      <c r="AG76" s="38">
        <f>'TX-EGM-GL'!AG76+'TX-HPL-GL '!AG76</f>
        <v>0</v>
      </c>
      <c r="AH76" s="60">
        <f>'TX-EGM-GL'!AT76+'TX-HPL-GL '!AT76</f>
        <v>0</v>
      </c>
      <c r="AI76" s="38">
        <f>'TX-EGM-GL'!AU76+'TX-HPL-GL '!AU76</f>
        <v>0</v>
      </c>
      <c r="AJ76" s="60">
        <f>'TX-EGM-GL'!AV76+'TX-HPL-GL '!AV76</f>
        <v>0</v>
      </c>
      <c r="AK76" s="38">
        <f>'TX-EGM-GL'!AW76+'TX-HPL-GL '!AW76</f>
        <v>0</v>
      </c>
      <c r="AL76" s="60">
        <f>'TX-EGM-GL'!AX76+'TX-HPL-GL '!AX76</f>
        <v>0</v>
      </c>
      <c r="AM76" s="38">
        <f>'TX-EGM-GL'!AY76+'TX-HPL-GL '!AY76</f>
        <v>0</v>
      </c>
      <c r="AN76" s="60">
        <f>'TX-EGM-GL'!AZ76+'TX-HPL-GL '!AZ76</f>
        <v>0</v>
      </c>
      <c r="AO76" s="38">
        <f>'TX-EGM-GL'!BA76+'TX-HPL-GL '!BA76</f>
        <v>0</v>
      </c>
      <c r="AP76" s="60">
        <f>'TX-EGM-GL'!BB76+'TX-HPL-GL '!BB76</f>
        <v>0</v>
      </c>
      <c r="AQ76" s="38">
        <f>'TX-EGM-GL'!BC76+'TX-HPL-GL '!BC76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'TX-EGM-GL'!AF77+'TX-HPL-GL '!AF77</f>
        <v>0</v>
      </c>
      <c r="AG77" s="38">
        <f>'TX-EGM-GL'!AG77+'TX-HPL-GL '!AG77</f>
        <v>0</v>
      </c>
      <c r="AH77" s="60">
        <f>'TX-EGM-GL'!AT77+'TX-HPL-GL '!AT77</f>
        <v>0</v>
      </c>
      <c r="AI77" s="38">
        <f>'TX-EGM-GL'!AU77+'TX-HPL-GL '!AU77</f>
        <v>0</v>
      </c>
      <c r="AJ77" s="60">
        <f>'TX-EGM-GL'!AV77+'TX-HPL-GL '!AV77</f>
        <v>0</v>
      </c>
      <c r="AK77" s="38">
        <f>'TX-EGM-GL'!AW77+'TX-HPL-GL '!AW77</f>
        <v>0</v>
      </c>
      <c r="AL77" s="60">
        <f>'TX-EGM-GL'!AX77+'TX-HPL-GL '!AX77</f>
        <v>0</v>
      </c>
      <c r="AM77" s="38">
        <f>'TX-EGM-GL'!AY77+'TX-HPL-GL '!AY77</f>
        <v>0</v>
      </c>
      <c r="AN77" s="60">
        <f>'TX-EGM-GL'!AZ77+'TX-HPL-GL '!AZ77</f>
        <v>0</v>
      </c>
      <c r="AO77" s="38">
        <f>'TX-EGM-GL'!BA77+'TX-HPL-GL '!BA77</f>
        <v>0</v>
      </c>
      <c r="AP77" s="60">
        <f>'TX-EGM-GL'!BB77+'TX-HPL-GL '!BB77</f>
        <v>0</v>
      </c>
      <c r="AQ77" s="38">
        <f>'TX-EGM-GL'!BC77+'TX-HPL-GL '!BC77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'TX-EGM-GL'!AF78+'TX-HPL-GL '!AF78</f>
        <v>0</v>
      </c>
      <c r="AG78" s="38">
        <f>'TX-EGM-GL'!AG78+'TX-HPL-GL '!AG78</f>
        <v>0</v>
      </c>
      <c r="AH78" s="60">
        <f>'TX-EGM-GL'!AT78+'TX-HPL-GL '!AT78</f>
        <v>0</v>
      </c>
      <c r="AI78" s="38">
        <f>'TX-EGM-GL'!AU78+'TX-HPL-GL '!AU78</f>
        <v>0</v>
      </c>
      <c r="AJ78" s="60">
        <f>'TX-EGM-GL'!AV78+'TX-HPL-GL '!AV78</f>
        <v>0</v>
      </c>
      <c r="AK78" s="38">
        <f>'TX-EGM-GL'!AW78+'TX-HPL-GL '!AW78</f>
        <v>0</v>
      </c>
      <c r="AL78" s="60">
        <f>'TX-EGM-GL'!AX78+'TX-HPL-GL '!AX78</f>
        <v>0</v>
      </c>
      <c r="AM78" s="38">
        <f>'TX-EGM-GL'!AY78+'TX-HPL-GL '!AY78</f>
        <v>0</v>
      </c>
      <c r="AN78" s="60">
        <f>'TX-EGM-GL'!AZ78+'TX-HPL-GL '!AZ78</f>
        <v>0</v>
      </c>
      <c r="AO78" s="38">
        <f>'TX-EGM-GL'!BA78+'TX-HPL-GL '!BA78</f>
        <v>0</v>
      </c>
      <c r="AP78" s="60">
        <f>'TX-EGM-GL'!BB78+'TX-HPL-GL '!BB78</f>
        <v>0</v>
      </c>
      <c r="AQ78" s="38">
        <f>'TX-EGM-GL'!BC78+'TX-HPL-GL '!BC78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'TX-EGM-GL'!AF79+'TX-HPL-GL '!AF79</f>
        <v>0</v>
      </c>
      <c r="AG79" s="38">
        <f>'TX-EGM-GL'!AG79+'TX-HPL-GL '!AG79</f>
        <v>0</v>
      </c>
      <c r="AH79" s="60">
        <f>'TX-EGM-GL'!AT79+'TX-HPL-GL '!AT79</f>
        <v>0</v>
      </c>
      <c r="AI79" s="38">
        <f>'TX-EGM-GL'!AU79+'TX-HPL-GL '!AU79</f>
        <v>0</v>
      </c>
      <c r="AJ79" s="60">
        <f>'TX-EGM-GL'!AV79+'TX-HPL-GL '!AV79</f>
        <v>0</v>
      </c>
      <c r="AK79" s="38">
        <f>'TX-EGM-GL'!AW79+'TX-HPL-GL '!AW79</f>
        <v>0</v>
      </c>
      <c r="AL79" s="60">
        <f>'TX-EGM-GL'!AX79+'TX-HPL-GL '!AX79</f>
        <v>0</v>
      </c>
      <c r="AM79" s="38">
        <f>'TX-EGM-GL'!AY79+'TX-HPL-GL '!AY79</f>
        <v>0</v>
      </c>
      <c r="AN79" s="60">
        <f>'TX-EGM-GL'!AZ79+'TX-HPL-GL '!AZ79</f>
        <v>0</v>
      </c>
      <c r="AO79" s="38">
        <f>'TX-EGM-GL'!BA79+'TX-HPL-GL '!BA79</f>
        <v>0</v>
      </c>
      <c r="AP79" s="60">
        <f>'TX-EGM-GL'!BB79+'TX-HPL-GL '!BB79</f>
        <v>0</v>
      </c>
      <c r="AQ79" s="38">
        <f>'TX-EGM-GL'!BC79+'TX-HPL-GL '!BC79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'TX-EGM-GL'!AF80+'TX-HPL-GL '!AF80</f>
        <v>0</v>
      </c>
      <c r="AG80" s="38">
        <f>'TX-EGM-GL'!AG80+'TX-HPL-GL '!AG80</f>
        <v>0</v>
      </c>
      <c r="AH80" s="60">
        <f>'TX-EGM-GL'!AT80+'TX-HPL-GL '!AT80</f>
        <v>0</v>
      </c>
      <c r="AI80" s="38">
        <f>'TX-EGM-GL'!AU80+'TX-HPL-GL '!AU80</f>
        <v>0</v>
      </c>
      <c r="AJ80" s="60">
        <f>'TX-EGM-GL'!AV80+'TX-HPL-GL '!AV80</f>
        <v>0</v>
      </c>
      <c r="AK80" s="38">
        <f>'TX-EGM-GL'!AW80+'TX-HPL-GL '!AW80</f>
        <v>0</v>
      </c>
      <c r="AL80" s="60">
        <f>'TX-EGM-GL'!AX80+'TX-HPL-GL '!AX80</f>
        <v>0</v>
      </c>
      <c r="AM80" s="38">
        <f>'TX-EGM-GL'!AY80+'TX-HPL-GL '!AY80</f>
        <v>0</v>
      </c>
      <c r="AN80" s="60">
        <f>'TX-EGM-GL'!AZ80+'TX-HPL-GL '!AZ80</f>
        <v>0</v>
      </c>
      <c r="AO80" s="38">
        <f>'TX-EGM-GL'!BA80+'TX-HPL-GL '!BA80</f>
        <v>0</v>
      </c>
      <c r="AP80" s="60">
        <f>'TX-EGM-GL'!BB80+'TX-HPL-GL '!BB80</f>
        <v>0</v>
      </c>
      <c r="AQ80" s="38">
        <f>'TX-EGM-GL'!BC80+'TX-HPL-GL '!BC80</f>
        <v>0</v>
      </c>
    </row>
    <row r="81" spans="1:79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0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'TX-EGM-GL'!AF81+'TX-HPL-GL '!AF81</f>
        <v>0</v>
      </c>
      <c r="AG81" s="38">
        <f>'TX-EGM-GL'!AG81+'TX-HPL-GL '!AG81</f>
        <v>0</v>
      </c>
      <c r="AH81" s="60">
        <f>'TX-EGM-GL'!AT81+'TX-HPL-GL '!AT81</f>
        <v>0</v>
      </c>
      <c r="AI81" s="38">
        <f>'TX-EGM-GL'!AU81+'TX-HPL-GL '!AU81</f>
        <v>0</v>
      </c>
      <c r="AJ81" s="60">
        <f>'TX-EGM-GL'!AV81+'TX-HPL-GL '!AV81</f>
        <v>0</v>
      </c>
      <c r="AK81" s="38">
        <f>'TX-EGM-GL'!AW81+'TX-HPL-GL '!AW81</f>
        <v>0</v>
      </c>
      <c r="AL81" s="60">
        <f>'TX-EGM-GL'!AX81+'TX-HPL-GL '!AX81</f>
        <v>0</v>
      </c>
      <c r="AM81" s="38">
        <f>'TX-EGM-GL'!AY81+'TX-HPL-GL '!AY81</f>
        <v>0</v>
      </c>
      <c r="AN81" s="60">
        <f>'TX-EGM-GL'!AZ81+'TX-HPL-GL '!AZ81</f>
        <v>0</v>
      </c>
      <c r="AO81" s="38">
        <f>'TX-EGM-GL'!BA81+'TX-HPL-GL '!BA81</f>
        <v>0</v>
      </c>
      <c r="AP81" s="60">
        <f>'TX-EGM-GL'!BB81+'TX-HPL-GL '!BB81</f>
        <v>0</v>
      </c>
      <c r="AQ81" s="38">
        <f>'TX-EGM-GL'!BC81+'TX-HPL-GL '!BC81</f>
        <v>0</v>
      </c>
    </row>
    <row r="82" spans="1:79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822111.29079998366</v>
      </c>
      <c r="F82" s="92">
        <f>F16+F24+F29+F36+F43+F45+F47+F49</f>
        <v>0</v>
      </c>
      <c r="G82" s="93">
        <f>SUM(G72:G81)+G16+G24+G29+G36+G43+G45+G47+G49+G51+G56+G61+G66</f>
        <v>-4228012.7</v>
      </c>
      <c r="H82" s="92">
        <f>H16+H24+H29+H36+H43+H45+H47+H49</f>
        <v>1206651</v>
      </c>
      <c r="I82" s="93">
        <f>SUM(I72:I81)+I16+I24+I29+I36+I43+I45+I47+I49+I51+I56+I61+I66</f>
        <v>5559858.7080000062</v>
      </c>
      <c r="J82" s="92">
        <f>J16+J24+J29+J36+J43+J45+J47+J49</f>
        <v>-1206651</v>
      </c>
      <c r="K82" s="93">
        <f>SUM(K72:K81)+K16+K24+K29+K36+K43+K45+K47+K49+K51+K56+K61+K66</f>
        <v>-2017252.2190000014</v>
      </c>
      <c r="L82" s="92">
        <f>L16+L24+L29+L36+L43+L45+L47+L49</f>
        <v>0</v>
      </c>
      <c r="M82" s="93">
        <f>SUM(M72:M81)+M16+M24+M29+M36+M43+M45+M47+M49+M51+M56+M61+M66</f>
        <v>2211227.0590000008</v>
      </c>
      <c r="N82" s="92">
        <f>N16+N24+N29+N36+N43+N45+N47+N49</f>
        <v>0</v>
      </c>
      <c r="O82" s="93">
        <f>SUM(O72:O81)+O16+O24+O29+O36+O43+O45+O47+O49+O51+O56+O61+O66</f>
        <v>1468146.6600000001</v>
      </c>
      <c r="P82" s="92">
        <f>P16+P24+P29+P36+P43+P45+P47+P49</f>
        <v>0</v>
      </c>
      <c r="Q82" s="93">
        <f>SUM(Q72:Q81)+Q16+Q24+Q29+Q36+Q43+Q45+Q47+Q49+Q51+Q56+Q61+Q66</f>
        <v>-3605197.1551999999</v>
      </c>
      <c r="R82" s="92">
        <f>R16+R24+R29+R36+R43+R45+R47+R49</f>
        <v>0</v>
      </c>
      <c r="S82" s="93">
        <f>SUM(S72:S81)+S16+S24+S29+S36+S43+S45+S47+S49+S51+S56+S61+S66</f>
        <v>1326734.6860000005</v>
      </c>
      <c r="T82" s="92">
        <f>T16+T24+T29+T36+T43+T45+T47+T49</f>
        <v>0</v>
      </c>
      <c r="U82" s="93">
        <f>SUM(U72:U81)+U16+U24+U29+U36+U43+U45+U47+U49+U51+U56+U61+U66</f>
        <v>-21429.163999999979</v>
      </c>
      <c r="V82" s="92">
        <f>V16+V24+V29+V36+V43+V45+V47+V49</f>
        <v>0</v>
      </c>
      <c r="W82" s="93">
        <f>SUM(W72:W81)+W16+W24+W29+W36+W43+W45+W47+W49+W51+W56+W61+W66</f>
        <v>84535.429000000076</v>
      </c>
      <c r="X82" s="92">
        <f>X16+X24+X29+X36+X43+X45+X47+X49</f>
        <v>0</v>
      </c>
      <c r="Y82" s="93">
        <f>SUM(Y72:Y81)+Y16+Y24+Y29+Y36+Y43+Y45+Y47+Y49+Y51+Y56+Y61+Y66</f>
        <v>-9450.9499999999771</v>
      </c>
      <c r="Z82" s="92">
        <f>Z16+Z24+Z29+Z36+Z43+Z45+Z47+Z49</f>
        <v>0</v>
      </c>
      <c r="AA82" s="93">
        <f>SUM(AA72:AA81)+AA16+AA24+AA29+AA36+AA43+AA45+AA47+AA49+AA51+AA56+AA61+AA66</f>
        <v>18802.240000000093</v>
      </c>
      <c r="AB82" s="92">
        <f>AB16+AB24+AB29+AB36+AB43+AB45+AB47+AB49</f>
        <v>0</v>
      </c>
      <c r="AC82" s="93">
        <f>SUM(AC72:AC81)+AC16+AC24+AC29+AC36+AC43+AC45+AC47+AC49+AC51+AC56+AC61+AC66</f>
        <v>20307.484</v>
      </c>
      <c r="AD82" s="92">
        <f>AD16+AD24+AD29+AD36+AD43+AD45+AD47+AD49</f>
        <v>0</v>
      </c>
      <c r="AE82" s="93">
        <f>SUM(AE72:AE81)+AE16+AE24+AE29+AE36+AE43+AE45+AE47+AE49+AE51+AE56+AE61+AE66</f>
        <v>49406.954999999827</v>
      </c>
      <c r="AF82" s="92">
        <f>AF16+AF24+AF29+AF36+AF43+AF45+AF47+AF49</f>
        <v>0</v>
      </c>
      <c r="AG82" s="93">
        <f>SUM(AG72:AG81)+AG16+AG24+AG29+AG36+AG43+AG45+AG47+AG49+AG51+AG56+AG61+AG66</f>
        <v>-35565.742000000006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5" thickTop="1" x14ac:dyDescent="0.2">
      <c r="A83" s="4"/>
      <c r="B83" s="3"/>
    </row>
    <row r="84" spans="1:79" x14ac:dyDescent="0.2">
      <c r="A84" s="4"/>
      <c r="B84" s="3"/>
    </row>
    <row r="85" spans="1:79" x14ac:dyDescent="0.2">
      <c r="A85" s="4" t="s">
        <v>185</v>
      </c>
      <c r="B85" s="3"/>
      <c r="F85" s="31"/>
      <c r="G85" s="31"/>
      <c r="H85" s="31"/>
      <c r="I85" s="31"/>
      <c r="L85" s="45"/>
    </row>
    <row r="86" spans="1:79" s="3" customFormat="1" x14ac:dyDescent="0.2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114066.14000000013</v>
      </c>
      <c r="F86" s="178">
        <f>'TX-EGM-GL'!F86+'TX-HPL-GL '!F86</f>
        <v>0</v>
      </c>
      <c r="G86" s="178">
        <f>'TX-EGM-GL'!G86+'TX-HPL-GL '!G86</f>
        <v>3914066.14</v>
      </c>
      <c r="H86" s="178">
        <f>'TX-EGM-GL'!H86+'TX-HPL-GL '!H86</f>
        <v>0</v>
      </c>
      <c r="I86" s="178">
        <f>'TX-EGM-GL'!I86+'TX-HPL-GL '!I86</f>
        <v>0</v>
      </c>
      <c r="J86" s="178">
        <f>'TX-EGM-GL'!J86+'TX-HPL-GL '!J86</f>
        <v>0</v>
      </c>
      <c r="K86" s="178">
        <f>'TX-EGM-GL'!K86+'TX-HPL-GL '!K86</f>
        <v>-3800000</v>
      </c>
      <c r="L86" s="178">
        <f>'TX-EGM-GL'!L86+'TX-HPL-GL '!L86</f>
        <v>0</v>
      </c>
      <c r="M86" s="178">
        <f>'TX-EGM-GL'!M86+'TX-HPL-GL '!M86</f>
        <v>0</v>
      </c>
      <c r="N86" s="178">
        <f>'TX-EGM-GL'!N86+'TX-HPL-GL '!N86</f>
        <v>0</v>
      </c>
      <c r="O86" s="178">
        <f>'TX-EGM-GL'!O86+'TX-HPL-GL '!O86</f>
        <v>0</v>
      </c>
      <c r="P86" s="178">
        <f>'TX-EGM-GL'!P86+'TX-HPL-GL '!P86</f>
        <v>0</v>
      </c>
      <c r="Q86" s="178">
        <f>'TX-EGM-GL'!Q86+'TX-HPL-GL '!Q86</f>
        <v>0</v>
      </c>
      <c r="R86" s="178">
        <f>'TX-EGM-GL'!R86+'TX-HPL-GL '!R86</f>
        <v>0</v>
      </c>
      <c r="S86" s="178">
        <f>'TX-EGM-GL'!S86+'TX-HPL-GL '!S86</f>
        <v>0</v>
      </c>
      <c r="T86" s="178">
        <f>'TX-EGM-GL'!T86+'TX-HPL-GL '!T86</f>
        <v>0</v>
      </c>
      <c r="U86" s="178">
        <f>'TX-EGM-GL'!U86+'TX-HPL-GL '!U86</f>
        <v>0</v>
      </c>
      <c r="V86" s="178">
        <f>'TX-EGM-GL'!V86+'TX-HPL-GL '!V86</f>
        <v>0</v>
      </c>
      <c r="W86" s="178">
        <f>'TX-EGM-GL'!W86+'TX-HPL-GL '!W86</f>
        <v>0</v>
      </c>
      <c r="X86" s="178">
        <f>'TX-EGM-GL'!X86+'TX-HPL-GL '!X86</f>
        <v>0</v>
      </c>
      <c r="Y86" s="178">
        <f>'TX-EGM-GL'!Y86+'TX-HPL-GL '!Y86</f>
        <v>0</v>
      </c>
      <c r="Z86" s="178">
        <f>'TX-EGM-GL'!Z86+'TX-HPL-GL '!Z86</f>
        <v>0</v>
      </c>
      <c r="AA86" s="178">
        <f>'TX-EGM-GL'!AA86+'TX-HPL-GL '!AA86</f>
        <v>0</v>
      </c>
      <c r="AB86" s="178">
        <f>'TX-EGM-GL'!AB86+'TX-HPL-GL '!AB86</f>
        <v>0</v>
      </c>
      <c r="AC86" s="178">
        <f>'TX-EGM-GL'!AC86+'TX-HPL-GL '!AC86</f>
        <v>0</v>
      </c>
      <c r="AD86" s="178">
        <f>'TX-EGM-GL'!AD86+'TX-HPL-GL '!AD86</f>
        <v>0</v>
      </c>
      <c r="AE86" s="178">
        <f>'TX-EGM-GL'!AE86+'TX-HPL-GL '!AE86</f>
        <v>0</v>
      </c>
      <c r="AF86" s="178">
        <f>'TX-EGM-GL'!AR86+'TX-HPL-GL '!AR86</f>
        <v>0</v>
      </c>
      <c r="AG86" s="178">
        <f>'TX-EGM-GL'!AS86+'TX-HPL-GL '!AS86</f>
        <v>0</v>
      </c>
      <c r="AH86" s="178">
        <f>'TX-EGM-GL'!AT86+'TX-HPL-GL '!AT86</f>
        <v>0</v>
      </c>
      <c r="AI86" s="178">
        <f>'TX-EGM-GL'!AU86+'TX-HPL-GL '!AU86</f>
        <v>0</v>
      </c>
      <c r="AJ86" s="178">
        <f>'TX-EGM-GL'!AV86+'TX-HPL-GL '!AV86</f>
        <v>0</v>
      </c>
      <c r="AK86" s="178">
        <f>'TX-EGM-GL'!AW86+'TX-HPL-GL '!AW86</f>
        <v>0</v>
      </c>
      <c r="AL86" s="178">
        <f>'TX-EGM-GL'!AX86+'TX-HPL-GL '!AX86</f>
        <v>0</v>
      </c>
      <c r="AM86" s="178">
        <f>'TX-EGM-GL'!AY86+'TX-HPL-GL '!AY86</f>
        <v>0</v>
      </c>
      <c r="AN86" s="178">
        <f>'TX-EGM-GL'!AZ86+'TX-HPL-GL '!AZ86</f>
        <v>0</v>
      </c>
      <c r="AO86" s="178">
        <f>'TX-EGM-GL'!BA86+'TX-HPL-GL '!BA86</f>
        <v>0</v>
      </c>
      <c r="AP86" s="178">
        <f>'TX-EGM-GL'!BB86+'TX-HPL-GL '!BB86</f>
        <v>0</v>
      </c>
      <c r="AQ86" s="178">
        <f>'TX-EGM-GL'!BC86+'TX-HPL-GL '!BC86</f>
        <v>0</v>
      </c>
    </row>
    <row r="87" spans="1:79" s="3" customFormat="1" x14ac:dyDescent="0.2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'TX-EGM-GL'!F87+'TX-HPL-GL '!F87</f>
        <v>0</v>
      </c>
      <c r="G87" s="179">
        <f>'TX-EGM-GL'!G87+'TX-HPL-GL '!G87</f>
        <v>0</v>
      </c>
      <c r="H87" s="179">
        <f>'TX-EGM-GL'!H87+'TX-HPL-GL '!H87</f>
        <v>0</v>
      </c>
      <c r="I87" s="179">
        <f>'TX-EGM-GL'!I87+'TX-HPL-GL '!I87</f>
        <v>0</v>
      </c>
      <c r="J87" s="179">
        <f>'TX-EGM-GL'!J87+'TX-HPL-GL '!J87</f>
        <v>0</v>
      </c>
      <c r="K87" s="179">
        <f>'TX-EGM-GL'!K87+'TX-HPL-GL '!K87</f>
        <v>0</v>
      </c>
      <c r="L87" s="179">
        <f>'TX-EGM-GL'!L87+'TX-HPL-GL '!L87</f>
        <v>0</v>
      </c>
      <c r="M87" s="179">
        <f>'TX-EGM-GL'!M87+'TX-HPL-GL '!M87</f>
        <v>0</v>
      </c>
      <c r="N87" s="179">
        <f>'TX-EGM-GL'!N87+'TX-HPL-GL '!N87</f>
        <v>0</v>
      </c>
      <c r="O87" s="179">
        <f>'TX-EGM-GL'!O87+'TX-HPL-GL '!O87</f>
        <v>0</v>
      </c>
      <c r="P87" s="179">
        <f>'TX-EGM-GL'!P87+'TX-HPL-GL '!P87</f>
        <v>0</v>
      </c>
      <c r="Q87" s="179">
        <f>'TX-EGM-GL'!Q87+'TX-HPL-GL '!Q87</f>
        <v>0</v>
      </c>
      <c r="R87" s="179">
        <f>'TX-EGM-GL'!R87+'TX-HPL-GL '!R87</f>
        <v>0</v>
      </c>
      <c r="S87" s="179">
        <f>'TX-EGM-GL'!S87+'TX-HPL-GL '!S87</f>
        <v>0</v>
      </c>
      <c r="T87" s="179">
        <f>'TX-EGM-GL'!T87+'TX-HPL-GL '!T87</f>
        <v>0</v>
      </c>
      <c r="U87" s="179">
        <f>'TX-EGM-GL'!U87+'TX-HPL-GL '!U87</f>
        <v>0</v>
      </c>
      <c r="V87" s="179">
        <f>'TX-EGM-GL'!V87+'TX-HPL-GL '!V87</f>
        <v>0</v>
      </c>
      <c r="W87" s="179">
        <f>'TX-EGM-GL'!W87+'TX-HPL-GL '!W87</f>
        <v>0</v>
      </c>
      <c r="X87" s="179">
        <f>'TX-EGM-GL'!X87+'TX-HPL-GL '!X87</f>
        <v>0</v>
      </c>
      <c r="Y87" s="179">
        <f>'TX-EGM-GL'!Y87+'TX-HPL-GL '!Y87</f>
        <v>0</v>
      </c>
      <c r="Z87" s="179">
        <f>'TX-EGM-GL'!Z87+'TX-HPL-GL '!Z87</f>
        <v>0</v>
      </c>
      <c r="AA87" s="179">
        <f>'TX-EGM-GL'!AA87+'TX-HPL-GL '!AA87</f>
        <v>0</v>
      </c>
      <c r="AB87" s="179">
        <f>'TX-EGM-GL'!AB87+'TX-HPL-GL '!AB87</f>
        <v>0</v>
      </c>
      <c r="AC87" s="179">
        <f>'TX-EGM-GL'!AC87+'TX-HPL-GL '!AC87</f>
        <v>0</v>
      </c>
      <c r="AD87" s="179">
        <f>'TX-EGM-GL'!AD87+'TX-HPL-GL '!AD87</f>
        <v>0</v>
      </c>
      <c r="AE87" s="179">
        <f>'TX-EGM-GL'!AE87+'TX-HPL-GL '!AE87</f>
        <v>0</v>
      </c>
      <c r="AF87" s="179">
        <f>'TX-EGM-GL'!AR87+'TX-HPL-GL '!AR87</f>
        <v>0</v>
      </c>
      <c r="AG87" s="179">
        <f>'TX-EGM-GL'!AS87+'TX-HPL-GL '!AS87</f>
        <v>0</v>
      </c>
      <c r="AH87" s="179">
        <f>'TX-EGM-GL'!AT87+'TX-HPL-GL '!AT87</f>
        <v>0</v>
      </c>
      <c r="AI87" s="179">
        <f>'TX-EGM-GL'!AU87+'TX-HPL-GL '!AU87</f>
        <v>0</v>
      </c>
      <c r="AJ87" s="179">
        <f>'TX-EGM-GL'!AV87+'TX-HPL-GL '!AV87</f>
        <v>0</v>
      </c>
      <c r="AK87" s="179">
        <f>'TX-EGM-GL'!AW87+'TX-HPL-GL '!AW87</f>
        <v>0</v>
      </c>
      <c r="AL87" s="179">
        <f>'TX-EGM-GL'!AX87+'TX-HPL-GL '!AX87</f>
        <v>0</v>
      </c>
      <c r="AM87" s="179">
        <f>'TX-EGM-GL'!AY87+'TX-HPL-GL '!AY87</f>
        <v>0</v>
      </c>
      <c r="AN87" s="179">
        <f>'TX-EGM-GL'!AZ87+'TX-HPL-GL '!AZ87</f>
        <v>0</v>
      </c>
      <c r="AO87" s="179">
        <f>'TX-EGM-GL'!BA87+'TX-HPL-GL '!BA87</f>
        <v>0</v>
      </c>
      <c r="AP87" s="179">
        <f>'TX-EGM-GL'!BB87+'TX-HPL-GL '!BB87</f>
        <v>0</v>
      </c>
      <c r="AQ87" s="179">
        <f>'TX-EGM-GL'!BC87+'TX-HPL-GL '!BC87</f>
        <v>0</v>
      </c>
    </row>
    <row r="88" spans="1:79" s="3" customFormat="1" x14ac:dyDescent="0.2">
      <c r="A88" s="177"/>
      <c r="C88" s="10" t="s">
        <v>74</v>
      </c>
      <c r="D88" s="180">
        <f t="shared" si="26"/>
        <v>0</v>
      </c>
      <c r="E88" s="180">
        <f t="shared" si="26"/>
        <v>-113100</v>
      </c>
      <c r="F88" s="180">
        <f>'TX-EGM-GL'!F88+'TX-HPL-GL '!F88</f>
        <v>0</v>
      </c>
      <c r="G88" s="180">
        <f>'TX-EGM-GL'!G88+'TX-HPL-GL '!G88</f>
        <v>-113100</v>
      </c>
      <c r="H88" s="180">
        <f>'TX-EGM-GL'!H88+'TX-HPL-GL '!H88</f>
        <v>0</v>
      </c>
      <c r="I88" s="180">
        <f>'TX-EGM-GL'!I88+'TX-HPL-GL '!I88</f>
        <v>0</v>
      </c>
      <c r="J88" s="180">
        <f>'TX-EGM-GL'!J88+'TX-HPL-GL '!J88</f>
        <v>0</v>
      </c>
      <c r="K88" s="180">
        <f>'TX-EGM-GL'!K88+'TX-HPL-GL '!K88</f>
        <v>0</v>
      </c>
      <c r="L88" s="180">
        <f>'TX-EGM-GL'!L88+'TX-HPL-GL '!L88</f>
        <v>0</v>
      </c>
      <c r="M88" s="180">
        <f>'TX-EGM-GL'!M88+'TX-HPL-GL '!M88</f>
        <v>0</v>
      </c>
      <c r="N88" s="180">
        <f>'TX-EGM-GL'!N88+'TX-HPL-GL '!N88</f>
        <v>0</v>
      </c>
      <c r="O88" s="180">
        <f>'TX-EGM-GL'!O88+'TX-HPL-GL '!O88</f>
        <v>0</v>
      </c>
      <c r="P88" s="180">
        <f>'TX-EGM-GL'!P88+'TX-HPL-GL '!P88</f>
        <v>0</v>
      </c>
      <c r="Q88" s="180">
        <f>'TX-EGM-GL'!Q88+'TX-HPL-GL '!Q88</f>
        <v>0</v>
      </c>
      <c r="R88" s="180">
        <f>'TX-EGM-GL'!R88+'TX-HPL-GL '!R88</f>
        <v>0</v>
      </c>
      <c r="S88" s="180">
        <f>'TX-EGM-GL'!S88+'TX-HPL-GL '!S88</f>
        <v>0</v>
      </c>
      <c r="T88" s="180">
        <f>'TX-EGM-GL'!T88+'TX-HPL-GL '!T88</f>
        <v>0</v>
      </c>
      <c r="U88" s="180">
        <f>'TX-EGM-GL'!U88+'TX-HPL-GL '!U88</f>
        <v>0</v>
      </c>
      <c r="V88" s="180">
        <f>'TX-EGM-GL'!V88+'TX-HPL-GL '!V88</f>
        <v>0</v>
      </c>
      <c r="W88" s="180">
        <f>'TX-EGM-GL'!W88+'TX-HPL-GL '!W88</f>
        <v>0</v>
      </c>
      <c r="X88" s="180">
        <f>'TX-EGM-GL'!X88+'TX-HPL-GL '!X88</f>
        <v>0</v>
      </c>
      <c r="Y88" s="180">
        <f>'TX-EGM-GL'!Y88+'TX-HPL-GL '!Y88</f>
        <v>0</v>
      </c>
      <c r="Z88" s="180">
        <f>'TX-EGM-GL'!Z88+'TX-HPL-GL '!Z88</f>
        <v>0</v>
      </c>
      <c r="AA88" s="180">
        <f>'TX-EGM-GL'!AA88+'TX-HPL-GL '!AA88</f>
        <v>0</v>
      </c>
      <c r="AB88" s="180">
        <f>'TX-EGM-GL'!AB88+'TX-HPL-GL '!AB88</f>
        <v>0</v>
      </c>
      <c r="AC88" s="180">
        <f>'TX-EGM-GL'!AC88+'TX-HPL-GL '!AC88</f>
        <v>0</v>
      </c>
      <c r="AD88" s="180">
        <f>'TX-EGM-GL'!AD88+'TX-HPL-GL '!AD88</f>
        <v>0</v>
      </c>
      <c r="AE88" s="180">
        <f>'TX-EGM-GL'!AE88+'TX-HPL-GL '!AE88</f>
        <v>0</v>
      </c>
      <c r="AF88" s="180">
        <f>'TX-EGM-GL'!AR88+'TX-HPL-GL '!AR88</f>
        <v>0</v>
      </c>
      <c r="AG88" s="180">
        <f>'TX-EGM-GL'!AS88+'TX-HPL-GL '!AS88</f>
        <v>0</v>
      </c>
      <c r="AH88" s="180">
        <f>'TX-EGM-GL'!AT88+'TX-HPL-GL '!AT88</f>
        <v>0</v>
      </c>
      <c r="AI88" s="180">
        <f>'TX-EGM-GL'!AU88+'TX-HPL-GL '!AU88</f>
        <v>0</v>
      </c>
      <c r="AJ88" s="180">
        <f>'TX-EGM-GL'!AV88+'TX-HPL-GL '!AV88</f>
        <v>0</v>
      </c>
      <c r="AK88" s="180">
        <f>'TX-EGM-GL'!AW88+'TX-HPL-GL '!AW88</f>
        <v>0</v>
      </c>
      <c r="AL88" s="180">
        <f>'TX-EGM-GL'!AX88+'TX-HPL-GL '!AX88</f>
        <v>0</v>
      </c>
      <c r="AM88" s="180">
        <f>'TX-EGM-GL'!AY88+'TX-HPL-GL '!AY88</f>
        <v>0</v>
      </c>
      <c r="AN88" s="180">
        <f>'TX-EGM-GL'!AZ88+'TX-HPL-GL '!AZ88</f>
        <v>0</v>
      </c>
      <c r="AO88" s="180">
        <f>'TX-EGM-GL'!BA88+'TX-HPL-GL '!BA88</f>
        <v>0</v>
      </c>
      <c r="AP88" s="180">
        <f>'TX-EGM-GL'!BB88+'TX-HPL-GL '!BB88</f>
        <v>0</v>
      </c>
      <c r="AQ88" s="180">
        <f>'TX-EGM-GL'!BC88+'TX-HPL-GL '!BC88</f>
        <v>0</v>
      </c>
    </row>
    <row r="89" spans="1:79" s="44" customFormat="1" ht="20.25" customHeight="1" x14ac:dyDescent="0.2">
      <c r="A89" s="184"/>
      <c r="B89" s="185"/>
      <c r="C89" s="190" t="s">
        <v>184</v>
      </c>
      <c r="D89" s="188">
        <f>SUM(D86:D88)</f>
        <v>0</v>
      </c>
      <c r="E89" s="188">
        <f t="shared" ref="E89:M89" si="27">SUM(E86:E88)</f>
        <v>966.14000000013039</v>
      </c>
      <c r="F89" s="188">
        <f t="shared" si="27"/>
        <v>0</v>
      </c>
      <c r="G89" s="188">
        <f t="shared" si="27"/>
        <v>3800966.14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-3800000</v>
      </c>
      <c r="L89" s="188">
        <f t="shared" si="27"/>
        <v>0</v>
      </c>
      <c r="M89" s="188">
        <f t="shared" si="27"/>
        <v>0</v>
      </c>
      <c r="N89" s="188">
        <f t="shared" ref="N89:AE89" si="28">SUM(N86:N88)</f>
        <v>0</v>
      </c>
      <c r="O89" s="188">
        <f t="shared" si="28"/>
        <v>0</v>
      </c>
      <c r="P89" s="188">
        <f t="shared" si="28"/>
        <v>0</v>
      </c>
      <c r="Q89" s="188">
        <f t="shared" si="28"/>
        <v>0</v>
      </c>
      <c r="R89" s="188">
        <f t="shared" si="28"/>
        <v>0</v>
      </c>
      <c r="S89" s="188">
        <f t="shared" si="28"/>
        <v>0</v>
      </c>
      <c r="T89" s="188">
        <f t="shared" si="28"/>
        <v>0</v>
      </c>
      <c r="U89" s="188">
        <f t="shared" si="28"/>
        <v>0</v>
      </c>
      <c r="V89" s="188">
        <f t="shared" si="28"/>
        <v>0</v>
      </c>
      <c r="W89" s="188">
        <f t="shared" si="28"/>
        <v>0</v>
      </c>
      <c r="X89" s="188">
        <f t="shared" si="28"/>
        <v>0</v>
      </c>
      <c r="Y89" s="188">
        <f t="shared" si="28"/>
        <v>0</v>
      </c>
      <c r="Z89" s="188">
        <f t="shared" si="28"/>
        <v>0</v>
      </c>
      <c r="AA89" s="188">
        <f t="shared" si="28"/>
        <v>0</v>
      </c>
      <c r="AB89" s="188">
        <f t="shared" si="28"/>
        <v>0</v>
      </c>
      <c r="AC89" s="188">
        <f t="shared" si="28"/>
        <v>0</v>
      </c>
      <c r="AD89" s="188">
        <f t="shared" si="28"/>
        <v>0</v>
      </c>
      <c r="AE89" s="188">
        <f t="shared" si="28"/>
        <v>0</v>
      </c>
      <c r="AF89" s="188">
        <f t="shared" ref="AF89:AQ89" si="29">SUM(AF86:AF88)</f>
        <v>0</v>
      </c>
      <c r="AG89" s="188">
        <f t="shared" si="29"/>
        <v>0</v>
      </c>
      <c r="AH89" s="188">
        <f t="shared" si="29"/>
        <v>0</v>
      </c>
      <c r="AI89" s="188">
        <f t="shared" si="29"/>
        <v>0</v>
      </c>
      <c r="AJ89" s="188">
        <f t="shared" si="29"/>
        <v>0</v>
      </c>
      <c r="AK89" s="188">
        <f t="shared" si="29"/>
        <v>0</v>
      </c>
      <c r="AL89" s="188">
        <f t="shared" si="29"/>
        <v>0</v>
      </c>
      <c r="AM89" s="188">
        <f t="shared" si="29"/>
        <v>0</v>
      </c>
      <c r="AN89" s="188">
        <f t="shared" si="29"/>
        <v>0</v>
      </c>
      <c r="AO89" s="188">
        <f t="shared" si="29"/>
        <v>0</v>
      </c>
      <c r="AP89" s="188">
        <f t="shared" si="29"/>
        <v>0</v>
      </c>
      <c r="AQ89" s="188">
        <f t="shared" si="29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">
      <c r="A90" s="4"/>
      <c r="B90" s="3"/>
      <c r="F90" s="31"/>
      <c r="G90" s="31"/>
      <c r="H90" s="31"/>
      <c r="I90" s="31"/>
    </row>
    <row r="91" spans="1:79" s="44" customFormat="1" ht="20.25" customHeight="1" x14ac:dyDescent="0.2">
      <c r="A91" s="184"/>
      <c r="B91" s="185"/>
      <c r="C91" s="190" t="s">
        <v>187</v>
      </c>
      <c r="D91" s="188">
        <f>+D82+D89</f>
        <v>0</v>
      </c>
      <c r="E91" s="188">
        <f t="shared" ref="E91:M91" si="30">+E82+E89</f>
        <v>823077.43079998379</v>
      </c>
      <c r="F91" s="188">
        <f t="shared" si="30"/>
        <v>0</v>
      </c>
      <c r="G91" s="188">
        <f t="shared" si="30"/>
        <v>-427046.56000000006</v>
      </c>
      <c r="H91" s="188">
        <f t="shared" si="30"/>
        <v>1206651</v>
      </c>
      <c r="I91" s="188">
        <f t="shared" si="30"/>
        <v>5559858.7080000062</v>
      </c>
      <c r="J91" s="188">
        <f t="shared" si="30"/>
        <v>-1206651</v>
      </c>
      <c r="K91" s="188">
        <f t="shared" si="30"/>
        <v>-5817252.2190000014</v>
      </c>
      <c r="L91" s="188">
        <f t="shared" si="30"/>
        <v>0</v>
      </c>
      <c r="M91" s="188">
        <f t="shared" si="30"/>
        <v>2211227.0590000008</v>
      </c>
      <c r="N91" s="188">
        <f t="shared" ref="N91:AE91" si="31">+N82+N89</f>
        <v>0</v>
      </c>
      <c r="O91" s="188">
        <f t="shared" si="31"/>
        <v>1468146.6600000001</v>
      </c>
      <c r="P91" s="188">
        <f t="shared" si="31"/>
        <v>0</v>
      </c>
      <c r="Q91" s="188">
        <f t="shared" si="31"/>
        <v>-3605197.1551999999</v>
      </c>
      <c r="R91" s="188">
        <f t="shared" si="31"/>
        <v>0</v>
      </c>
      <c r="S91" s="188">
        <f t="shared" si="31"/>
        <v>1326734.6860000005</v>
      </c>
      <c r="T91" s="188">
        <f t="shared" si="31"/>
        <v>0</v>
      </c>
      <c r="U91" s="188">
        <f t="shared" si="31"/>
        <v>-21429.163999999979</v>
      </c>
      <c r="V91" s="188">
        <f t="shared" si="31"/>
        <v>0</v>
      </c>
      <c r="W91" s="188">
        <f t="shared" si="31"/>
        <v>84535.429000000076</v>
      </c>
      <c r="X91" s="188">
        <f t="shared" si="31"/>
        <v>0</v>
      </c>
      <c r="Y91" s="188">
        <f t="shared" si="31"/>
        <v>-9450.9499999999771</v>
      </c>
      <c r="Z91" s="188">
        <f t="shared" si="31"/>
        <v>0</v>
      </c>
      <c r="AA91" s="188">
        <f t="shared" si="31"/>
        <v>18802.240000000093</v>
      </c>
      <c r="AB91" s="188">
        <f t="shared" si="31"/>
        <v>0</v>
      </c>
      <c r="AC91" s="188">
        <f t="shared" si="31"/>
        <v>20307.484</v>
      </c>
      <c r="AD91" s="188">
        <f t="shared" si="31"/>
        <v>0</v>
      </c>
      <c r="AE91" s="188">
        <f t="shared" si="31"/>
        <v>49406.954999999827</v>
      </c>
      <c r="AF91" s="188">
        <f t="shared" ref="AF91:AQ91" si="32">+AF82+AF89</f>
        <v>0</v>
      </c>
      <c r="AG91" s="188">
        <f t="shared" si="32"/>
        <v>-35565.742000000006</v>
      </c>
      <c r="AH91" s="188">
        <f t="shared" si="32"/>
        <v>0</v>
      </c>
      <c r="AI91" s="188">
        <f t="shared" si="32"/>
        <v>0</v>
      </c>
      <c r="AJ91" s="188">
        <f t="shared" si="32"/>
        <v>0</v>
      </c>
      <c r="AK91" s="188">
        <f t="shared" si="32"/>
        <v>0</v>
      </c>
      <c r="AL91" s="188">
        <f t="shared" si="32"/>
        <v>0</v>
      </c>
      <c r="AM91" s="188">
        <f t="shared" si="32"/>
        <v>0</v>
      </c>
      <c r="AN91" s="188">
        <f t="shared" si="32"/>
        <v>0</v>
      </c>
      <c r="AO91" s="188">
        <f t="shared" si="32"/>
        <v>0</v>
      </c>
      <c r="AP91" s="188">
        <f t="shared" si="32"/>
        <v>0</v>
      </c>
      <c r="AQ91" s="188">
        <f t="shared" si="32"/>
        <v>0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Q179"/>
  <sheetViews>
    <sheetView zoomScale="75" workbookViewId="0">
      <pane xSplit="3" ySplit="9" topLeftCell="V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29181479</v>
      </c>
      <c r="E11" s="38">
        <f t="shared" si="0"/>
        <v>51242424.249999993</v>
      </c>
      <c r="F11" s="60">
        <f>'TIE-OUT'!N11+RECLASS!N11</f>
        <v>0</v>
      </c>
      <c r="G11" s="38">
        <f>'TIE-OUT'!O11+RECLASS!O11</f>
        <v>-1455110</v>
      </c>
      <c r="H11" s="127">
        <f>+Actuals!E284</f>
        <v>29007191</v>
      </c>
      <c r="I11" s="128">
        <f>+Actuals!F284</f>
        <v>52476035.939999998</v>
      </c>
      <c r="J11" s="127">
        <f>+Actuals!G284</f>
        <v>138360</v>
      </c>
      <c r="K11" s="128">
        <f>+Actuals!H284</f>
        <v>291119.15000000002</v>
      </c>
      <c r="L11" s="127">
        <f>+Actuals!I284</f>
        <v>1060</v>
      </c>
      <c r="M11" s="128">
        <f>+Actuals!J284</f>
        <v>49758.41</v>
      </c>
      <c r="N11" s="127">
        <f>+Actuals!K284</f>
        <v>-6516</v>
      </c>
      <c r="O11" s="128">
        <f>+Actuals!L284</f>
        <v>-182632.39</v>
      </c>
      <c r="P11" s="127">
        <f>+Actuals!M284</f>
        <v>0</v>
      </c>
      <c r="Q11" s="128">
        <f>+Actuals!N284</f>
        <v>0</v>
      </c>
      <c r="R11" s="127">
        <f>+Actuals!O284</f>
        <v>41384</v>
      </c>
      <c r="S11" s="128">
        <f>+Actuals!P284</f>
        <v>63253.14</v>
      </c>
      <c r="T11" s="127">
        <f>+Actuals!Q284</f>
        <v>0</v>
      </c>
      <c r="U11" s="128">
        <f>+Actuals!R284</f>
        <v>0</v>
      </c>
      <c r="V11" s="127">
        <f>+Actuals!S284</f>
        <v>0</v>
      </c>
      <c r="W11" s="128">
        <f>+Actuals!T284</f>
        <v>0</v>
      </c>
      <c r="X11" s="127">
        <f>+Actuals!U284</f>
        <v>0</v>
      </c>
      <c r="Y11" s="128">
        <f>+Actuals!V284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f>+Actuals!AE284</f>
        <v>0</v>
      </c>
      <c r="AI11" s="128">
        <f>+Actuals!AF284</f>
        <v>0</v>
      </c>
      <c r="AJ11" s="127">
        <f>+Actuals!AG284</f>
        <v>0</v>
      </c>
      <c r="AK11" s="128">
        <f>+Actuals!AH284</f>
        <v>0</v>
      </c>
      <c r="AL11" s="127">
        <f>+Actuals!AI284</f>
        <v>0</v>
      </c>
      <c r="AM11" s="128">
        <f>+Actuals!AJ284</f>
        <v>0</v>
      </c>
      <c r="AN11" s="127">
        <f>+Actuals!AK284</f>
        <v>0</v>
      </c>
      <c r="AO11" s="128">
        <f>+Actuals!AL284</f>
        <v>0</v>
      </c>
      <c r="AP11" s="127">
        <f>+Actuals!AM284</f>
        <v>0</v>
      </c>
      <c r="AQ11" s="128">
        <f>+Actuals!AN284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-797020.06</v>
      </c>
      <c r="F12" s="60">
        <f>'TIE-OUT'!N12+RECLASS!N12</f>
        <v>0</v>
      </c>
      <c r="G12" s="38">
        <f>'TIE-OUT'!O12+RECLASS!O12</f>
        <v>-797020.06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28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+Actuals!S285</f>
        <v>0</v>
      </c>
      <c r="W12" s="128">
        <f>+Actuals!T285</f>
        <v>0</v>
      </c>
      <c r="X12" s="127">
        <f>+Actuals!U285</f>
        <v>0</v>
      </c>
      <c r="Y12" s="128">
        <f>+Actuals!V285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+Actuals!AE285</f>
        <v>0</v>
      </c>
      <c r="AI12" s="128">
        <f>+Actuals!AF285</f>
        <v>0</v>
      </c>
      <c r="AJ12" s="127">
        <f>+Actuals!AG285</f>
        <v>0</v>
      </c>
      <c r="AK12" s="128">
        <f>+Actuals!AH285</f>
        <v>0</v>
      </c>
      <c r="AL12" s="127">
        <f>+Actuals!AI285</f>
        <v>0</v>
      </c>
      <c r="AM12" s="128">
        <f>+Actuals!AJ285</f>
        <v>0</v>
      </c>
      <c r="AN12" s="127">
        <f>+Actuals!AK285</f>
        <v>0</v>
      </c>
      <c r="AO12" s="128">
        <f>+Actuals!AL285</f>
        <v>0</v>
      </c>
      <c r="AP12" s="127">
        <f>+Actuals!AM285</f>
        <v>0</v>
      </c>
      <c r="AQ12" s="128">
        <f>+Actuals!AN285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21559511</v>
      </c>
      <c r="E13" s="38">
        <f t="shared" si="0"/>
        <v>42427816</v>
      </c>
      <c r="F13" s="60">
        <f>'TIE-OUT'!N13+RECLASS!N13</f>
        <v>0</v>
      </c>
      <c r="G13" s="38">
        <f>'TIE-OUT'!O13+RECLASS!O13</f>
        <v>0</v>
      </c>
      <c r="H13" s="127">
        <f>+Actuals!E286</f>
        <v>21559511</v>
      </c>
      <c r="I13" s="128">
        <f>+Actuals!F286</f>
        <v>42427816</v>
      </c>
      <c r="J13" s="127">
        <f>+Actuals!G286</f>
        <v>-811377</v>
      </c>
      <c r="K13" s="128">
        <f>+Actuals!H286</f>
        <v>-1383033</v>
      </c>
      <c r="L13" s="127">
        <f>+Actuals!I286</f>
        <v>0</v>
      </c>
      <c r="M13" s="128">
        <f>+Actuals!J286</f>
        <v>0</v>
      </c>
      <c r="N13" s="127">
        <f>+Actuals!K286</f>
        <v>0</v>
      </c>
      <c r="O13" s="128">
        <f>+Actuals!L286</f>
        <v>0</v>
      </c>
      <c r="P13" s="127">
        <f>+Actuals!M286</f>
        <v>1019</v>
      </c>
      <c r="Q13" s="128">
        <f>+Actuals!N286</f>
        <v>-5203</v>
      </c>
      <c r="R13" s="127">
        <f>+Actuals!O286</f>
        <v>0</v>
      </c>
      <c r="S13" s="128">
        <f>+Actuals!P286</f>
        <v>0</v>
      </c>
      <c r="T13" s="127">
        <f>+Actuals!Q286</f>
        <v>1702728</v>
      </c>
      <c r="U13" s="128">
        <f>+Actuals!R286</f>
        <v>3094014</v>
      </c>
      <c r="V13" s="127">
        <f>+Actuals!S286</f>
        <v>1817663</v>
      </c>
      <c r="W13" s="128">
        <f>+Actuals!T286</f>
        <v>3335726</v>
      </c>
      <c r="X13" s="127">
        <f>+Actuals!U286</f>
        <v>-2710033</v>
      </c>
      <c r="Y13" s="128">
        <f>+Actuals!V286</f>
        <v>-5041504</v>
      </c>
      <c r="Z13" s="127">
        <f>+Actuals!W486</f>
        <v>2710033</v>
      </c>
      <c r="AA13" s="128">
        <f>+Actuals!X486</f>
        <v>5041504</v>
      </c>
      <c r="AB13" s="127">
        <f>+Actuals!Y486</f>
        <v>0</v>
      </c>
      <c r="AC13" s="128">
        <f>+Actuals!Z486</f>
        <v>0</v>
      </c>
      <c r="AD13" s="127">
        <f>+Actuals!AA486</f>
        <v>-2710033</v>
      </c>
      <c r="AE13" s="128">
        <f>+Actuals!AB486</f>
        <v>-5041504</v>
      </c>
      <c r="AF13" s="127">
        <f>+Actuals!AC486</f>
        <v>0</v>
      </c>
      <c r="AG13" s="128">
        <f>+Actuals!AD486</f>
        <v>0</v>
      </c>
      <c r="AH13" s="127">
        <f>+Actuals!AE286</f>
        <v>0</v>
      </c>
      <c r="AI13" s="128">
        <f>+Actuals!AF286</f>
        <v>0</v>
      </c>
      <c r="AJ13" s="127">
        <f>+Actuals!AG286</f>
        <v>0</v>
      </c>
      <c r="AK13" s="128">
        <f>+Actuals!AH286</f>
        <v>0</v>
      </c>
      <c r="AL13" s="127">
        <f>+Actuals!AI286</f>
        <v>0</v>
      </c>
      <c r="AM13" s="128">
        <f>+Actuals!AJ286</f>
        <v>0</v>
      </c>
      <c r="AN13" s="127">
        <f>+Actuals!AK286</f>
        <v>0</v>
      </c>
      <c r="AO13" s="128">
        <f>+Actuals!AL286</f>
        <v>0</v>
      </c>
      <c r="AP13" s="127">
        <f>+Actuals!AM286</f>
        <v>0</v>
      </c>
      <c r="AQ13" s="128">
        <f>+Actuals!AN286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+Actuals!S287</f>
        <v>0</v>
      </c>
      <c r="W14" s="128">
        <f>+Actuals!T287</f>
        <v>0</v>
      </c>
      <c r="X14" s="127">
        <f>+Actuals!U287</f>
        <v>0</v>
      </c>
      <c r="Y14" s="128">
        <f>+Actuals!V287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+Actuals!AE287</f>
        <v>0</v>
      </c>
      <c r="AI14" s="128">
        <f>+Actuals!AF287</f>
        <v>0</v>
      </c>
      <c r="AJ14" s="127">
        <f>+Actuals!AG287</f>
        <v>0</v>
      </c>
      <c r="AK14" s="128">
        <f>+Actuals!AH287</f>
        <v>0</v>
      </c>
      <c r="AL14" s="127">
        <f>+Actuals!AI287</f>
        <v>0</v>
      </c>
      <c r="AM14" s="128">
        <f>+Actuals!AJ287</f>
        <v>0</v>
      </c>
      <c r="AN14" s="127">
        <f>+Actuals!AK287</f>
        <v>0</v>
      </c>
      <c r="AO14" s="128">
        <f>+Actuals!AL287</f>
        <v>0</v>
      </c>
      <c r="AP14" s="127">
        <f>+Actuals!AM287</f>
        <v>0</v>
      </c>
      <c r="AQ14" s="128">
        <f>+Actuals!AN287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+Actuals!S288</f>
        <v>0</v>
      </c>
      <c r="W15" s="128">
        <f>+Actuals!T288</f>
        <v>0</v>
      </c>
      <c r="X15" s="127">
        <f>+Actuals!U288</f>
        <v>0</v>
      </c>
      <c r="Y15" s="128">
        <f>+Actuals!V288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+Actuals!AE288</f>
        <v>0</v>
      </c>
      <c r="AI15" s="128">
        <f>+Actuals!AF288</f>
        <v>0</v>
      </c>
      <c r="AJ15" s="127">
        <f>+Actuals!AG288</f>
        <v>0</v>
      </c>
      <c r="AK15" s="128">
        <f>+Actuals!AH288</f>
        <v>0</v>
      </c>
      <c r="AL15" s="127">
        <f>+Actuals!AI288</f>
        <v>0</v>
      </c>
      <c r="AM15" s="128">
        <f>+Actuals!AJ288</f>
        <v>0</v>
      </c>
      <c r="AN15" s="127">
        <f>+Actuals!AK288</f>
        <v>0</v>
      </c>
      <c r="AO15" s="128">
        <f>+Actuals!AL288</f>
        <v>0</v>
      </c>
      <c r="AP15" s="127">
        <f>+Actuals!AM288</f>
        <v>0</v>
      </c>
      <c r="AQ15" s="128">
        <f>+Actuals!AN288</f>
        <v>0</v>
      </c>
    </row>
    <row r="16" spans="1:43" x14ac:dyDescent="0.2">
      <c r="A16" s="9"/>
      <c r="B16" s="7" t="s">
        <v>32</v>
      </c>
      <c r="C16" s="6"/>
      <c r="D16" s="61">
        <f t="shared" ref="D16:AA16" si="1">SUM(D11:D15)</f>
        <v>50740990</v>
      </c>
      <c r="E16" s="39">
        <f t="shared" si="1"/>
        <v>92873220.189999998</v>
      </c>
      <c r="F16" s="61">
        <f t="shared" si="1"/>
        <v>0</v>
      </c>
      <c r="G16" s="39">
        <f t="shared" si="1"/>
        <v>-2252130.06</v>
      </c>
      <c r="H16" s="61">
        <f t="shared" si="1"/>
        <v>50566702</v>
      </c>
      <c r="I16" s="39">
        <f t="shared" si="1"/>
        <v>94903851.939999998</v>
      </c>
      <c r="J16" s="61">
        <f t="shared" si="1"/>
        <v>-673017</v>
      </c>
      <c r="K16" s="39">
        <f t="shared" si="1"/>
        <v>-1091913.8500000001</v>
      </c>
      <c r="L16" s="61">
        <f t="shared" si="1"/>
        <v>1060</v>
      </c>
      <c r="M16" s="39">
        <f t="shared" si="1"/>
        <v>49758.41</v>
      </c>
      <c r="N16" s="61">
        <f t="shared" si="1"/>
        <v>-6516</v>
      </c>
      <c r="O16" s="39">
        <f t="shared" si="1"/>
        <v>-182632.39</v>
      </c>
      <c r="P16" s="61">
        <f t="shared" si="1"/>
        <v>1019</v>
      </c>
      <c r="Q16" s="39">
        <f t="shared" si="1"/>
        <v>-5203</v>
      </c>
      <c r="R16" s="61">
        <f t="shared" si="1"/>
        <v>41384</v>
      </c>
      <c r="S16" s="39">
        <f t="shared" si="1"/>
        <v>63253.14</v>
      </c>
      <c r="T16" s="61">
        <f t="shared" si="1"/>
        <v>1702728</v>
      </c>
      <c r="U16" s="39">
        <f t="shared" si="1"/>
        <v>3094014</v>
      </c>
      <c r="V16" s="61">
        <f t="shared" si="1"/>
        <v>1817663</v>
      </c>
      <c r="W16" s="39">
        <f t="shared" si="1"/>
        <v>3335726</v>
      </c>
      <c r="X16" s="61">
        <f t="shared" si="1"/>
        <v>-2710033</v>
      </c>
      <c r="Y16" s="39">
        <f t="shared" si="1"/>
        <v>-5041504</v>
      </c>
      <c r="Z16" s="61">
        <f t="shared" si="1"/>
        <v>2710033</v>
      </c>
      <c r="AA16" s="39">
        <f t="shared" si="1"/>
        <v>5041504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-2710033</v>
      </c>
      <c r="AE16" s="39">
        <f t="shared" si="2"/>
        <v>-5041504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-31775545</v>
      </c>
      <c r="E19" s="38">
        <f t="shared" si="3"/>
        <v>-52284625.449999996</v>
      </c>
      <c r="F19" s="64">
        <f>'TIE-OUT'!N19+RECLASS!N19</f>
        <v>0</v>
      </c>
      <c r="G19" s="68">
        <f>'TIE-OUT'!O19+RECLASS!O19</f>
        <v>0</v>
      </c>
      <c r="H19" s="127">
        <f>+Actuals!E289</f>
        <v>-31795470</v>
      </c>
      <c r="I19" s="128">
        <f>+Actuals!F289</f>
        <v>-52310396.68</v>
      </c>
      <c r="J19" s="127">
        <f>+Actuals!G289</f>
        <v>4507</v>
      </c>
      <c r="K19" s="128">
        <f>+Actuals!H289</f>
        <v>45278.45</v>
      </c>
      <c r="L19" s="127">
        <f>+Actuals!I289</f>
        <v>4500</v>
      </c>
      <c r="M19" s="128">
        <f>+Actuals!J289</f>
        <v>31380.2</v>
      </c>
      <c r="N19" s="127">
        <f>+Actuals!K289</f>
        <v>10918</v>
      </c>
      <c r="O19" s="128">
        <f>+Actuals!L289</f>
        <v>1086.8599999999999</v>
      </c>
      <c r="P19" s="127">
        <f>+Actuals!M289</f>
        <v>0</v>
      </c>
      <c r="Q19" s="128">
        <f>+Actuals!N289</f>
        <v>0</v>
      </c>
      <c r="R19" s="127">
        <f>+Actuals!O289</f>
        <v>0</v>
      </c>
      <c r="S19" s="128">
        <f>+Actuals!P289</f>
        <v>-50843.28</v>
      </c>
      <c r="T19" s="127">
        <f>+Actuals!Q289</f>
        <v>0</v>
      </c>
      <c r="U19" s="128">
        <f>+Actuals!R289</f>
        <v>0</v>
      </c>
      <c r="V19" s="127">
        <f>+Actuals!S289</f>
        <v>0</v>
      </c>
      <c r="W19" s="128">
        <f>+Actuals!T289</f>
        <v>0</v>
      </c>
      <c r="X19" s="127">
        <f>+Actuals!U289</f>
        <v>0</v>
      </c>
      <c r="Y19" s="128">
        <f>+Actuals!V289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-1131</v>
      </c>
      <c r="AF19" s="127">
        <f>+Actuals!AC489</f>
        <v>0</v>
      </c>
      <c r="AG19" s="128">
        <f>+Actuals!AD489</f>
        <v>0</v>
      </c>
      <c r="AH19" s="127">
        <f>+Actuals!AE289</f>
        <v>0</v>
      </c>
      <c r="AI19" s="128">
        <f>+Actuals!AF289</f>
        <v>0</v>
      </c>
      <c r="AJ19" s="127">
        <f>+Actuals!AG289</f>
        <v>0</v>
      </c>
      <c r="AK19" s="128">
        <f>+Actuals!AH289</f>
        <v>0</v>
      </c>
      <c r="AL19" s="127">
        <f>+Actuals!AI289</f>
        <v>0</v>
      </c>
      <c r="AM19" s="128">
        <f>+Actuals!AJ289</f>
        <v>0</v>
      </c>
      <c r="AN19" s="127">
        <f>+Actuals!AK289</f>
        <v>0</v>
      </c>
      <c r="AO19" s="128">
        <f>+Actuals!AL289</f>
        <v>0</v>
      </c>
      <c r="AP19" s="127">
        <f>+Actuals!AM289</f>
        <v>0</v>
      </c>
      <c r="AQ19" s="128">
        <f>+Actuals!AN289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-180226.52</v>
      </c>
      <c r="F20" s="60">
        <f>'TIE-OUT'!N20+RECLASS!N20</f>
        <v>0</v>
      </c>
      <c r="G20" s="38">
        <f>'TIE-OUT'!O20+RECLASS!O20</f>
        <v>-180226.52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+Actuals!S290</f>
        <v>0</v>
      </c>
      <c r="W20" s="128">
        <f>+Actuals!T290</f>
        <v>0</v>
      </c>
      <c r="X20" s="127">
        <f>+Actuals!U290</f>
        <v>0</v>
      </c>
      <c r="Y20" s="128">
        <f>+Actuals!V290</f>
        <v>0</v>
      </c>
      <c r="Z20" s="127">
        <f>+Actuals!W490</f>
        <v>0</v>
      </c>
      <c r="AA20" s="157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+Actuals!AE290</f>
        <v>0</v>
      </c>
      <c r="AI20" s="128">
        <f>+Actuals!AF290</f>
        <v>0</v>
      </c>
      <c r="AJ20" s="127">
        <f>+Actuals!AG290</f>
        <v>0</v>
      </c>
      <c r="AK20" s="128">
        <f>+Actuals!AH290</f>
        <v>0</v>
      </c>
      <c r="AL20" s="127">
        <f>+Actuals!AI290</f>
        <v>0</v>
      </c>
      <c r="AM20" s="128">
        <f>+Actuals!AJ290</f>
        <v>0</v>
      </c>
      <c r="AN20" s="127">
        <f>+Actuals!AK290</f>
        <v>0</v>
      </c>
      <c r="AO20" s="128">
        <f>+Actuals!AL290</f>
        <v>0</v>
      </c>
      <c r="AP20" s="127">
        <f>+Actuals!AM290</f>
        <v>0</v>
      </c>
      <c r="AQ20" s="128">
        <f>+Actuals!AN290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-18975687</v>
      </c>
      <c r="E21" s="38">
        <f t="shared" si="3"/>
        <v>-37786132</v>
      </c>
      <c r="F21" s="60">
        <f>'TIE-OUT'!N21+RECLASS!N21</f>
        <v>0</v>
      </c>
      <c r="G21" s="38">
        <f>'TIE-OUT'!O21+RECLASS!O21</f>
        <v>0</v>
      </c>
      <c r="H21" s="127">
        <f>+Actuals!E291</f>
        <v>-18975687</v>
      </c>
      <c r="I21" s="128">
        <f>+Actuals!F291</f>
        <v>-37786132</v>
      </c>
      <c r="J21" s="127">
        <f>+Actuals!G291</f>
        <v>0</v>
      </c>
      <c r="K21" s="128">
        <f>+Actuals!H291</f>
        <v>458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-458</v>
      </c>
      <c r="R21" s="127">
        <f>+Actuals!O291</f>
        <v>0</v>
      </c>
      <c r="S21" s="128">
        <f>+Actuals!P291</f>
        <v>0</v>
      </c>
      <c r="T21" s="127">
        <f>+Actuals!Q291</f>
        <v>-1702728</v>
      </c>
      <c r="U21" s="128">
        <f>+Actuals!R291</f>
        <v>-3094014</v>
      </c>
      <c r="V21" s="127">
        <f>+Actuals!S291</f>
        <v>-1817663</v>
      </c>
      <c r="W21" s="128">
        <f>+Actuals!T291</f>
        <v>-3335726</v>
      </c>
      <c r="X21" s="127">
        <f>+Actuals!U291</f>
        <v>3520391</v>
      </c>
      <c r="Y21" s="128">
        <f>+Actuals!V291</f>
        <v>6429740</v>
      </c>
      <c r="Z21" s="127">
        <f>+Actuals!W491</f>
        <v>-3520391</v>
      </c>
      <c r="AA21" s="128">
        <f>+Actuals!X491</f>
        <v>-6429740</v>
      </c>
      <c r="AB21" s="127">
        <f>+Actuals!Y491</f>
        <v>0</v>
      </c>
      <c r="AC21" s="128">
        <f>+Actuals!Z491</f>
        <v>0</v>
      </c>
      <c r="AD21" s="127">
        <f>+Actuals!AA491</f>
        <v>3520391</v>
      </c>
      <c r="AE21" s="128">
        <f>+Actuals!AB491</f>
        <v>6429740</v>
      </c>
      <c r="AF21" s="127">
        <f>+Actuals!AC491</f>
        <v>0</v>
      </c>
      <c r="AG21" s="128">
        <f>+Actuals!AD491</f>
        <v>0</v>
      </c>
      <c r="AH21" s="127">
        <f>+Actuals!AE291</f>
        <v>0</v>
      </c>
      <c r="AI21" s="128">
        <f>+Actuals!AF291</f>
        <v>0</v>
      </c>
      <c r="AJ21" s="127">
        <f>+Actuals!AG291</f>
        <v>0</v>
      </c>
      <c r="AK21" s="128">
        <f>+Actuals!AH291</f>
        <v>0</v>
      </c>
      <c r="AL21" s="127">
        <f>+Actuals!AI291</f>
        <v>0</v>
      </c>
      <c r="AM21" s="128">
        <f>+Actuals!AJ291</f>
        <v>0</v>
      </c>
      <c r="AN21" s="127">
        <f>+Actuals!AK291</f>
        <v>0</v>
      </c>
      <c r="AO21" s="128">
        <f>+Actuals!AL291</f>
        <v>0</v>
      </c>
      <c r="AP21" s="127">
        <f>+Actuals!AM291</f>
        <v>0</v>
      </c>
      <c r="AQ21" s="128">
        <f>+Actuals!AN291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+Actuals!S292</f>
        <v>0</v>
      </c>
      <c r="W22" s="128">
        <f>+Actuals!T292</f>
        <v>0</v>
      </c>
      <c r="X22" s="127">
        <f>+Actuals!U292</f>
        <v>0</v>
      </c>
      <c r="Y22" s="128">
        <f>+Actuals!V292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+Actuals!AE292</f>
        <v>0</v>
      </c>
      <c r="AI22" s="128">
        <f>+Actuals!AF292</f>
        <v>0</v>
      </c>
      <c r="AJ22" s="127">
        <f>+Actuals!AG292</f>
        <v>0</v>
      </c>
      <c r="AK22" s="128">
        <f>+Actuals!AH292</f>
        <v>0</v>
      </c>
      <c r="AL22" s="127">
        <f>+Actuals!AI292</f>
        <v>0</v>
      </c>
      <c r="AM22" s="128">
        <f>+Actuals!AJ292</f>
        <v>0</v>
      </c>
      <c r="AN22" s="127">
        <f>+Actuals!AK292</f>
        <v>0</v>
      </c>
      <c r="AO22" s="128">
        <f>+Actuals!AL292</f>
        <v>0</v>
      </c>
      <c r="AP22" s="127">
        <f>+Actuals!AM292</f>
        <v>0</v>
      </c>
      <c r="AQ22" s="128">
        <f>+Actuals!AN292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278175</v>
      </c>
      <c r="E23" s="38">
        <f t="shared" si="3"/>
        <v>444245.47799999994</v>
      </c>
      <c r="F23" s="81">
        <f>'TIE-OUT'!N23+RECLASS!N23</f>
        <v>0</v>
      </c>
      <c r="G23" s="82">
        <f>'TIE-OUT'!O23+RECLASS!O23</f>
        <v>0</v>
      </c>
      <c r="H23" s="127">
        <f>+Actuals!E293</f>
        <v>271831</v>
      </c>
      <c r="I23" s="128">
        <f>+Actuals!F293</f>
        <v>434114.11</v>
      </c>
      <c r="J23" s="127">
        <f>+Actuals!G293</f>
        <v>7584</v>
      </c>
      <c r="K23" s="128">
        <f>+Actuals!H293</f>
        <v>12111.647999999999</v>
      </c>
      <c r="L23" s="127">
        <f>+Actuals!I293</f>
        <v>-1133</v>
      </c>
      <c r="M23" s="128">
        <f>+Actuals!J293</f>
        <v>-1809.4010000000001</v>
      </c>
      <c r="N23" s="127">
        <f>+Actuals!K293</f>
        <v>1</v>
      </c>
      <c r="O23" s="128">
        <f>+Actuals!L293</f>
        <v>1.597</v>
      </c>
      <c r="P23" s="127">
        <f>+Actuals!M293</f>
        <v>0</v>
      </c>
      <c r="Q23" s="128">
        <f>+Actuals!N293</f>
        <v>0</v>
      </c>
      <c r="R23" s="127">
        <f>+Actuals!O293</f>
        <v>-9</v>
      </c>
      <c r="S23" s="128">
        <f>+Actuals!P293</f>
        <v>-14.372999999999999</v>
      </c>
      <c r="T23" s="127">
        <f>+Actuals!Q293</f>
        <v>-99</v>
      </c>
      <c r="U23" s="128">
        <f>+Actuals!R293</f>
        <v>-158.10300000000001</v>
      </c>
      <c r="V23" s="127">
        <f>+Actuals!S293</f>
        <v>0</v>
      </c>
      <c r="W23" s="128">
        <f>+Actuals!T293</f>
        <v>0</v>
      </c>
      <c r="X23" s="127">
        <f>+Actuals!U293</f>
        <v>0</v>
      </c>
      <c r="Y23" s="128">
        <f>+Actuals!V293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+Actuals!AE293</f>
        <v>0</v>
      </c>
      <c r="AI23" s="128">
        <f>+Actuals!AF293</f>
        <v>0</v>
      </c>
      <c r="AJ23" s="127">
        <f>+Actuals!AG293</f>
        <v>0</v>
      </c>
      <c r="AK23" s="128">
        <f>+Actuals!AH293</f>
        <v>0</v>
      </c>
      <c r="AL23" s="127">
        <f>+Actuals!AI293</f>
        <v>0</v>
      </c>
      <c r="AM23" s="128">
        <f>+Actuals!AJ293</f>
        <v>0</v>
      </c>
      <c r="AN23" s="127">
        <f>+Actuals!AK293</f>
        <v>0</v>
      </c>
      <c r="AO23" s="128">
        <f>+Actuals!AL293</f>
        <v>0</v>
      </c>
      <c r="AP23" s="127">
        <f>+Actuals!AM293</f>
        <v>0</v>
      </c>
      <c r="AQ23" s="128">
        <f>+Actuals!AN293</f>
        <v>0</v>
      </c>
    </row>
    <row r="24" spans="1:43" x14ac:dyDescent="0.2">
      <c r="A24" s="9"/>
      <c r="B24" s="7" t="s">
        <v>35</v>
      </c>
      <c r="C24" s="6"/>
      <c r="D24" s="61">
        <f t="shared" ref="D24:AA24" si="4">SUM(D19:D23)</f>
        <v>-50473057</v>
      </c>
      <c r="E24" s="39">
        <f t="shared" si="4"/>
        <v>-89806738.491999999</v>
      </c>
      <c r="F24" s="61">
        <f t="shared" si="4"/>
        <v>0</v>
      </c>
      <c r="G24" s="39">
        <f t="shared" si="4"/>
        <v>-180226.52</v>
      </c>
      <c r="H24" s="61">
        <f t="shared" si="4"/>
        <v>-50499326</v>
      </c>
      <c r="I24" s="39">
        <f t="shared" si="4"/>
        <v>-89662414.570000008</v>
      </c>
      <c r="J24" s="61">
        <f t="shared" si="4"/>
        <v>12091</v>
      </c>
      <c r="K24" s="39">
        <f t="shared" si="4"/>
        <v>57848.097999999998</v>
      </c>
      <c r="L24" s="61">
        <f t="shared" si="4"/>
        <v>3367</v>
      </c>
      <c r="M24" s="39">
        <f t="shared" si="4"/>
        <v>29570.798999999999</v>
      </c>
      <c r="N24" s="61">
        <f t="shared" si="4"/>
        <v>10919</v>
      </c>
      <c r="O24" s="39">
        <f t="shared" si="4"/>
        <v>1088.4569999999999</v>
      </c>
      <c r="P24" s="61">
        <f t="shared" si="4"/>
        <v>0</v>
      </c>
      <c r="Q24" s="39">
        <f t="shared" si="4"/>
        <v>-458</v>
      </c>
      <c r="R24" s="61">
        <f t="shared" si="4"/>
        <v>-9</v>
      </c>
      <c r="S24" s="39">
        <f t="shared" si="4"/>
        <v>-50857.652999999998</v>
      </c>
      <c r="T24" s="61">
        <f t="shared" si="4"/>
        <v>-1702827</v>
      </c>
      <c r="U24" s="39">
        <f t="shared" si="4"/>
        <v>-3094172.1030000001</v>
      </c>
      <c r="V24" s="61">
        <f t="shared" si="4"/>
        <v>-1817663</v>
      </c>
      <c r="W24" s="39">
        <f t="shared" si="4"/>
        <v>-3335726</v>
      </c>
      <c r="X24" s="61">
        <f t="shared" si="4"/>
        <v>3520391</v>
      </c>
      <c r="Y24" s="39">
        <f t="shared" si="4"/>
        <v>6429740</v>
      </c>
      <c r="Z24" s="61">
        <f t="shared" si="4"/>
        <v>-3520391</v>
      </c>
      <c r="AA24" s="39">
        <f t="shared" si="4"/>
        <v>-6429740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3520391</v>
      </c>
      <c r="AE24" s="39">
        <f t="shared" si="5"/>
        <v>6428609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+Actuals!S294</f>
        <v>0</v>
      </c>
      <c r="W27" s="128">
        <f>+Actuals!T294</f>
        <v>0</v>
      </c>
      <c r="X27" s="127">
        <f>+Actuals!U294</f>
        <v>0</v>
      </c>
      <c r="Y27" s="128">
        <f>+Actuals!V294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+Actuals!AE294</f>
        <v>0</v>
      </c>
      <c r="AI27" s="128">
        <f>+Actuals!AF294</f>
        <v>0</v>
      </c>
      <c r="AJ27" s="127">
        <f>+Actuals!AG294</f>
        <v>0</v>
      </c>
      <c r="AK27" s="128">
        <f>+Actuals!AH294</f>
        <v>0</v>
      </c>
      <c r="AL27" s="127">
        <f>+Actuals!AI294</f>
        <v>0</v>
      </c>
      <c r="AM27" s="128">
        <f>+Actuals!AJ294</f>
        <v>0</v>
      </c>
      <c r="AN27" s="127">
        <f>+Actuals!AK294</f>
        <v>0</v>
      </c>
      <c r="AO27" s="128">
        <f>+Actuals!AL294</f>
        <v>0</v>
      </c>
      <c r="AP27" s="127">
        <f>+Actuals!AM294</f>
        <v>0</v>
      </c>
      <c r="AQ27" s="128">
        <f>+Actuals!AN294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+Actuals!S295</f>
        <v>0</v>
      </c>
      <c r="W28" s="128">
        <f>+Actuals!T295</f>
        <v>0</v>
      </c>
      <c r="X28" s="127">
        <f>+Actuals!U295</f>
        <v>0</v>
      </c>
      <c r="Y28" s="128">
        <f>+Actuals!V295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+Actuals!AE295</f>
        <v>0</v>
      </c>
      <c r="AI28" s="128">
        <f>+Actuals!AF295</f>
        <v>0</v>
      </c>
      <c r="AJ28" s="127">
        <f>+Actuals!AG295</f>
        <v>0</v>
      </c>
      <c r="AK28" s="128">
        <f>+Actuals!AH295</f>
        <v>0</v>
      </c>
      <c r="AL28" s="127">
        <f>+Actuals!AI295</f>
        <v>0</v>
      </c>
      <c r="AM28" s="128">
        <f>+Actuals!AJ295</f>
        <v>0</v>
      </c>
      <c r="AN28" s="127">
        <f>+Actuals!AK295</f>
        <v>0</v>
      </c>
      <c r="AO28" s="128">
        <f>+Actuals!AL295</f>
        <v>0</v>
      </c>
      <c r="AP28" s="127">
        <f>+Actuals!AM295</f>
        <v>0</v>
      </c>
      <c r="AQ28" s="128">
        <f>+Actuals!AN295</f>
        <v>0</v>
      </c>
    </row>
    <row r="29" spans="1:43" x14ac:dyDescent="0.2">
      <c r="A29" s="9"/>
      <c r="B29" s="7" t="s">
        <v>39</v>
      </c>
      <c r="C29" s="18"/>
      <c r="D29" s="61">
        <f t="shared" ref="D29:AA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212828</v>
      </c>
      <c r="E32" s="38">
        <f t="shared" si="8"/>
        <v>434169.2699999999</v>
      </c>
      <c r="F32" s="64">
        <f>'TIE-OUT'!N32+RECLASS!N32</f>
        <v>0</v>
      </c>
      <c r="G32" s="68">
        <f>'TIE-OUT'!O32+RECLASS!O32</f>
        <v>0</v>
      </c>
      <c r="H32" s="127">
        <f>+Actuals!E296</f>
        <v>109832</v>
      </c>
      <c r="I32" s="128">
        <f>+Actuals!F296</f>
        <v>175401.71</v>
      </c>
      <c r="J32" s="127">
        <f>+Actuals!G296</f>
        <v>233826</v>
      </c>
      <c r="K32" s="128">
        <f>+Actuals!H296</f>
        <v>539406.93999999994</v>
      </c>
      <c r="L32" s="127">
        <f>+Actuals!I296</f>
        <v>-85142</v>
      </c>
      <c r="M32" s="128">
        <f>+Actuals!J296</f>
        <v>-177095.36</v>
      </c>
      <c r="N32" s="127">
        <f>+Actuals!K296</f>
        <v>-5005</v>
      </c>
      <c r="O32" s="128">
        <f>+Actuals!L296</f>
        <v>-8635.8230000000003</v>
      </c>
      <c r="P32" s="127">
        <f>+Actuals!M296</f>
        <v>604</v>
      </c>
      <c r="Q32" s="128">
        <f>+Actuals!N296</f>
        <v>240636.878</v>
      </c>
      <c r="R32" s="127">
        <f>+Actuals!O296</f>
        <v>-41374</v>
      </c>
      <c r="S32" s="128">
        <f>+Actuals!P296</f>
        <v>-208928.71900000001</v>
      </c>
      <c r="T32" s="127">
        <f>+Actuals!Q296</f>
        <v>87</v>
      </c>
      <c r="U32" s="128">
        <f>+Actuals!R296-546214</f>
        <v>-126616.35600000003</v>
      </c>
      <c r="V32" s="127">
        <f>+Actuals!S296</f>
        <v>0</v>
      </c>
      <c r="W32" s="128">
        <f>+Actuals!T296</f>
        <v>0</v>
      </c>
      <c r="X32" s="127">
        <f>+Actuals!U296</f>
        <v>0</v>
      </c>
      <c r="Y32" s="128">
        <f>+Actuals!V296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+Actuals!AE296</f>
        <v>0</v>
      </c>
      <c r="AI32" s="128">
        <f>+Actuals!AF296</f>
        <v>0</v>
      </c>
      <c r="AJ32" s="127">
        <f>+Actuals!AG296</f>
        <v>0</v>
      </c>
      <c r="AK32" s="128">
        <f>+Actuals!AH296</f>
        <v>0</v>
      </c>
      <c r="AL32" s="127">
        <f>+Actuals!AI296</f>
        <v>0</v>
      </c>
      <c r="AM32" s="128">
        <f>+Actuals!AJ296</f>
        <v>0</v>
      </c>
      <c r="AN32" s="127">
        <f>+Actuals!AK296</f>
        <v>0</v>
      </c>
      <c r="AO32" s="128">
        <f>+Actuals!AL296</f>
        <v>0</v>
      </c>
      <c r="AP32" s="127">
        <f>+Actuals!AM296</f>
        <v>0</v>
      </c>
      <c r="AQ32" s="128">
        <f>+Actuals!AN296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-140161</v>
      </c>
      <c r="E33" s="38">
        <f t="shared" si="8"/>
        <v>-251315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-135759</v>
      </c>
      <c r="K33" s="128">
        <f>+Actuals!H297</f>
        <v>-242292.97</v>
      </c>
      <c r="L33" s="127">
        <f>+Actuals!I297</f>
        <v>0</v>
      </c>
      <c r="M33" s="128">
        <f>+Actuals!J297</f>
        <v>0</v>
      </c>
      <c r="N33" s="127">
        <f>+Actuals!K297</f>
        <v>-4402</v>
      </c>
      <c r="O33" s="128">
        <f>+Actuals!L297</f>
        <v>-9022.0300000000007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+Actuals!S297</f>
        <v>0</v>
      </c>
      <c r="W33" s="128">
        <f>+Actuals!T297</f>
        <v>0</v>
      </c>
      <c r="X33" s="127">
        <f>+Actuals!U297</f>
        <v>0</v>
      </c>
      <c r="Y33" s="128">
        <f>+Actuals!V297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+Actuals!AE297</f>
        <v>0</v>
      </c>
      <c r="AI33" s="128">
        <f>+Actuals!AF297</f>
        <v>0</v>
      </c>
      <c r="AJ33" s="127">
        <f>+Actuals!AG297</f>
        <v>0</v>
      </c>
      <c r="AK33" s="128">
        <f>+Actuals!AH297</f>
        <v>0</v>
      </c>
      <c r="AL33" s="127">
        <f>+Actuals!AI297</f>
        <v>0</v>
      </c>
      <c r="AM33" s="128">
        <f>+Actuals!AJ297</f>
        <v>0</v>
      </c>
      <c r="AN33" s="127">
        <f>+Actuals!AK297</f>
        <v>0</v>
      </c>
      <c r="AO33" s="128">
        <f>+Actuals!AL297</f>
        <v>0</v>
      </c>
      <c r="AP33" s="127">
        <f>+Actuals!AM297</f>
        <v>0</v>
      </c>
      <c r="AQ33" s="128">
        <f>+Actuals!AN297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9910</v>
      </c>
      <c r="E34" s="38">
        <f t="shared" si="8"/>
        <v>9023.630000000001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5508</v>
      </c>
      <c r="K34" s="128">
        <f>+Actuals!H298</f>
        <v>1.6</v>
      </c>
      <c r="L34" s="127">
        <f>+Actuals!I298</f>
        <v>0</v>
      </c>
      <c r="M34" s="128">
        <f>+Actuals!J298</f>
        <v>0</v>
      </c>
      <c r="N34" s="127">
        <f>+Actuals!K298</f>
        <v>4402</v>
      </c>
      <c r="O34" s="128">
        <f>+Actuals!L298</f>
        <v>9022.0300000000007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+Actuals!S298</f>
        <v>0</v>
      </c>
      <c r="W34" s="128">
        <f>+Actuals!T298</f>
        <v>0</v>
      </c>
      <c r="X34" s="127">
        <f>+Actuals!U298</f>
        <v>0</v>
      </c>
      <c r="Y34" s="128">
        <f>+Actuals!V298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+Actuals!AE298</f>
        <v>0</v>
      </c>
      <c r="AI34" s="128">
        <f>+Actuals!AF298</f>
        <v>0</v>
      </c>
      <c r="AJ34" s="127">
        <f>+Actuals!AG298</f>
        <v>0</v>
      </c>
      <c r="AK34" s="128">
        <f>+Actuals!AH298</f>
        <v>0</v>
      </c>
      <c r="AL34" s="127">
        <f>+Actuals!AI298</f>
        <v>0</v>
      </c>
      <c r="AM34" s="128">
        <f>+Actuals!AJ298</f>
        <v>0</v>
      </c>
      <c r="AN34" s="127">
        <f>+Actuals!AK298</f>
        <v>0</v>
      </c>
      <c r="AO34" s="128">
        <f>+Actuals!AL298</f>
        <v>0</v>
      </c>
      <c r="AP34" s="127">
        <f>+Actuals!AM298</f>
        <v>0</v>
      </c>
      <c r="AQ34" s="128">
        <f>+Actuals!AN298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-314562</v>
      </c>
      <c r="E35" s="38">
        <f t="shared" si="8"/>
        <v>43858.010000000009</v>
      </c>
      <c r="F35" s="81">
        <f>'TIE-OUT'!N35+RECLASS!N35</f>
        <v>0</v>
      </c>
      <c r="G35" s="82">
        <f>'TIE-OUT'!O35+RECLASS!O35</f>
        <v>0</v>
      </c>
      <c r="H35" s="127">
        <f>+Actuals!E299</f>
        <v>-295137</v>
      </c>
      <c r="I35" s="128">
        <f>+Actuals!F299</f>
        <v>0.01</v>
      </c>
      <c r="J35" s="127">
        <f>+Actuals!G299</f>
        <v>-19425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+Actuals!M299</f>
        <v>0</v>
      </c>
      <c r="Q35" s="128">
        <f>+Actuals!N299</f>
        <v>-502356</v>
      </c>
      <c r="R35" s="127">
        <f>+Actuals!O299</f>
        <v>0</v>
      </c>
      <c r="S35" s="157">
        <f>+Actuals!P299+546214</f>
        <v>546214</v>
      </c>
      <c r="T35" s="127">
        <f>+Actuals!Q299</f>
        <v>0</v>
      </c>
      <c r="U35" s="157">
        <f>+Actuals!R299</f>
        <v>0</v>
      </c>
      <c r="V35" s="127">
        <f>+Actuals!S299</f>
        <v>0</v>
      </c>
      <c r="W35" s="128">
        <f>+Actuals!T299</f>
        <v>0</v>
      </c>
      <c r="X35" s="127">
        <f>+Actuals!U299</f>
        <v>0</v>
      </c>
      <c r="Y35" s="128">
        <f>+Actuals!V299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+Actuals!AE299</f>
        <v>0</v>
      </c>
      <c r="AI35" s="128">
        <f>+Actuals!AF299</f>
        <v>0</v>
      </c>
      <c r="AJ35" s="127">
        <f>+Actuals!AG299</f>
        <v>0</v>
      </c>
      <c r="AK35" s="128">
        <f>+Actuals!AH299</f>
        <v>0</v>
      </c>
      <c r="AL35" s="127">
        <f>+Actuals!AI299</f>
        <v>0</v>
      </c>
      <c r="AM35" s="128">
        <f>+Actuals!AJ299</f>
        <v>0</v>
      </c>
      <c r="AN35" s="127">
        <f>+Actuals!AK299</f>
        <v>0</v>
      </c>
      <c r="AO35" s="128">
        <f>+Actuals!AL299</f>
        <v>0</v>
      </c>
      <c r="AP35" s="127">
        <f>+Actuals!AM299</f>
        <v>0</v>
      </c>
      <c r="AQ35" s="128">
        <f>+Actuals!AN299</f>
        <v>0</v>
      </c>
    </row>
    <row r="36" spans="1:43" x14ac:dyDescent="0.2">
      <c r="A36" s="9"/>
      <c r="B36" s="7" t="s">
        <v>45</v>
      </c>
      <c r="C36" s="6"/>
      <c r="D36" s="61">
        <f t="shared" ref="D36:AA36" si="9">SUM(D32:D35)</f>
        <v>-231985</v>
      </c>
      <c r="E36" s="39">
        <f t="shared" si="9"/>
        <v>235735.90999999992</v>
      </c>
      <c r="F36" s="61">
        <f t="shared" si="9"/>
        <v>0</v>
      </c>
      <c r="G36" s="39">
        <f t="shared" si="9"/>
        <v>0</v>
      </c>
      <c r="H36" s="61">
        <f t="shared" si="9"/>
        <v>-185305</v>
      </c>
      <c r="I36" s="39">
        <f t="shared" si="9"/>
        <v>175401.72</v>
      </c>
      <c r="J36" s="61">
        <f t="shared" si="9"/>
        <v>84150</v>
      </c>
      <c r="K36" s="39">
        <f t="shared" si="9"/>
        <v>297115.56999999995</v>
      </c>
      <c r="L36" s="61">
        <f t="shared" si="9"/>
        <v>-85142</v>
      </c>
      <c r="M36" s="39">
        <f t="shared" si="9"/>
        <v>-177095.36</v>
      </c>
      <c r="N36" s="61">
        <f t="shared" si="9"/>
        <v>-5005</v>
      </c>
      <c r="O36" s="39">
        <f t="shared" si="9"/>
        <v>-8635.8230000000021</v>
      </c>
      <c r="P36" s="61">
        <f t="shared" si="9"/>
        <v>604</v>
      </c>
      <c r="Q36" s="39">
        <f t="shared" si="9"/>
        <v>-261719.122</v>
      </c>
      <c r="R36" s="61">
        <f t="shared" si="9"/>
        <v>-41374</v>
      </c>
      <c r="S36" s="39">
        <f t="shared" si="9"/>
        <v>337285.28099999996</v>
      </c>
      <c r="T36" s="61">
        <f t="shared" si="9"/>
        <v>87</v>
      </c>
      <c r="U36" s="39">
        <f t="shared" si="9"/>
        <v>-126616.35600000003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+Actuals!S300</f>
        <v>0</v>
      </c>
      <c r="W39" s="128">
        <f>+Actuals!T300</f>
        <v>0</v>
      </c>
      <c r="X39" s="127">
        <f>+Actuals!U300</f>
        <v>0</v>
      </c>
      <c r="Y39" s="128">
        <f>+Actuals!V300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+Actuals!AE300</f>
        <v>0</v>
      </c>
      <c r="AI39" s="128">
        <f>+Actuals!AF300</f>
        <v>0</v>
      </c>
      <c r="AJ39" s="127">
        <f>+Actuals!AG300</f>
        <v>0</v>
      </c>
      <c r="AK39" s="128">
        <f>+Actuals!AH300</f>
        <v>0</v>
      </c>
      <c r="AL39" s="127">
        <f>+Actuals!AI300</f>
        <v>0</v>
      </c>
      <c r="AM39" s="128">
        <f>+Actuals!AJ300</f>
        <v>0</v>
      </c>
      <c r="AN39" s="127">
        <f>+Actuals!AK300</f>
        <v>0</v>
      </c>
      <c r="AO39" s="128">
        <f>+Actuals!AL300</f>
        <v>0</v>
      </c>
      <c r="AP39" s="127">
        <f>+Actuals!AM300</f>
        <v>0</v>
      </c>
      <c r="AQ39" s="128">
        <f>+Actuals!AN300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-11094</v>
      </c>
      <c r="E40" s="38">
        <f t="shared" si="11"/>
        <v>-18534.63</v>
      </c>
      <c r="F40" s="60">
        <f>'TIE-OUT'!N40+RECLASS!N40</f>
        <v>0</v>
      </c>
      <c r="G40" s="38">
        <f>'TIE-OUT'!O40+RECLASS!O40</f>
        <v>0</v>
      </c>
      <c r="H40" s="127">
        <f>+Actuals!E301</f>
        <v>-11094</v>
      </c>
      <c r="I40" s="128">
        <f>+Actuals!F301</f>
        <v>-18534.63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+Actuals!S301</f>
        <v>0</v>
      </c>
      <c r="W40" s="128">
        <f>+Actuals!T301</f>
        <v>0</v>
      </c>
      <c r="X40" s="127">
        <f>+Actuals!U301</f>
        <v>0</v>
      </c>
      <c r="Y40" s="128">
        <f>+Actuals!V301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+Actuals!AE301</f>
        <v>0</v>
      </c>
      <c r="AI40" s="128">
        <f>+Actuals!AF301</f>
        <v>0</v>
      </c>
      <c r="AJ40" s="127">
        <f>+Actuals!AG301</f>
        <v>0</v>
      </c>
      <c r="AK40" s="128">
        <f>+Actuals!AH301</f>
        <v>0</v>
      </c>
      <c r="AL40" s="127">
        <f>+Actuals!AI301</f>
        <v>0</v>
      </c>
      <c r="AM40" s="128">
        <f>+Actuals!AJ301</f>
        <v>0</v>
      </c>
      <c r="AN40" s="127">
        <f>+Actuals!AK301</f>
        <v>0</v>
      </c>
      <c r="AO40" s="128">
        <f>+Actuals!AL301</f>
        <v>0</v>
      </c>
      <c r="AP40" s="127">
        <f>+Actuals!AM301</f>
        <v>0</v>
      </c>
      <c r="AQ40" s="128">
        <f>+Actuals!AN301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+Actuals!S302</f>
        <v>0</v>
      </c>
      <c r="W41" s="128">
        <f>+Actuals!T302</f>
        <v>0</v>
      </c>
      <c r="X41" s="127">
        <f>+Actuals!U302</f>
        <v>0</v>
      </c>
      <c r="Y41" s="128">
        <f>+Actuals!V302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+Actuals!AE302</f>
        <v>0</v>
      </c>
      <c r="AI41" s="128">
        <f>+Actuals!AF302</f>
        <v>0</v>
      </c>
      <c r="AJ41" s="127">
        <f>+Actuals!AG302</f>
        <v>0</v>
      </c>
      <c r="AK41" s="128">
        <f>+Actuals!AH302</f>
        <v>0</v>
      </c>
      <c r="AL41" s="127">
        <f>+Actuals!AI302</f>
        <v>0</v>
      </c>
      <c r="AM41" s="128">
        <f>+Actuals!AJ302</f>
        <v>0</v>
      </c>
      <c r="AN41" s="127">
        <f>+Actuals!AK302</f>
        <v>0</v>
      </c>
      <c r="AO41" s="128">
        <f>+Actuals!AL302</f>
        <v>0</v>
      </c>
      <c r="AP41" s="127">
        <f>+Actuals!AM302</f>
        <v>0</v>
      </c>
      <c r="AQ41" s="128">
        <f>+Actuals!AN302</f>
        <v>0</v>
      </c>
    </row>
    <row r="42" spans="1:43" x14ac:dyDescent="0.2">
      <c r="A42" s="9"/>
      <c r="B42" s="7"/>
      <c r="C42" s="53" t="s">
        <v>50</v>
      </c>
      <c r="D42" s="61">
        <f t="shared" ref="D42:AA42" si="12">SUM(D40:D41)</f>
        <v>-11094</v>
      </c>
      <c r="E42" s="39">
        <f t="shared" si="12"/>
        <v>-18534.63</v>
      </c>
      <c r="F42" s="61">
        <f t="shared" si="12"/>
        <v>0</v>
      </c>
      <c r="G42" s="39">
        <f t="shared" si="12"/>
        <v>0</v>
      </c>
      <c r="H42" s="61">
        <f t="shared" si="12"/>
        <v>-11094</v>
      </c>
      <c r="I42" s="39">
        <f t="shared" si="12"/>
        <v>-18534.63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AA43" si="14">D42+D39</f>
        <v>-11094</v>
      </c>
      <c r="E43" s="39">
        <f t="shared" si="14"/>
        <v>-18534.63</v>
      </c>
      <c r="F43" s="61">
        <f t="shared" si="14"/>
        <v>0</v>
      </c>
      <c r="G43" s="39">
        <f t="shared" si="14"/>
        <v>0</v>
      </c>
      <c r="H43" s="61">
        <f t="shared" si="14"/>
        <v>-11094</v>
      </c>
      <c r="I43" s="39">
        <f t="shared" si="14"/>
        <v>-18534.63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+Actuals!S303</f>
        <v>0</v>
      </c>
      <c r="W45" s="128">
        <f>+Actuals!T303</f>
        <v>0</v>
      </c>
      <c r="X45" s="127">
        <f>+Actuals!U303</f>
        <v>0</v>
      </c>
      <c r="Y45" s="128">
        <f>+Actuals!V303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+Actuals!AE303</f>
        <v>0</v>
      </c>
      <c r="AI45" s="128">
        <f>+Actuals!AF303</f>
        <v>0</v>
      </c>
      <c r="AJ45" s="127">
        <f>+Actuals!AG303</f>
        <v>0</v>
      </c>
      <c r="AK45" s="128">
        <f>+Actuals!AH303</f>
        <v>0</v>
      </c>
      <c r="AL45" s="127">
        <f>+Actuals!AI303</f>
        <v>0</v>
      </c>
      <c r="AM45" s="128">
        <f>+Actuals!AJ303</f>
        <v>0</v>
      </c>
      <c r="AN45" s="127">
        <f>+Actuals!AK303</f>
        <v>0</v>
      </c>
      <c r="AO45" s="128">
        <f>+Actuals!AL303</f>
        <v>0</v>
      </c>
      <c r="AP45" s="127">
        <f>+Actuals!AM303</f>
        <v>0</v>
      </c>
      <c r="AQ45" s="128">
        <f>+Actuals!AN303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+Actuals!S304</f>
        <v>0</v>
      </c>
      <c r="W47" s="128">
        <f>+Actuals!T304</f>
        <v>0</v>
      </c>
      <c r="X47" s="127">
        <f>+Actuals!U304</f>
        <v>0</v>
      </c>
      <c r="Y47" s="128">
        <f>+Actuals!V304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+Actuals!AE304</f>
        <v>0</v>
      </c>
      <c r="AI47" s="128">
        <f>+Actuals!AF304</f>
        <v>0</v>
      </c>
      <c r="AJ47" s="127">
        <f>+Actuals!AG304</f>
        <v>0</v>
      </c>
      <c r="AK47" s="128">
        <f>+Actuals!AH304</f>
        <v>0</v>
      </c>
      <c r="AL47" s="127">
        <f>+Actuals!AI304</f>
        <v>0</v>
      </c>
      <c r="AM47" s="128">
        <f>+Actuals!AJ304</f>
        <v>0</v>
      </c>
      <c r="AN47" s="127">
        <f>+Actuals!AK304</f>
        <v>0</v>
      </c>
      <c r="AO47" s="128">
        <f>+Actuals!AL304</f>
        <v>0</v>
      </c>
      <c r="AP47" s="127">
        <f>+Actuals!AM304</f>
        <v>0</v>
      </c>
      <c r="AQ47" s="128">
        <f>+Actuals!AN304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-24854</v>
      </c>
      <c r="E49" s="38">
        <f>SUM(G49,I49,K49,M49,O49,Q49,S49,U49,W49,Y49,AA49,AC49,AE49,AG49)</f>
        <v>-39691.837999999989</v>
      </c>
      <c r="F49" s="60">
        <f>'TIE-OUT'!N49+RECLASS!N49</f>
        <v>0</v>
      </c>
      <c r="G49" s="38">
        <f>'TIE-OUT'!O49+RECLASS!O49</f>
        <v>0</v>
      </c>
      <c r="H49" s="127">
        <f>+Actuals!E305</f>
        <v>129023</v>
      </c>
      <c r="I49" s="128">
        <f>+Actuals!F305</f>
        <v>206049.731</v>
      </c>
      <c r="J49" s="127">
        <f>+Actuals!G305</f>
        <v>576776</v>
      </c>
      <c r="K49" s="128">
        <f>+Actuals!H305</f>
        <v>921111.272</v>
      </c>
      <c r="L49" s="127">
        <f>+Actuals!I305</f>
        <v>80715</v>
      </c>
      <c r="M49" s="128">
        <f>+Actuals!J305</f>
        <v>128901.855</v>
      </c>
      <c r="N49" s="127">
        <f>+Actuals!K305</f>
        <v>602</v>
      </c>
      <c r="O49" s="128">
        <f>+Actuals!L305</f>
        <v>961.39400000000001</v>
      </c>
      <c r="P49" s="127">
        <f>+Actuals!M305</f>
        <v>-1623</v>
      </c>
      <c r="Q49" s="128">
        <f>+Actuals!N305</f>
        <v>-2591.931</v>
      </c>
      <c r="R49" s="127">
        <f>+Actuals!O305</f>
        <v>-1</v>
      </c>
      <c r="S49" s="128">
        <f>+Actuals!P305</f>
        <v>-1.597</v>
      </c>
      <c r="T49" s="127">
        <f>+Actuals!Q305</f>
        <v>12</v>
      </c>
      <c r="U49" s="128">
        <f>+Actuals!R305</f>
        <v>19.164000000000001</v>
      </c>
      <c r="V49" s="127">
        <f>+Actuals!S305</f>
        <v>0</v>
      </c>
      <c r="W49" s="128">
        <f>+Actuals!T305</f>
        <v>0</v>
      </c>
      <c r="X49" s="127">
        <f>+Actuals!U305</f>
        <v>-810358</v>
      </c>
      <c r="Y49" s="128">
        <f>+Actuals!V305</f>
        <v>-1294141.726</v>
      </c>
      <c r="Z49" s="127">
        <f>+Actuals!W505</f>
        <v>810358</v>
      </c>
      <c r="AA49" s="128">
        <f>+Actuals!X505</f>
        <v>1294141.726</v>
      </c>
      <c r="AB49" s="127">
        <f>+Actuals!Y505</f>
        <v>0</v>
      </c>
      <c r="AC49" s="128">
        <f>+Actuals!Z505</f>
        <v>0</v>
      </c>
      <c r="AD49" s="127">
        <f>+Actuals!AA505</f>
        <v>-810358</v>
      </c>
      <c r="AE49" s="128">
        <f>+Actuals!AB505</f>
        <v>-1294141.726</v>
      </c>
      <c r="AF49" s="127">
        <f>+Actuals!AC505</f>
        <v>0</v>
      </c>
      <c r="AG49" s="128">
        <f>+Actuals!AD505</f>
        <v>0</v>
      </c>
      <c r="AH49" s="127">
        <f>+Actuals!AE305</f>
        <v>0</v>
      </c>
      <c r="AI49" s="128">
        <f>+Actuals!AF305</f>
        <v>0</v>
      </c>
      <c r="AJ49" s="127">
        <f>+Actuals!AG305</f>
        <v>0</v>
      </c>
      <c r="AK49" s="128">
        <f>+Actuals!AH305</f>
        <v>0</v>
      </c>
      <c r="AL49" s="127">
        <f>+Actuals!AI305</f>
        <v>0</v>
      </c>
      <c r="AM49" s="128">
        <f>+Actuals!AJ305</f>
        <v>0</v>
      </c>
      <c r="AN49" s="127">
        <f>+Actuals!AK305</f>
        <v>0</v>
      </c>
      <c r="AO49" s="128">
        <f>+Actuals!AL305</f>
        <v>0</v>
      </c>
      <c r="AP49" s="127">
        <f>+Actuals!AM305</f>
        <v>0</v>
      </c>
      <c r="AQ49" s="128">
        <f>+Actuals!AN305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-278175</v>
      </c>
      <c r="E51" s="38">
        <f>SUM(G51,I51,K51,M51,O51,Q51,S51,U51,W51,Y51,AA51,AC51,AE51,AG51)</f>
        <v>-444245.47799999994</v>
      </c>
      <c r="F51" s="60">
        <f>'TIE-OUT'!N51+RECLASS!N51</f>
        <v>0</v>
      </c>
      <c r="G51" s="38">
        <f>'TIE-OUT'!O51+RECLASS!O51</f>
        <v>0</v>
      </c>
      <c r="H51" s="127">
        <f>+Actuals!E306</f>
        <v>-271831</v>
      </c>
      <c r="I51" s="128">
        <f>+Actuals!F306</f>
        <v>-434114.11</v>
      </c>
      <c r="J51" s="127">
        <f>+Actuals!G306</f>
        <v>-7584</v>
      </c>
      <c r="K51" s="128">
        <f>+Actuals!H306</f>
        <v>-12111.647999999999</v>
      </c>
      <c r="L51" s="127">
        <f>+Actuals!I306</f>
        <v>1133</v>
      </c>
      <c r="M51" s="128">
        <f>+Actuals!J306</f>
        <v>1809.4010000000001</v>
      </c>
      <c r="N51" s="127">
        <f>+Actuals!K306</f>
        <v>-1</v>
      </c>
      <c r="O51" s="128">
        <f>+Actuals!L306</f>
        <v>-1.597</v>
      </c>
      <c r="P51" s="127">
        <f>+Actuals!M306</f>
        <v>0</v>
      </c>
      <c r="Q51" s="128">
        <f>+Actuals!N306</f>
        <v>0</v>
      </c>
      <c r="R51" s="127">
        <f>+Actuals!O306</f>
        <v>9</v>
      </c>
      <c r="S51" s="128">
        <f>+Actuals!P306</f>
        <v>14.372999999999999</v>
      </c>
      <c r="T51" s="127">
        <f>+Actuals!Q306</f>
        <v>99</v>
      </c>
      <c r="U51" s="128">
        <f>+Actuals!R306</f>
        <v>158.10300000000001</v>
      </c>
      <c r="V51" s="127">
        <f>+Actuals!S306</f>
        <v>0</v>
      </c>
      <c r="W51" s="128">
        <f>+Actuals!T306</f>
        <v>0</v>
      </c>
      <c r="X51" s="127">
        <f>+Actuals!U306</f>
        <v>0</v>
      </c>
      <c r="Y51" s="128">
        <f>+Actuals!V306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+Actuals!AE306</f>
        <v>0</v>
      </c>
      <c r="AI51" s="128">
        <f>+Actuals!AF306</f>
        <v>0</v>
      </c>
      <c r="AJ51" s="127">
        <f>+Actuals!AG306</f>
        <v>0</v>
      </c>
      <c r="AK51" s="128">
        <f>+Actuals!AH306</f>
        <v>0</v>
      </c>
      <c r="AL51" s="127">
        <f>+Actuals!AI306</f>
        <v>0</v>
      </c>
      <c r="AM51" s="128">
        <f>+Actuals!AJ306</f>
        <v>0</v>
      </c>
      <c r="AN51" s="127">
        <f>+Actuals!AK306</f>
        <v>0</v>
      </c>
      <c r="AO51" s="128">
        <f>+Actuals!AL306</f>
        <v>0</v>
      </c>
      <c r="AP51" s="127">
        <f>+Actuals!AM306</f>
        <v>0</v>
      </c>
      <c r="AQ51" s="128">
        <f>+Actuals!AN306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-14160611</v>
      </c>
      <c r="E54" s="38">
        <f>SUM(G54,I54,K54,M54,O54,Q54,S54,U54,W54,Y54,AA54,AC54,AE54,AG54)</f>
        <v>-230277.55000000005</v>
      </c>
      <c r="F54" s="64">
        <f>'TIE-OUT'!N54+RECLASS!N54</f>
        <v>0</v>
      </c>
      <c r="G54" s="68">
        <f>'TIE-OUT'!O54+RECLASS!O54</f>
        <v>0</v>
      </c>
      <c r="H54" s="127">
        <f>+Actuals!E307</f>
        <v>-12521804</v>
      </c>
      <c r="I54" s="128">
        <f>+Actuals!F307</f>
        <v>-184992.53</v>
      </c>
      <c r="J54" s="127">
        <f>+Actuals!G307</f>
        <v>-1144987</v>
      </c>
      <c r="K54" s="128">
        <f>+Actuals!H307</f>
        <v>-49833.05</v>
      </c>
      <c r="L54" s="127">
        <f>+Actuals!I307</f>
        <v>-99</v>
      </c>
      <c r="M54" s="128">
        <f>+Actuals!J307</f>
        <v>6000.33</v>
      </c>
      <c r="N54" s="127">
        <f>+Actuals!K307</f>
        <v>-493802</v>
      </c>
      <c r="O54" s="128">
        <f>+Actuals!L307</f>
        <v>-105.37</v>
      </c>
      <c r="P54" s="127">
        <f>+Actuals!M307</f>
        <v>-4420</v>
      </c>
      <c r="Q54" s="128">
        <f>+Actuals!N307</f>
        <v>-1439.7</v>
      </c>
      <c r="R54" s="127">
        <f>+Actuals!O307</f>
        <v>4501</v>
      </c>
      <c r="S54" s="128">
        <f>+Actuals!P307</f>
        <v>-384.45</v>
      </c>
      <c r="T54" s="127">
        <f>+Actuals!Q307</f>
        <v>0</v>
      </c>
      <c r="U54" s="128">
        <f>+Actuals!R307</f>
        <v>0</v>
      </c>
      <c r="V54" s="127">
        <f>+Actuals!S307</f>
        <v>0</v>
      </c>
      <c r="W54" s="128">
        <f>+Actuals!T307</f>
        <v>0</v>
      </c>
      <c r="X54" s="127">
        <f>+Actuals!U307</f>
        <v>0</v>
      </c>
      <c r="Y54" s="128">
        <f>+Actuals!V307</f>
        <v>0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477.22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+Actuals!AE307</f>
        <v>0</v>
      </c>
      <c r="AI54" s="128">
        <f>+Actuals!AF307</f>
        <v>0</v>
      </c>
      <c r="AJ54" s="127">
        <f>+Actuals!AG307</f>
        <v>0</v>
      </c>
      <c r="AK54" s="128">
        <f>+Actuals!AH307</f>
        <v>0</v>
      </c>
      <c r="AL54" s="127">
        <f>+Actuals!AI307</f>
        <v>0</v>
      </c>
      <c r="AM54" s="128">
        <f>+Actuals!AJ307</f>
        <v>0</v>
      </c>
      <c r="AN54" s="127">
        <f>+Actuals!AK307</f>
        <v>0</v>
      </c>
      <c r="AO54" s="128">
        <f>+Actuals!AL307</f>
        <v>0</v>
      </c>
      <c r="AP54" s="127">
        <f>+Actuals!AM307</f>
        <v>0</v>
      </c>
      <c r="AQ54" s="128">
        <f>+Actuals!AN307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-1864659.36</v>
      </c>
      <c r="F55" s="81">
        <f>'TIE-OUT'!N55+RECLASS!N55</f>
        <v>0</v>
      </c>
      <c r="G55" s="82">
        <f>'TIE-OUT'!O55+RECLASS!O55</f>
        <v>780610</v>
      </c>
      <c r="H55" s="127">
        <f>+Actuals!E308</f>
        <v>0</v>
      </c>
      <c r="I55" s="128">
        <f>+Actuals!F308</f>
        <v>-2674409.12</v>
      </c>
      <c r="J55" s="127">
        <f>+Actuals!G308</f>
        <v>0</v>
      </c>
      <c r="K55" s="128">
        <f>+Actuals!H308</f>
        <v>37333.49</v>
      </c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+Actuals!S308</f>
        <v>0</v>
      </c>
      <c r="W55" s="128">
        <f>+Actuals!T308</f>
        <v>0</v>
      </c>
      <c r="X55" s="127">
        <f>+Actuals!U308</f>
        <v>0</v>
      </c>
      <c r="Y55" s="128">
        <f>+Actuals!V308</f>
        <v>0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-8193.73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+Actuals!AE308</f>
        <v>0</v>
      </c>
      <c r="AI55" s="128">
        <f>+Actuals!AF308</f>
        <v>0</v>
      </c>
      <c r="AJ55" s="127">
        <f>+Actuals!AG308</f>
        <v>0</v>
      </c>
      <c r="AK55" s="128">
        <f>+Actuals!AH308</f>
        <v>0</v>
      </c>
      <c r="AL55" s="127">
        <f>+Actuals!AI308</f>
        <v>0</v>
      </c>
      <c r="AM55" s="128">
        <f>+Actuals!AJ308</f>
        <v>0</v>
      </c>
      <c r="AN55" s="127">
        <f>+Actuals!AK308</f>
        <v>0</v>
      </c>
      <c r="AO55" s="128">
        <f>+Actuals!AL308</f>
        <v>0</v>
      </c>
      <c r="AP55" s="127">
        <f>+Actuals!AM308</f>
        <v>0</v>
      </c>
      <c r="AQ55" s="128">
        <f>+Actuals!AN308</f>
        <v>0</v>
      </c>
    </row>
    <row r="56" spans="1:43" x14ac:dyDescent="0.2">
      <c r="A56" s="9"/>
      <c r="B56" s="7" t="s">
        <v>59</v>
      </c>
      <c r="C56" s="6"/>
      <c r="D56" s="61">
        <f t="shared" ref="D56:AA56" si="16">SUM(D54:D55)</f>
        <v>-14160611</v>
      </c>
      <c r="E56" s="39">
        <f t="shared" si="16"/>
        <v>-2094936.9100000001</v>
      </c>
      <c r="F56" s="61">
        <f t="shared" si="16"/>
        <v>0</v>
      </c>
      <c r="G56" s="39">
        <f t="shared" si="16"/>
        <v>780610</v>
      </c>
      <c r="H56" s="61">
        <f t="shared" si="16"/>
        <v>-12521804</v>
      </c>
      <c r="I56" s="39">
        <f t="shared" si="16"/>
        <v>-2859401.65</v>
      </c>
      <c r="J56" s="61">
        <f t="shared" si="16"/>
        <v>-1144987</v>
      </c>
      <c r="K56" s="39">
        <f t="shared" si="16"/>
        <v>-12499.560000000005</v>
      </c>
      <c r="L56" s="61">
        <f t="shared" si="16"/>
        <v>-99</v>
      </c>
      <c r="M56" s="39">
        <f t="shared" si="16"/>
        <v>6000.33</v>
      </c>
      <c r="N56" s="61">
        <f t="shared" si="16"/>
        <v>-493802</v>
      </c>
      <c r="O56" s="39">
        <f t="shared" si="16"/>
        <v>-105.37</v>
      </c>
      <c r="P56" s="61">
        <f t="shared" si="16"/>
        <v>-4420</v>
      </c>
      <c r="Q56" s="39">
        <f t="shared" si="16"/>
        <v>-1439.7</v>
      </c>
      <c r="R56" s="61">
        <f t="shared" si="16"/>
        <v>4501</v>
      </c>
      <c r="S56" s="39">
        <f t="shared" si="16"/>
        <v>-384.45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-7716.5099999999993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+Actuals!S309</f>
        <v>0</v>
      </c>
      <c r="W59" s="128">
        <f>+Actuals!T309</f>
        <v>0</v>
      </c>
      <c r="X59" s="127">
        <f>+Actuals!U309</f>
        <v>0</v>
      </c>
      <c r="Y59" s="128">
        <f>+Actuals!V309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+Actuals!AE309</f>
        <v>0</v>
      </c>
      <c r="AI59" s="128">
        <f>+Actuals!AF309</f>
        <v>0</v>
      </c>
      <c r="AJ59" s="127">
        <f>+Actuals!AG309</f>
        <v>0</v>
      </c>
      <c r="AK59" s="128">
        <f>+Actuals!AH309</f>
        <v>0</v>
      </c>
      <c r="AL59" s="127">
        <f>+Actuals!AI309</f>
        <v>0</v>
      </c>
      <c r="AM59" s="128">
        <f>+Actuals!AJ309</f>
        <v>0</v>
      </c>
      <c r="AN59" s="127">
        <f>+Actuals!AK309</f>
        <v>0</v>
      </c>
      <c r="AO59" s="128">
        <f>+Actuals!AL309</f>
        <v>0</v>
      </c>
      <c r="AP59" s="127">
        <f>+Actuals!AM309</f>
        <v>0</v>
      </c>
      <c r="AQ59" s="128">
        <f>+Actuals!AN309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+Actuals!S310</f>
        <v>0</v>
      </c>
      <c r="W60" s="128">
        <f>+Actuals!T310</f>
        <v>0</v>
      </c>
      <c r="X60" s="127">
        <f>+Actuals!U310</f>
        <v>0</v>
      </c>
      <c r="Y60" s="128">
        <f>+Actuals!V310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+Actuals!AE310</f>
        <v>0</v>
      </c>
      <c r="AI60" s="128">
        <f>+Actuals!AF310</f>
        <v>0</v>
      </c>
      <c r="AJ60" s="127">
        <f>+Actuals!AG310</f>
        <v>0</v>
      </c>
      <c r="AK60" s="128">
        <f>+Actuals!AH310</f>
        <v>0</v>
      </c>
      <c r="AL60" s="127">
        <f>+Actuals!AI310</f>
        <v>0</v>
      </c>
      <c r="AM60" s="128">
        <f>+Actuals!AJ310</f>
        <v>0</v>
      </c>
      <c r="AN60" s="127">
        <f>+Actuals!AK310</f>
        <v>0</v>
      </c>
      <c r="AO60" s="128">
        <f>+Actuals!AL310</f>
        <v>0</v>
      </c>
      <c r="AP60" s="127">
        <f>+Actuals!AM310</f>
        <v>0</v>
      </c>
      <c r="AQ60" s="128">
        <f>+Actuals!AN310</f>
        <v>0</v>
      </c>
    </row>
    <row r="61" spans="1:43" x14ac:dyDescent="0.2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+Actuals!S311</f>
        <v>0</v>
      </c>
      <c r="W64" s="128">
        <f>+Actuals!T311</f>
        <v>0</v>
      </c>
      <c r="X64" s="127">
        <f>+Actuals!U311</f>
        <v>0</v>
      </c>
      <c r="Y64" s="128">
        <f>+Actuals!V311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+Actuals!AE311</f>
        <v>0</v>
      </c>
      <c r="AI64" s="128">
        <f>+Actuals!AF311</f>
        <v>0</v>
      </c>
      <c r="AJ64" s="127">
        <f>+Actuals!AG311</f>
        <v>0</v>
      </c>
      <c r="AK64" s="128">
        <f>+Actuals!AH311</f>
        <v>0</v>
      </c>
      <c r="AL64" s="127">
        <f>+Actuals!AI311</f>
        <v>0</v>
      </c>
      <c r="AM64" s="128">
        <f>+Actuals!AJ311</f>
        <v>0</v>
      </c>
      <c r="AN64" s="127">
        <f>+Actuals!AK311</f>
        <v>0</v>
      </c>
      <c r="AO64" s="128">
        <f>+Actuals!AL311</f>
        <v>0</v>
      </c>
      <c r="AP64" s="127">
        <f>+Actuals!AM311</f>
        <v>0</v>
      </c>
      <c r="AQ64" s="128">
        <f>+Actuals!AN311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+Actuals!S312</f>
        <v>0</v>
      </c>
      <c r="W65" s="128">
        <f>+Actuals!T312</f>
        <v>0</v>
      </c>
      <c r="X65" s="127">
        <f>+Actuals!U312</f>
        <v>0</v>
      </c>
      <c r="Y65" s="128">
        <f>+Actuals!V312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+Actuals!AE312</f>
        <v>0</v>
      </c>
      <c r="AI65" s="128">
        <f>+Actuals!AF312</f>
        <v>0</v>
      </c>
      <c r="AJ65" s="127">
        <f>+Actuals!AG312</f>
        <v>0</v>
      </c>
      <c r="AK65" s="128">
        <f>+Actuals!AH312</f>
        <v>0</v>
      </c>
      <c r="AL65" s="127">
        <f>+Actuals!AI312</f>
        <v>0</v>
      </c>
      <c r="AM65" s="128">
        <f>+Actuals!AJ312</f>
        <v>0</v>
      </c>
      <c r="AN65" s="127">
        <f>+Actuals!AK312</f>
        <v>0</v>
      </c>
      <c r="AO65" s="128">
        <f>+Actuals!AL312</f>
        <v>0</v>
      </c>
      <c r="AP65" s="127">
        <f>+Actuals!AM312</f>
        <v>0</v>
      </c>
      <c r="AQ65" s="128">
        <f>+Actuals!AN312</f>
        <v>0</v>
      </c>
    </row>
    <row r="66" spans="1:43" x14ac:dyDescent="0.2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709561.76</v>
      </c>
      <c r="F70" s="64">
        <f>'TIE-OUT'!N70+RECLASS!N70</f>
        <v>0</v>
      </c>
      <c r="G70" s="68">
        <f>'TIE-OUT'!O70+RECLASS!O70</f>
        <v>709561.76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+Actuals!S313</f>
        <v>0</v>
      </c>
      <c r="W70" s="128">
        <f>+Actuals!T313</f>
        <v>0</v>
      </c>
      <c r="X70" s="127">
        <f>+Actuals!U313</f>
        <v>0</v>
      </c>
      <c r="Y70" s="128">
        <f>+Actuals!V313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+Actuals!AE313</f>
        <v>0</v>
      </c>
      <c r="AI70" s="128">
        <f>+Actuals!AF313</f>
        <v>0</v>
      </c>
      <c r="AJ70" s="127">
        <f>+Actuals!AG313</f>
        <v>0</v>
      </c>
      <c r="AK70" s="128">
        <f>+Actuals!AH313</f>
        <v>0</v>
      </c>
      <c r="AL70" s="127">
        <f>+Actuals!AI313</f>
        <v>0</v>
      </c>
      <c r="AM70" s="128">
        <f>+Actuals!AJ313</f>
        <v>0</v>
      </c>
      <c r="AN70" s="127">
        <f>+Actuals!AK313</f>
        <v>0</v>
      </c>
      <c r="AO70" s="128">
        <f>+Actuals!AL313</f>
        <v>0</v>
      </c>
      <c r="AP70" s="127">
        <f>+Actuals!AM313</f>
        <v>0</v>
      </c>
      <c r="AQ70" s="128">
        <f>+Actuals!AN313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-559245</v>
      </c>
      <c r="F71" s="81">
        <f>'TIE-OUT'!N71+RECLASS!N71</f>
        <v>0</v>
      </c>
      <c r="G71" s="82">
        <f>'TIE-OUT'!O71+RECLASS!O71</f>
        <v>-559245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+Actuals!S314</f>
        <v>0</v>
      </c>
      <c r="W71" s="128">
        <f>+Actuals!T314</f>
        <v>0</v>
      </c>
      <c r="X71" s="127">
        <f>+Actuals!U314</f>
        <v>0</v>
      </c>
      <c r="Y71" s="128">
        <f>+Actuals!V314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+Actuals!AE314</f>
        <v>0</v>
      </c>
      <c r="AI71" s="128">
        <f>+Actuals!AF314</f>
        <v>0</v>
      </c>
      <c r="AJ71" s="127">
        <f>+Actuals!AG314</f>
        <v>0</v>
      </c>
      <c r="AK71" s="128">
        <f>+Actuals!AH314</f>
        <v>0</v>
      </c>
      <c r="AL71" s="127">
        <f>+Actuals!AI314</f>
        <v>0</v>
      </c>
      <c r="AM71" s="128">
        <f>+Actuals!AJ314</f>
        <v>0</v>
      </c>
      <c r="AN71" s="127">
        <f>+Actuals!AK314</f>
        <v>0</v>
      </c>
      <c r="AO71" s="128">
        <f>+Actuals!AL314</f>
        <v>0</v>
      </c>
      <c r="AP71" s="127">
        <f>+Actuals!AM314</f>
        <v>0</v>
      </c>
      <c r="AQ71" s="128">
        <f>+Actuals!AN314</f>
        <v>0</v>
      </c>
    </row>
    <row r="72" spans="1:43" x14ac:dyDescent="0.2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150316.76</v>
      </c>
      <c r="F72" s="61">
        <f t="shared" si="22"/>
        <v>0</v>
      </c>
      <c r="G72" s="39">
        <f t="shared" si="22"/>
        <v>150316.76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+Actuals!S315</f>
        <v>0</v>
      </c>
      <c r="W73" s="128">
        <f>+Actuals!T315</f>
        <v>0</v>
      </c>
      <c r="X73" s="127">
        <f>+Actuals!U315</f>
        <v>0</v>
      </c>
      <c r="Y73" s="128">
        <f>+Actuals!V315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+Actuals!AE315</f>
        <v>0</v>
      </c>
      <c r="AI73" s="128">
        <f>+Actuals!AF315</f>
        <v>0</v>
      </c>
      <c r="AJ73" s="127">
        <f>+Actuals!AG315</f>
        <v>0</v>
      </c>
      <c r="AK73" s="128">
        <f>+Actuals!AH315</f>
        <v>0</v>
      </c>
      <c r="AL73" s="127">
        <f>+Actuals!AI315</f>
        <v>0</v>
      </c>
      <c r="AM73" s="128">
        <f>+Actuals!AJ315</f>
        <v>0</v>
      </c>
      <c r="AN73" s="127">
        <f>+Actuals!AK315</f>
        <v>0</v>
      </c>
      <c r="AO73" s="128">
        <f>+Actuals!AL315</f>
        <v>0</v>
      </c>
      <c r="AP73" s="127">
        <f>+Actuals!AM315</f>
        <v>0</v>
      </c>
      <c r="AQ73" s="128">
        <f>+Actuals!AN315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283975.67999999993</v>
      </c>
      <c r="F74" s="60">
        <f>'TIE-OUT'!N74+RECLASS!N74</f>
        <v>0</v>
      </c>
      <c r="G74" s="60">
        <f>'TIE-OUT'!O74+RECLASS!O74</f>
        <v>283975.67999999999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f>+Actuals!H316</f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f>+Actuals!N316</f>
        <v>0</v>
      </c>
      <c r="R74" s="127">
        <f>+Actuals!O316</f>
        <v>0</v>
      </c>
      <c r="S74" s="157">
        <f>+Actuals!P316+546214</f>
        <v>546214</v>
      </c>
      <c r="T74" s="127">
        <f>+Actuals!Q316</f>
        <v>0</v>
      </c>
      <c r="U74" s="157">
        <v>-546214</v>
      </c>
      <c r="V74" s="127">
        <f>+Actuals!S316</f>
        <v>0</v>
      </c>
      <c r="W74" s="128">
        <f>+Actuals!T316</f>
        <v>0</v>
      </c>
      <c r="X74" s="127">
        <f>+Actuals!U316</f>
        <v>0</v>
      </c>
      <c r="Y74" s="128">
        <f>+Actuals!V316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+Actuals!AE316</f>
        <v>0</v>
      </c>
      <c r="AI74" s="128">
        <f>+Actuals!AF316</f>
        <v>0</v>
      </c>
      <c r="AJ74" s="127">
        <f>+Actuals!AG316</f>
        <v>0</v>
      </c>
      <c r="AK74" s="128">
        <f>+Actuals!AH316</f>
        <v>0</v>
      </c>
      <c r="AL74" s="127">
        <f>+Actuals!AI316</f>
        <v>0</v>
      </c>
      <c r="AM74" s="128">
        <f>+Actuals!AJ316</f>
        <v>0</v>
      </c>
      <c r="AN74" s="127">
        <f>+Actuals!AK316</f>
        <v>0</v>
      </c>
      <c r="AO74" s="128">
        <f>+Actuals!AL316</f>
        <v>0</v>
      </c>
      <c r="AP74" s="127">
        <f>+Actuals!AM316</f>
        <v>0</v>
      </c>
      <c r="AQ74" s="128">
        <f>+Actuals!AN316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13200</v>
      </c>
      <c r="F75" s="60">
        <f>'TIE-OUT'!N75+RECLASS!N75</f>
        <v>0</v>
      </c>
      <c r="G75" s="60">
        <f>'TIE-OUT'!O75+RECLASS!O75</f>
        <v>13200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+Actuals!S317</f>
        <v>0</v>
      </c>
      <c r="W75" s="128">
        <f>+Actuals!T317</f>
        <v>0</v>
      </c>
      <c r="X75" s="127">
        <f>+Actuals!U317</f>
        <v>0</v>
      </c>
      <c r="Y75" s="128">
        <f>+Actuals!V317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+Actuals!AE317</f>
        <v>0</v>
      </c>
      <c r="AI75" s="128">
        <f>+Actuals!AF317</f>
        <v>0</v>
      </c>
      <c r="AJ75" s="127">
        <f>+Actuals!AG317</f>
        <v>0</v>
      </c>
      <c r="AK75" s="128">
        <f>+Actuals!AH317</f>
        <v>0</v>
      </c>
      <c r="AL75" s="127">
        <f>+Actuals!AI317</f>
        <v>0</v>
      </c>
      <c r="AM75" s="128">
        <f>+Actuals!AJ317</f>
        <v>0</v>
      </c>
      <c r="AN75" s="127">
        <f>+Actuals!AK317</f>
        <v>0</v>
      </c>
      <c r="AO75" s="128">
        <f>+Actuals!AL317</f>
        <v>0</v>
      </c>
      <c r="AP75" s="127">
        <f>+Actuals!AM317</f>
        <v>0</v>
      </c>
      <c r="AQ75" s="128">
        <f>+Actuals!AN317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-12014.53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-12014.53</v>
      </c>
      <c r="J76" s="127">
        <f>+Actuals!G318</f>
        <v>0</v>
      </c>
      <c r="K76" s="128">
        <f>+Actuals!H318</f>
        <v>0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+Actuals!S318</f>
        <v>0</v>
      </c>
      <c r="W76" s="128">
        <f>+Actuals!T318</f>
        <v>0</v>
      </c>
      <c r="X76" s="127">
        <f>+Actuals!U318</f>
        <v>0</v>
      </c>
      <c r="Y76" s="128">
        <f>+Actuals!V318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+Actuals!AE318</f>
        <v>0</v>
      </c>
      <c r="AI76" s="128">
        <f>+Actuals!AF318</f>
        <v>0</v>
      </c>
      <c r="AJ76" s="127">
        <f>+Actuals!AG318</f>
        <v>0</v>
      </c>
      <c r="AK76" s="128">
        <f>+Actuals!AH318</f>
        <v>0</v>
      </c>
      <c r="AL76" s="127">
        <f>+Actuals!AI318</f>
        <v>0</v>
      </c>
      <c r="AM76" s="128">
        <f>+Actuals!AJ318</f>
        <v>0</v>
      </c>
      <c r="AN76" s="127">
        <f>+Actuals!AK318</f>
        <v>0</v>
      </c>
      <c r="AO76" s="128">
        <f>+Actuals!AL318</f>
        <v>0</v>
      </c>
      <c r="AP76" s="127">
        <f>+Actuals!AM318</f>
        <v>0</v>
      </c>
      <c r="AQ76" s="128">
        <f>+Actuals!AN318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+Actuals!S319</f>
        <v>0</v>
      </c>
      <c r="W77" s="128">
        <f>+Actuals!T319</f>
        <v>0</v>
      </c>
      <c r="X77" s="127">
        <f>+Actuals!U319</f>
        <v>0</v>
      </c>
      <c r="Y77" s="128">
        <f>+Actuals!V319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+Actuals!AE319</f>
        <v>0</v>
      </c>
      <c r="AI77" s="128">
        <f>+Actuals!AF319</f>
        <v>0</v>
      </c>
      <c r="AJ77" s="127">
        <f>+Actuals!AG319</f>
        <v>0</v>
      </c>
      <c r="AK77" s="128">
        <f>+Actuals!AH319</f>
        <v>0</v>
      </c>
      <c r="AL77" s="127">
        <f>+Actuals!AI319</f>
        <v>0</v>
      </c>
      <c r="AM77" s="128">
        <f>+Actuals!AJ319</f>
        <v>0</v>
      </c>
      <c r="AN77" s="127">
        <f>+Actuals!AK319</f>
        <v>0</v>
      </c>
      <c r="AO77" s="128">
        <f>+Actuals!AL319</f>
        <v>0</v>
      </c>
      <c r="AP77" s="127">
        <f>+Actuals!AM319</f>
        <v>0</v>
      </c>
      <c r="AQ77" s="128">
        <f>+Actuals!AN319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+Actuals!S320</f>
        <v>0</v>
      </c>
      <c r="W78" s="128">
        <f>+Actuals!T320</f>
        <v>0</v>
      </c>
      <c r="X78" s="127">
        <f>+Actuals!U320</f>
        <v>0</v>
      </c>
      <c r="Y78" s="128">
        <f>+Actuals!V320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+Actuals!AE320</f>
        <v>0</v>
      </c>
      <c r="AI78" s="128">
        <f>+Actuals!AF320</f>
        <v>0</v>
      </c>
      <c r="AJ78" s="127">
        <f>+Actuals!AG320</f>
        <v>0</v>
      </c>
      <c r="AK78" s="128">
        <f>+Actuals!AH320</f>
        <v>0</v>
      </c>
      <c r="AL78" s="127">
        <f>+Actuals!AI320</f>
        <v>0</v>
      </c>
      <c r="AM78" s="128">
        <f>+Actuals!AJ320</f>
        <v>0</v>
      </c>
      <c r="AN78" s="127">
        <f>+Actuals!AK320</f>
        <v>0</v>
      </c>
      <c r="AO78" s="128">
        <f>+Actuals!AL320</f>
        <v>0</v>
      </c>
      <c r="AP78" s="127">
        <f>+Actuals!AM320</f>
        <v>0</v>
      </c>
      <c r="AQ78" s="128">
        <f>+Actuals!AN320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+Actuals!S321</f>
        <v>0</v>
      </c>
      <c r="W79" s="128">
        <f>+Actuals!T321</f>
        <v>0</v>
      </c>
      <c r="X79" s="127">
        <f>+Actuals!U321</f>
        <v>0</v>
      </c>
      <c r="Y79" s="128">
        <f>+Actuals!V321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+Actuals!AE321</f>
        <v>0</v>
      </c>
      <c r="AI79" s="128">
        <f>+Actuals!AF321</f>
        <v>0</v>
      </c>
      <c r="AJ79" s="127">
        <f>+Actuals!AG321</f>
        <v>0</v>
      </c>
      <c r="AK79" s="128">
        <f>+Actuals!AH321</f>
        <v>0</v>
      </c>
      <c r="AL79" s="127">
        <f>+Actuals!AI321</f>
        <v>0</v>
      </c>
      <c r="AM79" s="128">
        <f>+Actuals!AJ321</f>
        <v>0</v>
      </c>
      <c r="AN79" s="127">
        <f>+Actuals!AK321</f>
        <v>0</v>
      </c>
      <c r="AO79" s="128">
        <f>+Actuals!AL321</f>
        <v>0</v>
      </c>
      <c r="AP79" s="127">
        <f>+Actuals!AM321</f>
        <v>0</v>
      </c>
      <c r="AQ79" s="128">
        <f>+Actuals!AN321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+Actuals!S322</f>
        <v>0</v>
      </c>
      <c r="W80" s="128">
        <f>+Actuals!T322</f>
        <v>0</v>
      </c>
      <c r="X80" s="127">
        <f>+Actuals!U322</f>
        <v>0</v>
      </c>
      <c r="Y80" s="128">
        <f>+Actuals!V322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+Actuals!AE322</f>
        <v>0</v>
      </c>
      <c r="AI80" s="128">
        <f>+Actuals!AF322</f>
        <v>0</v>
      </c>
      <c r="AJ80" s="127">
        <f>+Actuals!AG322</f>
        <v>0</v>
      </c>
      <c r="AK80" s="128">
        <f>+Actuals!AH322</f>
        <v>0</v>
      </c>
      <c r="AL80" s="127">
        <f>+Actuals!AI322</f>
        <v>0</v>
      </c>
      <c r="AM80" s="128">
        <f>+Actuals!AJ322</f>
        <v>0</v>
      </c>
      <c r="AN80" s="127">
        <f>+Actuals!AK322</f>
        <v>0</v>
      </c>
      <c r="AO80" s="128">
        <f>+Actuals!AL322</f>
        <v>0</v>
      </c>
      <c r="AP80" s="127">
        <f>+Actuals!AM322</f>
        <v>0</v>
      </c>
      <c r="AQ80" s="128">
        <f>+Actuals!AN322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56362.86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59658.86</v>
      </c>
      <c r="J81" s="127">
        <f>+Actuals!G323</f>
        <v>0</v>
      </c>
      <c r="K81" s="128">
        <f>+Actuals!H323</f>
        <v>-3296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+Actuals!S323</f>
        <v>0</v>
      </c>
      <c r="W81" s="128">
        <f>+Actuals!T323</f>
        <v>0</v>
      </c>
      <c r="X81" s="127">
        <f>+Actuals!U323</f>
        <v>0</v>
      </c>
      <c r="Y81" s="128">
        <f>+Actuals!V323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+Actuals!AE323</f>
        <v>0</v>
      </c>
      <c r="AI81" s="128">
        <f>+Actuals!AF323</f>
        <v>0</v>
      </c>
      <c r="AJ81" s="127">
        <f>+Actuals!AG323</f>
        <v>0</v>
      </c>
      <c r="AK81" s="128">
        <f>+Actuals!AH323</f>
        <v>0</v>
      </c>
      <c r="AL81" s="127">
        <f>+Actuals!AI323</f>
        <v>0</v>
      </c>
      <c r="AM81" s="128">
        <f>+Actuals!AJ323</f>
        <v>0</v>
      </c>
      <c r="AN81" s="127">
        <f>+Actuals!AK323</f>
        <v>0</v>
      </c>
      <c r="AO81" s="128">
        <f>+Actuals!AL323</f>
        <v>0</v>
      </c>
      <c r="AP81" s="127">
        <f>+Actuals!AM323</f>
        <v>0</v>
      </c>
      <c r="AQ81" s="128">
        <f>+Actuals!AN323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1196649.5219999948</v>
      </c>
      <c r="F82" s="92">
        <f>F16+F24+F29+F36+F43+F45+F47+F49</f>
        <v>0</v>
      </c>
      <c r="G82" s="93">
        <f>SUM(G72:G81)+G16+G24+G29+G36+G43+G45+G47+G49+G51+G56+G61+G66</f>
        <v>-1204254.1400000001</v>
      </c>
      <c r="H82" s="92">
        <f>H16+H24+H29+H36+H43+H45+H47+H49</f>
        <v>0</v>
      </c>
      <c r="I82" s="93">
        <f>SUM(I72:I81)+I16+I24+I29+I36+I43+I45+I47+I49+I51+I56+I61+I66</f>
        <v>2358482.7609999874</v>
      </c>
      <c r="J82" s="92">
        <f>J16+J24+J29+J36+J43+J45+J47+J49</f>
        <v>0</v>
      </c>
      <c r="K82" s="158">
        <f>SUM(K72:K81)+K16+K24+K29+K36+K43+K45+K47+K49+K51+K56+K61+K66</f>
        <v>156253.88199999987</v>
      </c>
      <c r="L82" s="92">
        <f>L16+L24+L29+L36+L43+L45+L47+L49</f>
        <v>0</v>
      </c>
      <c r="M82" s="93">
        <f>SUM(M72:M81)+M16+M24+M29+M36+M43+M45+M47+M49+M51+M56+M61+M66</f>
        <v>38945.435000000012</v>
      </c>
      <c r="N82" s="92">
        <f>N16+N24+N29+N36+N43+N45+N47+N49</f>
        <v>0</v>
      </c>
      <c r="O82" s="93">
        <f>SUM(O72:O81)+O16+O24+O29+O36+O43+O45+O47+O49+O51+O56+O61+O66</f>
        <v>-189325.32900000003</v>
      </c>
      <c r="P82" s="92">
        <f>P16+P24+P29+P36+P43+P45+P47+P49</f>
        <v>0</v>
      </c>
      <c r="Q82" s="93">
        <f>SUM(Q72:Q81)+Q16+Q24+Q29+Q36+Q43+Q45+Q47+Q49+Q51+Q56+Q61+Q66</f>
        <v>-271411.75299999997</v>
      </c>
      <c r="R82" s="92">
        <f>R16+R24+R29+R36+R43+R45+R47+R49</f>
        <v>0</v>
      </c>
      <c r="S82" s="93">
        <f>SUM(S72:S81)+S16+S24+S29+S36+S43+S45+S47+S49+S51+S56+S61+S66</f>
        <v>895523.09400000004</v>
      </c>
      <c r="T82" s="92">
        <f>T16+T24+T29+T36+T43+T45+T47+T49</f>
        <v>0</v>
      </c>
      <c r="U82" s="93">
        <f>SUM(U72:U81)+U16+U24+U29+U36+U43+U45+U47+U49+U51+U56+U61+U66</f>
        <v>-672811.19200000016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94094.273999999976</v>
      </c>
      <c r="Z82" s="92">
        <f>Z16+Z24+Z29+Z36+Z43+Z45+Z47+Z49</f>
        <v>0</v>
      </c>
      <c r="AA82" s="93">
        <f>SUM(AA72:AA81)+AA16+AA24+AA29+AA36+AA43+AA45+AA47+AA49+AA51+AA56+AA61+AA66</f>
        <v>-94094.273999999976</v>
      </c>
      <c r="AB82" s="92">
        <f>AB16+AB24+AB29+AB36+AB43+AB45+AB47+AB49</f>
        <v>0</v>
      </c>
      <c r="AC82" s="93">
        <f>SUM(AC72:AC81)+AC16+AC24+AC29+AC36+AC43+AC45+AC47+AC49+AC51+AC56+AC61+AC66</f>
        <v>-7716.5099999999993</v>
      </c>
      <c r="AD82" s="92">
        <f>AD16+AD24+AD29+AD36+AD43+AD45+AD47+AD49</f>
        <v>0</v>
      </c>
      <c r="AE82" s="93">
        <f>SUM(AE72:AE81)+AE16+AE24+AE29+AE36+AE43+AE45+AE47+AE49+AE51+AE56+AE61+AE66</f>
        <v>92963.273999999976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Q179"/>
  <sheetViews>
    <sheetView zoomScale="75" workbookViewId="0">
      <pane xSplit="3" ySplit="9" topLeftCell="W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176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9279114</v>
      </c>
      <c r="E11" s="38">
        <f t="shared" si="0"/>
        <v>25456606</v>
      </c>
      <c r="F11" s="60">
        <f>'TIE-OUT'!X11+RECLASS!X11</f>
        <v>0</v>
      </c>
      <c r="G11" s="38">
        <f>'TIE-OUT'!Y11+RECLASS!Y11</f>
        <v>0</v>
      </c>
      <c r="H11" s="130">
        <f>+Actuals!E84+7134763</f>
        <v>7134763</v>
      </c>
      <c r="I11" s="131">
        <f>+Actuals!F84+13856994+13900000</f>
        <v>27756994</v>
      </c>
      <c r="J11" s="130">
        <f>+Actuals!G84</f>
        <v>0</v>
      </c>
      <c r="K11" s="147">
        <f>+Actuals!H84-14843363</f>
        <v>-14843363</v>
      </c>
      <c r="L11" s="130">
        <f>+Actuals!I84</f>
        <v>0</v>
      </c>
      <c r="M11" s="131">
        <f>+Actuals!J84</f>
        <v>0</v>
      </c>
      <c r="N11" s="130">
        <f>+Actuals!K84+2136851</f>
        <v>2136851</v>
      </c>
      <c r="O11" s="131">
        <f>+Actuals!L84+2908961</f>
        <v>2908961</v>
      </c>
      <c r="P11" s="130">
        <f>+Actuals!M84</f>
        <v>0</v>
      </c>
      <c r="Q11" s="131">
        <f>+Actuals!N84</f>
        <v>0</v>
      </c>
      <c r="R11" s="130">
        <f>+Actuals!O84</f>
        <v>0</v>
      </c>
      <c r="S11" s="131">
        <f>+Actuals!P84</f>
        <v>0</v>
      </c>
      <c r="T11" s="130">
        <v>7500</v>
      </c>
      <c r="U11" s="131">
        <v>9634014</v>
      </c>
      <c r="V11" s="130">
        <f>+Actuals!S84</f>
        <v>0</v>
      </c>
      <c r="W11" s="131">
        <f>+Actuals!T84</f>
        <v>0</v>
      </c>
      <c r="X11" s="130">
        <f>+Actuals!U84</f>
        <v>0</v>
      </c>
      <c r="Y11" s="131">
        <f>+Actuals!V84</f>
        <v>0</v>
      </c>
      <c r="Z11" s="127">
        <f>+Actuals!W124</f>
        <v>0</v>
      </c>
      <c r="AA11" s="128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+Actuals!AE84</f>
        <v>0</v>
      </c>
      <c r="AI11" s="131">
        <f>+Actuals!AF84</f>
        <v>0</v>
      </c>
      <c r="AJ11" s="130">
        <f>+Actuals!AG84</f>
        <v>0</v>
      </c>
      <c r="AK11" s="131">
        <f>+Actuals!AH84</f>
        <v>0</v>
      </c>
      <c r="AL11" s="130">
        <f>+Actuals!AI84</f>
        <v>0</v>
      </c>
      <c r="AM11" s="131">
        <f>+Actuals!AJ84</f>
        <v>0</v>
      </c>
      <c r="AN11" s="130">
        <f>+Actuals!AK84</f>
        <v>0</v>
      </c>
      <c r="AO11" s="131">
        <f>+Actuals!AL84</f>
        <v>0</v>
      </c>
      <c r="AP11" s="130">
        <f>+Actuals!AM84</f>
        <v>0</v>
      </c>
      <c r="AQ11" s="131">
        <f>+Actuals!AN84</f>
        <v>0</v>
      </c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30">
        <f>+Actuals!S85</f>
        <v>0</v>
      </c>
      <c r="W12" s="131">
        <f>+Actuals!T85</f>
        <v>0</v>
      </c>
      <c r="X12" s="130">
        <f>+Actuals!U85</f>
        <v>0</v>
      </c>
      <c r="Y12" s="131">
        <f>+Actuals!V85</f>
        <v>0</v>
      </c>
      <c r="Z12" s="127">
        <f>+Actuals!W125</f>
        <v>0</v>
      </c>
      <c r="AA12" s="128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+Actuals!AE85</f>
        <v>0</v>
      </c>
      <c r="AI12" s="131">
        <f>+Actuals!AF85</f>
        <v>0</v>
      </c>
      <c r="AJ12" s="130">
        <f>+Actuals!AG85</f>
        <v>0</v>
      </c>
      <c r="AK12" s="131">
        <f>+Actuals!AH85</f>
        <v>0</v>
      </c>
      <c r="AL12" s="130">
        <f>+Actuals!AI85</f>
        <v>0</v>
      </c>
      <c r="AM12" s="131">
        <f>+Actuals!AJ85</f>
        <v>0</v>
      </c>
      <c r="AN12" s="130">
        <f>+Actuals!AK85</f>
        <v>0</v>
      </c>
      <c r="AO12" s="131">
        <f>+Actuals!AL85</f>
        <v>0</v>
      </c>
      <c r="AP12" s="130">
        <f>+Actuals!AM85</f>
        <v>0</v>
      </c>
      <c r="AQ12" s="131">
        <f>+Actuals!AN85</f>
        <v>0</v>
      </c>
    </row>
    <row r="13" spans="1:43" x14ac:dyDescent="0.2">
      <c r="A13" s="9">
        <v>3</v>
      </c>
      <c r="B13" s="7"/>
      <c r="C13" s="18" t="s">
        <v>29</v>
      </c>
      <c r="D13" s="60">
        <f t="shared" si="0"/>
        <v>23263093</v>
      </c>
      <c r="E13" s="38">
        <f t="shared" si="0"/>
        <v>52935052</v>
      </c>
      <c r="F13" s="60">
        <f>'TIE-OUT'!X13+RECLASS!X13</f>
        <v>0</v>
      </c>
      <c r="G13" s="38">
        <f>'TIE-OUT'!Y13+RECLASS!Y13</f>
        <v>0</v>
      </c>
      <c r="H13" s="130">
        <f>+Actuals!E86+23263093</f>
        <v>23263093</v>
      </c>
      <c r="I13" s="131">
        <f>+Actuals!F86+52935052</f>
        <v>52935052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30">
        <f>+Actuals!S86</f>
        <v>0</v>
      </c>
      <c r="W13" s="131">
        <f>+Actuals!T86</f>
        <v>0</v>
      </c>
      <c r="X13" s="130">
        <v>-1631858</v>
      </c>
      <c r="Y13" s="131">
        <v>-3388224</v>
      </c>
      <c r="Z13" s="127">
        <f>+Actuals!W126</f>
        <v>0</v>
      </c>
      <c r="AA13" s="128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1631858</v>
      </c>
      <c r="AE13" s="131">
        <f>+Actuals!AB126</f>
        <v>3388224</v>
      </c>
      <c r="AF13" s="130">
        <f>+Actuals!AC126</f>
        <v>0</v>
      </c>
      <c r="AG13" s="131">
        <f>+Actuals!AD126</f>
        <v>0</v>
      </c>
      <c r="AH13" s="130">
        <f>+Actuals!AE86</f>
        <v>0</v>
      </c>
      <c r="AI13" s="131">
        <f>+Actuals!AF86</f>
        <v>0</v>
      </c>
      <c r="AJ13" s="130">
        <f>+Actuals!AG86</f>
        <v>0</v>
      </c>
      <c r="AK13" s="131">
        <f>+Actuals!AH86</f>
        <v>0</v>
      </c>
      <c r="AL13" s="130">
        <f>+Actuals!AI86</f>
        <v>0</v>
      </c>
      <c r="AM13" s="131">
        <f>+Actuals!AJ86</f>
        <v>0</v>
      </c>
      <c r="AN13" s="130">
        <f>+Actuals!AK86</f>
        <v>0</v>
      </c>
      <c r="AO13" s="131">
        <f>+Actuals!AL86</f>
        <v>0</v>
      </c>
      <c r="AP13" s="130">
        <f>+Actuals!AM86</f>
        <v>0</v>
      </c>
      <c r="AQ13" s="131">
        <f>+Actuals!AN86</f>
        <v>0</v>
      </c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30">
        <f>+Actuals!S87</f>
        <v>0</v>
      </c>
      <c r="W14" s="131">
        <f>+Actuals!T87</f>
        <v>0</v>
      </c>
      <c r="X14" s="130">
        <f>+Actuals!U87</f>
        <v>0</v>
      </c>
      <c r="Y14" s="131">
        <f>+Actuals!V87</f>
        <v>0</v>
      </c>
      <c r="Z14" s="127">
        <f>+Actuals!W127</f>
        <v>0</v>
      </c>
      <c r="AA14" s="128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+Actuals!AE87</f>
        <v>0</v>
      </c>
      <c r="AI14" s="131">
        <f>+Actuals!AF87</f>
        <v>0</v>
      </c>
      <c r="AJ14" s="130">
        <f>+Actuals!AG87</f>
        <v>0</v>
      </c>
      <c r="AK14" s="131">
        <f>+Actuals!AH87</f>
        <v>0</v>
      </c>
      <c r="AL14" s="130">
        <f>+Actuals!AI87</f>
        <v>0</v>
      </c>
      <c r="AM14" s="131">
        <f>+Actuals!AJ87</f>
        <v>0</v>
      </c>
      <c r="AN14" s="130">
        <f>+Actuals!AK87</f>
        <v>0</v>
      </c>
      <c r="AO14" s="131">
        <f>+Actuals!AL87</f>
        <v>0</v>
      </c>
      <c r="AP14" s="130">
        <f>+Actuals!AM87</f>
        <v>0</v>
      </c>
      <c r="AQ14" s="131">
        <f>+Actuals!AN87</f>
        <v>0</v>
      </c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0">
        <f>+Actuals!E88</f>
        <v>0</v>
      </c>
      <c r="I15" s="131">
        <f>+Actuals!F88</f>
        <v>0</v>
      </c>
      <c r="J15" s="130">
        <f>+Actuals!G88</f>
        <v>0</v>
      </c>
      <c r="K15" s="147">
        <f>+Actuals!H88</f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30">
        <f>+Actuals!S88</f>
        <v>0</v>
      </c>
      <c r="W15" s="131">
        <f>+Actuals!T88</f>
        <v>0</v>
      </c>
      <c r="X15" s="130">
        <f>+Actuals!U88</f>
        <v>0</v>
      </c>
      <c r="Y15" s="131">
        <f>+Actuals!V88</f>
        <v>0</v>
      </c>
      <c r="Z15" s="127">
        <f>+Actuals!W128</f>
        <v>0</v>
      </c>
      <c r="AA15" s="129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+Actuals!AE88</f>
        <v>0</v>
      </c>
      <c r="AI15" s="131">
        <f>+Actuals!AF88</f>
        <v>0</v>
      </c>
      <c r="AJ15" s="130">
        <f>+Actuals!AG88</f>
        <v>0</v>
      </c>
      <c r="AK15" s="131">
        <f>+Actuals!AH88</f>
        <v>0</v>
      </c>
      <c r="AL15" s="130">
        <f>+Actuals!AI88</f>
        <v>0</v>
      </c>
      <c r="AM15" s="131">
        <f>+Actuals!AJ88</f>
        <v>0</v>
      </c>
      <c r="AN15" s="130">
        <f>+Actuals!AK88</f>
        <v>0</v>
      </c>
      <c r="AO15" s="131">
        <f>+Actuals!AL88</f>
        <v>0</v>
      </c>
      <c r="AP15" s="130">
        <f>+Actuals!AM88</f>
        <v>0</v>
      </c>
      <c r="AQ15" s="131">
        <f>+Actuals!AN88</f>
        <v>0</v>
      </c>
    </row>
    <row r="16" spans="1:43" x14ac:dyDescent="0.2">
      <c r="A16" s="9"/>
      <c r="B16" s="7" t="s">
        <v>32</v>
      </c>
      <c r="C16" s="6"/>
      <c r="D16" s="61">
        <f t="shared" ref="D16:AA16" si="1">SUM(D11:D15)</f>
        <v>32542207</v>
      </c>
      <c r="E16" s="39">
        <f t="shared" si="1"/>
        <v>78391658</v>
      </c>
      <c r="F16" s="61">
        <f t="shared" si="1"/>
        <v>0</v>
      </c>
      <c r="G16" s="39">
        <f t="shared" si="1"/>
        <v>0</v>
      </c>
      <c r="H16" s="61">
        <f t="shared" si="1"/>
        <v>30397856</v>
      </c>
      <c r="I16" s="39">
        <f t="shared" si="1"/>
        <v>80692046</v>
      </c>
      <c r="J16" s="61">
        <f t="shared" si="1"/>
        <v>0</v>
      </c>
      <c r="K16" s="148">
        <f t="shared" si="1"/>
        <v>-14843363</v>
      </c>
      <c r="L16" s="61">
        <f t="shared" si="1"/>
        <v>0</v>
      </c>
      <c r="M16" s="39">
        <f t="shared" si="1"/>
        <v>0</v>
      </c>
      <c r="N16" s="61">
        <f t="shared" si="1"/>
        <v>2136851</v>
      </c>
      <c r="O16" s="39">
        <f t="shared" si="1"/>
        <v>2908961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7500</v>
      </c>
      <c r="U16" s="39">
        <f t="shared" si="1"/>
        <v>9634014</v>
      </c>
      <c r="V16" s="61">
        <f t="shared" si="1"/>
        <v>0</v>
      </c>
      <c r="W16" s="39">
        <f t="shared" si="1"/>
        <v>0</v>
      </c>
      <c r="X16" s="61">
        <f t="shared" si="1"/>
        <v>-1631858</v>
      </c>
      <c r="Y16" s="39">
        <f t="shared" si="1"/>
        <v>-3388224</v>
      </c>
      <c r="Z16" s="61">
        <f t="shared" si="1"/>
        <v>0</v>
      </c>
      <c r="AA16" s="82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1631858</v>
      </c>
      <c r="AE16" s="39">
        <f t="shared" si="2"/>
        <v>3388224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-5312444</v>
      </c>
      <c r="E19" s="38">
        <f t="shared" si="3"/>
        <v>-8155539</v>
      </c>
      <c r="F19" s="64">
        <f>'TIE-OUT'!X19+RECLASS!X19</f>
        <v>0</v>
      </c>
      <c r="G19" s="68">
        <f>'TIE-OUT'!Y19+RECLASS!Y19</f>
        <v>0</v>
      </c>
      <c r="H19" s="130">
        <f>+Actuals!E89+621759</f>
        <v>621759</v>
      </c>
      <c r="I19" s="131">
        <f>+Actuals!F89+976783</f>
        <v>976783</v>
      </c>
      <c r="J19" s="130">
        <f>+Actuals!G89+38281</f>
        <v>38281</v>
      </c>
      <c r="K19" s="147">
        <f>+Actuals!H89+60139</f>
        <v>60139</v>
      </c>
      <c r="L19" s="130">
        <f>+Actuals!I89-39541</f>
        <v>-39541</v>
      </c>
      <c r="M19" s="131">
        <f>+Actuals!J89-62119</f>
        <v>-62119</v>
      </c>
      <c r="N19" s="130">
        <f>+Actuals!K89-5937915</f>
        <v>-5937915</v>
      </c>
      <c r="O19" s="131">
        <f>+Actuals!L89-9343673</f>
        <v>-9343673</v>
      </c>
      <c r="P19" s="130">
        <f>+Actuals!M89</f>
        <v>0</v>
      </c>
      <c r="Q19" s="131">
        <f>+Actuals!N89</f>
        <v>0</v>
      </c>
      <c r="R19" s="130">
        <f>+Actuals!O89</f>
        <v>0</v>
      </c>
      <c r="S19" s="131">
        <f>+Actuals!P89</f>
        <v>0</v>
      </c>
      <c r="T19" s="130">
        <v>4972</v>
      </c>
      <c r="U19" s="131">
        <v>213331</v>
      </c>
      <c r="V19" s="130">
        <f>+Actuals!S89</f>
        <v>0</v>
      </c>
      <c r="W19" s="131">
        <f>+Actuals!T89</f>
        <v>0</v>
      </c>
      <c r="X19" s="130">
        <f>+Actuals!U89</f>
        <v>0</v>
      </c>
      <c r="Y19" s="131">
        <f>+Actuals!V89</f>
        <v>0</v>
      </c>
      <c r="Z19" s="127">
        <f>+Actuals!W129</f>
        <v>0</v>
      </c>
      <c r="AA19" s="128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+Actuals!AE89</f>
        <v>0</v>
      </c>
      <c r="AI19" s="131">
        <f>+Actuals!AF89</f>
        <v>0</v>
      </c>
      <c r="AJ19" s="130">
        <f>+Actuals!AG89</f>
        <v>0</v>
      </c>
      <c r="AK19" s="131">
        <f>+Actuals!AH89</f>
        <v>0</v>
      </c>
      <c r="AL19" s="130">
        <f>+Actuals!AI89</f>
        <v>0</v>
      </c>
      <c r="AM19" s="131">
        <f>+Actuals!AJ89</f>
        <v>0</v>
      </c>
      <c r="AN19" s="130">
        <f>+Actuals!AK89</f>
        <v>0</v>
      </c>
      <c r="AO19" s="131">
        <f>+Actuals!AL89</f>
        <v>0</v>
      </c>
      <c r="AP19" s="130">
        <f>+Actuals!AM89</f>
        <v>0</v>
      </c>
      <c r="AQ19" s="131">
        <f>+Actuals!AN89</f>
        <v>0</v>
      </c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30">
        <f>+Actuals!S90</f>
        <v>0</v>
      </c>
      <c r="W20" s="131">
        <f>+Actuals!T90</f>
        <v>0</v>
      </c>
      <c r="X20" s="130">
        <f>+Actuals!U90</f>
        <v>0</v>
      </c>
      <c r="Y20" s="131">
        <f>+Actuals!V90</f>
        <v>0</v>
      </c>
      <c r="Z20" s="127">
        <f>+Actuals!W130</f>
        <v>0</v>
      </c>
      <c r="AA20" s="128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+Actuals!AE90</f>
        <v>0</v>
      </c>
      <c r="AI20" s="131">
        <f>+Actuals!AF90</f>
        <v>0</v>
      </c>
      <c r="AJ20" s="130">
        <f>+Actuals!AG90</f>
        <v>0</v>
      </c>
      <c r="AK20" s="131">
        <f>+Actuals!AH90</f>
        <v>0</v>
      </c>
      <c r="AL20" s="130">
        <f>+Actuals!AI90</f>
        <v>0</v>
      </c>
      <c r="AM20" s="131">
        <f>+Actuals!AJ90</f>
        <v>0</v>
      </c>
      <c r="AN20" s="130">
        <f>+Actuals!AK90</f>
        <v>0</v>
      </c>
      <c r="AO20" s="131">
        <f>+Actuals!AL90</f>
        <v>0</v>
      </c>
      <c r="AP20" s="130">
        <f>+Actuals!AM90</f>
        <v>0</v>
      </c>
      <c r="AQ20" s="131">
        <f>+Actuals!AN90</f>
        <v>0</v>
      </c>
    </row>
    <row r="21" spans="1:43" x14ac:dyDescent="0.2">
      <c r="A21" s="9">
        <v>8</v>
      </c>
      <c r="B21" s="7"/>
      <c r="C21" s="18" t="s">
        <v>29</v>
      </c>
      <c r="D21" s="60">
        <f t="shared" si="3"/>
        <v>-33637409</v>
      </c>
      <c r="E21" s="38">
        <f t="shared" si="3"/>
        <v>-72275427</v>
      </c>
      <c r="F21" s="60">
        <f>'TIE-OUT'!X21+RECLASS!X21</f>
        <v>0</v>
      </c>
      <c r="G21" s="38">
        <f>'TIE-OUT'!Y21+RECLASS!Y21</f>
        <v>0</v>
      </c>
      <c r="H21" s="130">
        <f>+Actuals!E91-33637409</f>
        <v>-33637409</v>
      </c>
      <c r="I21" s="131">
        <f>+Actuals!F91-72275427</f>
        <v>-72275427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30">
        <f>+Actuals!S91</f>
        <v>0</v>
      </c>
      <c r="W21" s="131">
        <f>+Actuals!T91</f>
        <v>0</v>
      </c>
      <c r="X21" s="130">
        <v>1633020</v>
      </c>
      <c r="Y21" s="131">
        <v>3390920</v>
      </c>
      <c r="Z21" s="127">
        <f>+Actuals!W131</f>
        <v>0</v>
      </c>
      <c r="AA21" s="128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-1633020</v>
      </c>
      <c r="AE21" s="131">
        <f>+Actuals!AB131</f>
        <v>-3390920</v>
      </c>
      <c r="AF21" s="130">
        <f>+Actuals!AC131</f>
        <v>0</v>
      </c>
      <c r="AG21" s="131">
        <f>+Actuals!AD131</f>
        <v>0</v>
      </c>
      <c r="AH21" s="130">
        <f>+Actuals!AE91</f>
        <v>0</v>
      </c>
      <c r="AI21" s="131">
        <f>+Actuals!AF91</f>
        <v>0</v>
      </c>
      <c r="AJ21" s="130">
        <f>+Actuals!AG91</f>
        <v>0</v>
      </c>
      <c r="AK21" s="131">
        <f>+Actuals!AH91</f>
        <v>0</v>
      </c>
      <c r="AL21" s="130">
        <f>+Actuals!AI91</f>
        <v>0</v>
      </c>
      <c r="AM21" s="131">
        <f>+Actuals!AJ91</f>
        <v>0</v>
      </c>
      <c r="AN21" s="130">
        <f>+Actuals!AK91</f>
        <v>0</v>
      </c>
      <c r="AO21" s="131">
        <f>+Actuals!AL91</f>
        <v>0</v>
      </c>
      <c r="AP21" s="130">
        <f>+Actuals!AM91</f>
        <v>0</v>
      </c>
      <c r="AQ21" s="131">
        <f>+Actuals!AN91</f>
        <v>0</v>
      </c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30">
        <f>+Actuals!S92</f>
        <v>0</v>
      </c>
      <c r="W22" s="131">
        <f>+Actuals!T92</f>
        <v>0</v>
      </c>
      <c r="X22" s="130">
        <f>+Actuals!U92</f>
        <v>0</v>
      </c>
      <c r="Y22" s="131">
        <f>+Actuals!V92</f>
        <v>0</v>
      </c>
      <c r="Z22" s="127">
        <f>+Actuals!W132</f>
        <v>0</v>
      </c>
      <c r="AA22" s="128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+Actuals!AE92</f>
        <v>0</v>
      </c>
      <c r="AI22" s="131">
        <f>+Actuals!AF92</f>
        <v>0</v>
      </c>
      <c r="AJ22" s="130">
        <f>+Actuals!AG92</f>
        <v>0</v>
      </c>
      <c r="AK22" s="131">
        <f>+Actuals!AH92</f>
        <v>0</v>
      </c>
      <c r="AL22" s="130">
        <f>+Actuals!AI92</f>
        <v>0</v>
      </c>
      <c r="AM22" s="131">
        <f>+Actuals!AJ92</f>
        <v>0</v>
      </c>
      <c r="AN22" s="130">
        <f>+Actuals!AK92</f>
        <v>0</v>
      </c>
      <c r="AO22" s="131">
        <f>+Actuals!AL92</f>
        <v>0</v>
      </c>
      <c r="AP22" s="130">
        <f>+Actuals!AM92</f>
        <v>0</v>
      </c>
      <c r="AQ22" s="131">
        <f>+Actuals!AN92</f>
        <v>0</v>
      </c>
    </row>
    <row r="23" spans="1:43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30">
        <f>+Actuals!S93</f>
        <v>0</v>
      </c>
      <c r="W23" s="131">
        <f>+Actuals!T93</f>
        <v>0</v>
      </c>
      <c r="X23" s="130">
        <f>+Actuals!U93</f>
        <v>0</v>
      </c>
      <c r="Y23" s="131">
        <f>+Actuals!V93</f>
        <v>0</v>
      </c>
      <c r="Z23" s="127">
        <f>+Actuals!W133</f>
        <v>0</v>
      </c>
      <c r="AA23" s="129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+Actuals!AE93</f>
        <v>0</v>
      </c>
      <c r="AI23" s="131">
        <f>+Actuals!AF93</f>
        <v>0</v>
      </c>
      <c r="AJ23" s="130">
        <f>+Actuals!AG93</f>
        <v>0</v>
      </c>
      <c r="AK23" s="131">
        <f>+Actuals!AH93</f>
        <v>0</v>
      </c>
      <c r="AL23" s="130">
        <f>+Actuals!AI93</f>
        <v>0</v>
      </c>
      <c r="AM23" s="131">
        <f>+Actuals!AJ93</f>
        <v>0</v>
      </c>
      <c r="AN23" s="130">
        <f>+Actuals!AK93</f>
        <v>0</v>
      </c>
      <c r="AO23" s="131">
        <f>+Actuals!AL93</f>
        <v>0</v>
      </c>
      <c r="AP23" s="130">
        <f>+Actuals!AM93</f>
        <v>0</v>
      </c>
      <c r="AQ23" s="131">
        <f>+Actuals!AN93</f>
        <v>0</v>
      </c>
    </row>
    <row r="24" spans="1:43" x14ac:dyDescent="0.2">
      <c r="A24" s="9"/>
      <c r="B24" s="7" t="s">
        <v>35</v>
      </c>
      <c r="C24" s="6"/>
      <c r="D24" s="61">
        <f t="shared" ref="D24:AA24" si="4">SUM(D19:D23)</f>
        <v>-38949853</v>
      </c>
      <c r="E24" s="39">
        <f t="shared" si="4"/>
        <v>-80430966</v>
      </c>
      <c r="F24" s="61">
        <f t="shared" si="4"/>
        <v>0</v>
      </c>
      <c r="G24" s="39">
        <f t="shared" si="4"/>
        <v>0</v>
      </c>
      <c r="H24" s="61">
        <f t="shared" si="4"/>
        <v>-33015650</v>
      </c>
      <c r="I24" s="39">
        <f t="shared" si="4"/>
        <v>-71298644</v>
      </c>
      <c r="J24" s="61">
        <f t="shared" si="4"/>
        <v>38281</v>
      </c>
      <c r="K24" s="148">
        <f t="shared" si="4"/>
        <v>60139</v>
      </c>
      <c r="L24" s="61">
        <f t="shared" si="4"/>
        <v>-39541</v>
      </c>
      <c r="M24" s="39">
        <f t="shared" si="4"/>
        <v>-62119</v>
      </c>
      <c r="N24" s="61">
        <f t="shared" si="4"/>
        <v>-5937915</v>
      </c>
      <c r="O24" s="39">
        <f t="shared" si="4"/>
        <v>-9343673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4972</v>
      </c>
      <c r="U24" s="39">
        <f t="shared" si="4"/>
        <v>213331</v>
      </c>
      <c r="V24" s="61">
        <f t="shared" si="4"/>
        <v>0</v>
      </c>
      <c r="W24" s="39">
        <f t="shared" si="4"/>
        <v>0</v>
      </c>
      <c r="X24" s="61">
        <f t="shared" si="4"/>
        <v>1633020</v>
      </c>
      <c r="Y24" s="39">
        <f t="shared" si="4"/>
        <v>3390920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-1633020</v>
      </c>
      <c r="AE24" s="39">
        <f t="shared" si="5"/>
        <v>-3390920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30">
        <f>+Actuals!S94</f>
        <v>0</v>
      </c>
      <c r="W27" s="131">
        <f>+Actuals!T94</f>
        <v>0</v>
      </c>
      <c r="X27" s="130">
        <f>+Actuals!U94</f>
        <v>0</v>
      </c>
      <c r="Y27" s="131">
        <f>+Actuals!V94</f>
        <v>0</v>
      </c>
      <c r="Z27" s="127">
        <f>+Actuals!W134</f>
        <v>0</v>
      </c>
      <c r="AA27" s="128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+Actuals!AE94</f>
        <v>0</v>
      </c>
      <c r="AI27" s="131">
        <f>+Actuals!AF94</f>
        <v>0</v>
      </c>
      <c r="AJ27" s="130">
        <f>+Actuals!AG94</f>
        <v>0</v>
      </c>
      <c r="AK27" s="131">
        <f>+Actuals!AH94</f>
        <v>0</v>
      </c>
      <c r="AL27" s="130">
        <f>+Actuals!AI94</f>
        <v>0</v>
      </c>
      <c r="AM27" s="131">
        <f>+Actuals!AJ94</f>
        <v>0</v>
      </c>
      <c r="AN27" s="130">
        <f>+Actuals!AK94</f>
        <v>0</v>
      </c>
      <c r="AO27" s="131">
        <f>+Actuals!AL94</f>
        <v>0</v>
      </c>
      <c r="AP27" s="130">
        <f>+Actuals!AM94</f>
        <v>0</v>
      </c>
      <c r="AQ27" s="131">
        <f>+Actuals!AN94</f>
        <v>0</v>
      </c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30">
        <f>+Actuals!S95</f>
        <v>0</v>
      </c>
      <c r="W28" s="131">
        <f>+Actuals!T95</f>
        <v>0</v>
      </c>
      <c r="X28" s="130">
        <f>+Actuals!U95</f>
        <v>0</v>
      </c>
      <c r="Y28" s="131">
        <f>+Actuals!V95</f>
        <v>0</v>
      </c>
      <c r="Z28" s="127">
        <f>+Actuals!W135</f>
        <v>0</v>
      </c>
      <c r="AA28" s="128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+Actuals!AE95</f>
        <v>0</v>
      </c>
      <c r="AI28" s="131">
        <f>+Actuals!AF95</f>
        <v>0</v>
      </c>
      <c r="AJ28" s="130">
        <f>+Actuals!AG95</f>
        <v>0</v>
      </c>
      <c r="AK28" s="131">
        <f>+Actuals!AH95</f>
        <v>0</v>
      </c>
      <c r="AL28" s="130">
        <f>+Actuals!AI95</f>
        <v>0</v>
      </c>
      <c r="AM28" s="131">
        <f>+Actuals!AJ95</f>
        <v>0</v>
      </c>
      <c r="AN28" s="130">
        <f>+Actuals!AK95</f>
        <v>0</v>
      </c>
      <c r="AO28" s="131">
        <f>+Actuals!AL95</f>
        <v>0</v>
      </c>
      <c r="AP28" s="130">
        <f>+Actuals!AM95</f>
        <v>0</v>
      </c>
      <c r="AQ28" s="131">
        <f>+Actuals!AN95</f>
        <v>0</v>
      </c>
    </row>
    <row r="29" spans="1:43" x14ac:dyDescent="0.2">
      <c r="A29" s="9"/>
      <c r="B29" s="7" t="s">
        <v>39</v>
      </c>
      <c r="C29" s="18"/>
      <c r="D29" s="61">
        <f t="shared" ref="D29:AA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60"/>
      <c r="AA31" s="38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  <c r="AN31" s="130"/>
      <c r="AO31" s="131"/>
      <c r="AP31" s="130"/>
      <c r="AQ31" s="131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6015</v>
      </c>
      <c r="E32" s="38">
        <f t="shared" si="8"/>
        <v>13072</v>
      </c>
      <c r="F32" s="64">
        <f>'TIE-OUT'!X32+RECLASS!X32</f>
        <v>0</v>
      </c>
      <c r="G32" s="68">
        <f>'TIE-OUT'!Y32+RECLASS!Y32</f>
        <v>0</v>
      </c>
      <c r="H32" s="130">
        <f>+Actuals!E96-3284573</f>
        <v>-3284573</v>
      </c>
      <c r="I32" s="131">
        <f>+Actuals!F96-5160064</f>
        <v>-5160064</v>
      </c>
      <c r="J32" s="130">
        <f>+Actuals!G96+4352695</f>
        <v>4352695</v>
      </c>
      <c r="K32" s="147">
        <f>+Actuals!H96+7673725</f>
        <v>7673725</v>
      </c>
      <c r="L32" s="130">
        <f>+Actuals!I96-1062107</f>
        <v>-1062107</v>
      </c>
      <c r="M32" s="131">
        <f>+Actuals!J96-2502039</f>
        <v>-2502039</v>
      </c>
      <c r="N32" s="130">
        <f>+Actuals!K96</f>
        <v>0</v>
      </c>
      <c r="O32" s="131">
        <f>+Actuals!L96-84</f>
        <v>-84</v>
      </c>
      <c r="P32" s="130">
        <f>+Actuals!M96</f>
        <v>0</v>
      </c>
      <c r="Q32" s="131">
        <v>-3088</v>
      </c>
      <c r="R32" s="130">
        <f>+Actuals!O96</f>
        <v>0</v>
      </c>
      <c r="S32" s="131">
        <v>1690</v>
      </c>
      <c r="T32" s="130">
        <f>+Actuals!Q96</f>
        <v>0</v>
      </c>
      <c r="U32" s="131">
        <v>2932</v>
      </c>
      <c r="V32" s="130">
        <f>+Actuals!S96</f>
        <v>0</v>
      </c>
      <c r="W32" s="131">
        <f>+Actuals!T96</f>
        <v>0</v>
      </c>
      <c r="X32" s="130">
        <f>+Actuals!U96</f>
        <v>0</v>
      </c>
      <c r="Y32" s="131">
        <f>+Actuals!V96</f>
        <v>0</v>
      </c>
      <c r="Z32" s="127">
        <f>+Actuals!W136</f>
        <v>0</v>
      </c>
      <c r="AA32" s="128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+Actuals!AE96</f>
        <v>0</v>
      </c>
      <c r="AI32" s="131">
        <f>+Actuals!AF96</f>
        <v>0</v>
      </c>
      <c r="AJ32" s="130">
        <f>+Actuals!AG96</f>
        <v>0</v>
      </c>
      <c r="AK32" s="131">
        <f>+Actuals!AH96</f>
        <v>0</v>
      </c>
      <c r="AL32" s="130">
        <f>+Actuals!AI96</f>
        <v>0</v>
      </c>
      <c r="AM32" s="131">
        <f>+Actuals!AJ96</f>
        <v>0</v>
      </c>
      <c r="AN32" s="130">
        <f>+Actuals!AK96</f>
        <v>0</v>
      </c>
      <c r="AO32" s="131">
        <f>+Actuals!AL96</f>
        <v>0</v>
      </c>
      <c r="AP32" s="130">
        <f>+Actuals!AM96</f>
        <v>0</v>
      </c>
      <c r="AQ32" s="131">
        <f>+Actuals!AN96</f>
        <v>0</v>
      </c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30">
        <f>+Actuals!S97</f>
        <v>0</v>
      </c>
      <c r="W33" s="131">
        <f>+Actuals!T97</f>
        <v>0</v>
      </c>
      <c r="X33" s="130">
        <f>+Actuals!U97</f>
        <v>0</v>
      </c>
      <c r="Y33" s="131">
        <f>+Actuals!V97</f>
        <v>0</v>
      </c>
      <c r="Z33" s="127">
        <f>+Actuals!W137</f>
        <v>0</v>
      </c>
      <c r="AA33" s="128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+Actuals!AE97</f>
        <v>0</v>
      </c>
      <c r="AI33" s="131">
        <f>+Actuals!AF97</f>
        <v>0</v>
      </c>
      <c r="AJ33" s="130">
        <f>+Actuals!AG97</f>
        <v>0</v>
      </c>
      <c r="AK33" s="131">
        <f>+Actuals!AH97</f>
        <v>0</v>
      </c>
      <c r="AL33" s="130">
        <f>+Actuals!AI97</f>
        <v>0</v>
      </c>
      <c r="AM33" s="131">
        <f>+Actuals!AJ97</f>
        <v>0</v>
      </c>
      <c r="AN33" s="130">
        <f>+Actuals!AK97</f>
        <v>0</v>
      </c>
      <c r="AO33" s="131">
        <f>+Actuals!AL97</f>
        <v>0</v>
      </c>
      <c r="AP33" s="130">
        <f>+Actuals!AM97</f>
        <v>0</v>
      </c>
      <c r="AQ33" s="131">
        <f>+Actuals!AN97</f>
        <v>0</v>
      </c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f>+Actuals!G98</f>
        <v>0</v>
      </c>
      <c r="K34" s="147">
        <f>+Actuals!H98</f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30">
        <f>+Actuals!S98</f>
        <v>0</v>
      </c>
      <c r="W34" s="131">
        <f>+Actuals!T98</f>
        <v>0</v>
      </c>
      <c r="X34" s="130">
        <f>+Actuals!U98</f>
        <v>0</v>
      </c>
      <c r="Y34" s="131">
        <f>+Actuals!V98</f>
        <v>0</v>
      </c>
      <c r="Z34" s="127">
        <f>+Actuals!W138</f>
        <v>0</v>
      </c>
      <c r="AA34" s="128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+Actuals!AE98</f>
        <v>0</v>
      </c>
      <c r="AI34" s="131">
        <f>+Actuals!AF98</f>
        <v>0</v>
      </c>
      <c r="AJ34" s="130">
        <f>+Actuals!AG98</f>
        <v>0</v>
      </c>
      <c r="AK34" s="131">
        <f>+Actuals!AH98</f>
        <v>0</v>
      </c>
      <c r="AL34" s="130">
        <f>+Actuals!AI98</f>
        <v>0</v>
      </c>
      <c r="AM34" s="131">
        <f>+Actuals!AJ98</f>
        <v>0</v>
      </c>
      <c r="AN34" s="130">
        <f>+Actuals!AK98</f>
        <v>0</v>
      </c>
      <c r="AO34" s="131">
        <f>+Actuals!AL98</f>
        <v>0</v>
      </c>
      <c r="AP34" s="130">
        <f>+Actuals!AM98</f>
        <v>0</v>
      </c>
      <c r="AQ34" s="131">
        <f>+Actuals!AN98</f>
        <v>0</v>
      </c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30">
        <f>+Actuals!S99</f>
        <v>0</v>
      </c>
      <c r="W35" s="131">
        <f>+Actuals!T99</f>
        <v>0</v>
      </c>
      <c r="X35" s="130">
        <f>+Actuals!U99</f>
        <v>0</v>
      </c>
      <c r="Y35" s="131">
        <f>+Actuals!V99</f>
        <v>0</v>
      </c>
      <c r="Z35" s="127">
        <f>+Actuals!W139</f>
        <v>0</v>
      </c>
      <c r="AA35" s="128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+Actuals!AE99</f>
        <v>0</v>
      </c>
      <c r="AI35" s="131">
        <f>+Actuals!AF99</f>
        <v>0</v>
      </c>
      <c r="AJ35" s="130">
        <f>+Actuals!AG99</f>
        <v>0</v>
      </c>
      <c r="AK35" s="131">
        <f>+Actuals!AH99</f>
        <v>0</v>
      </c>
      <c r="AL35" s="130">
        <f>+Actuals!AI99</f>
        <v>0</v>
      </c>
      <c r="AM35" s="131">
        <f>+Actuals!AJ99</f>
        <v>0</v>
      </c>
      <c r="AN35" s="130">
        <f>+Actuals!AK99</f>
        <v>0</v>
      </c>
      <c r="AO35" s="131">
        <f>+Actuals!AL99</f>
        <v>0</v>
      </c>
      <c r="AP35" s="130">
        <f>+Actuals!AM99</f>
        <v>0</v>
      </c>
      <c r="AQ35" s="131">
        <f>+Actuals!AN99</f>
        <v>0</v>
      </c>
    </row>
    <row r="36" spans="1:43" x14ac:dyDescent="0.2">
      <c r="A36" s="9"/>
      <c r="B36" s="7" t="s">
        <v>45</v>
      </c>
      <c r="C36" s="6"/>
      <c r="D36" s="61">
        <f t="shared" ref="D36:AA36" si="9">SUM(D32:D35)</f>
        <v>6015</v>
      </c>
      <c r="E36" s="39">
        <f t="shared" si="9"/>
        <v>13072</v>
      </c>
      <c r="F36" s="61">
        <f t="shared" si="9"/>
        <v>0</v>
      </c>
      <c r="G36" s="39">
        <f t="shared" si="9"/>
        <v>0</v>
      </c>
      <c r="H36" s="61">
        <f t="shared" si="9"/>
        <v>-3284573</v>
      </c>
      <c r="I36" s="39">
        <f t="shared" si="9"/>
        <v>-5160064</v>
      </c>
      <c r="J36" s="61">
        <f t="shared" si="9"/>
        <v>4352695</v>
      </c>
      <c r="K36" s="148">
        <f t="shared" si="9"/>
        <v>7673725</v>
      </c>
      <c r="L36" s="61">
        <f t="shared" si="9"/>
        <v>-1062107</v>
      </c>
      <c r="M36" s="39">
        <f t="shared" si="9"/>
        <v>-2502039</v>
      </c>
      <c r="N36" s="61">
        <f t="shared" si="9"/>
        <v>0</v>
      </c>
      <c r="O36" s="39">
        <f t="shared" si="9"/>
        <v>-84</v>
      </c>
      <c r="P36" s="61">
        <f t="shared" si="9"/>
        <v>0</v>
      </c>
      <c r="Q36" s="39">
        <f t="shared" si="9"/>
        <v>-3088</v>
      </c>
      <c r="R36" s="61">
        <f t="shared" si="9"/>
        <v>0</v>
      </c>
      <c r="S36" s="39">
        <f t="shared" si="9"/>
        <v>1690</v>
      </c>
      <c r="T36" s="61">
        <f t="shared" si="9"/>
        <v>0</v>
      </c>
      <c r="U36" s="39">
        <f t="shared" si="9"/>
        <v>2932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6237166</v>
      </c>
      <c r="E39" s="38">
        <f t="shared" si="11"/>
        <v>12664811</v>
      </c>
      <c r="F39" s="64">
        <f>'TIE-OUT'!X39+RECLASS!X39</f>
        <v>0</v>
      </c>
      <c r="G39" s="68">
        <f>'TIE-OUT'!Y39+RECLASS!Y39</f>
        <v>0</v>
      </c>
      <c r="H39" s="130">
        <f>+Actuals!E100+5902367</f>
        <v>5902367</v>
      </c>
      <c r="I39" s="131">
        <f>+Actuals!F100+12427684</f>
        <v>12427684</v>
      </c>
      <c r="J39" s="130">
        <f>+Actuals!G100-18041</f>
        <v>-18041</v>
      </c>
      <c r="K39" s="147">
        <f>+Actuals!H100+25250</f>
        <v>25250</v>
      </c>
      <c r="L39" s="130">
        <f>+Actuals!I100+352840</f>
        <v>352840</v>
      </c>
      <c r="M39" s="131">
        <f>+Actuals!J100+737436</f>
        <v>737436</v>
      </c>
      <c r="N39" s="130">
        <f>+Actuals!K100</f>
        <v>0</v>
      </c>
      <c r="O39" s="131">
        <f>+Actuals!L100-525559</f>
        <v>-525559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30">
        <f>+Actuals!S100</f>
        <v>0</v>
      </c>
      <c r="W39" s="131">
        <f>+Actuals!T100</f>
        <v>0</v>
      </c>
      <c r="X39" s="130">
        <f>+Actuals!U100</f>
        <v>0</v>
      </c>
      <c r="Y39" s="131">
        <f>+Actuals!V100</f>
        <v>0</v>
      </c>
      <c r="Z39" s="127">
        <f>+Actuals!W140</f>
        <v>0</v>
      </c>
      <c r="AA39" s="128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0</v>
      </c>
      <c r="AE39" s="131">
        <f>+Actuals!AB140</f>
        <v>0</v>
      </c>
      <c r="AF39" s="130">
        <f>+Actuals!AC140</f>
        <v>0</v>
      </c>
      <c r="AG39" s="131">
        <f>+Actuals!AD140</f>
        <v>0</v>
      </c>
      <c r="AH39" s="130">
        <f>+Actuals!AE100</f>
        <v>0</v>
      </c>
      <c r="AI39" s="131">
        <f>+Actuals!AF100</f>
        <v>0</v>
      </c>
      <c r="AJ39" s="130">
        <f>+Actuals!AG100</f>
        <v>0</v>
      </c>
      <c r="AK39" s="131">
        <f>+Actuals!AH100</f>
        <v>0</v>
      </c>
      <c r="AL39" s="130">
        <f>+Actuals!AI100</f>
        <v>0</v>
      </c>
      <c r="AM39" s="131">
        <f>+Actuals!AJ100</f>
        <v>0</v>
      </c>
      <c r="AN39" s="130">
        <f>+Actuals!AK100</f>
        <v>0</v>
      </c>
      <c r="AO39" s="131">
        <f>+Actuals!AL100</f>
        <v>0</v>
      </c>
      <c r="AP39" s="130">
        <f>+Actuals!AM100</f>
        <v>0</v>
      </c>
      <c r="AQ39" s="131">
        <f>+Actuals!AN100</f>
        <v>0</v>
      </c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206988</v>
      </c>
      <c r="E40" s="38">
        <f t="shared" si="11"/>
        <v>380858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+Actuals!K101+206988</f>
        <v>206988</v>
      </c>
      <c r="O40" s="131">
        <f>+Actuals!L101+380858</f>
        <v>380858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30">
        <f>+Actuals!S101</f>
        <v>0</v>
      </c>
      <c r="W40" s="131">
        <f>+Actuals!T101</f>
        <v>0</v>
      </c>
      <c r="X40" s="130">
        <f>+Actuals!U101</f>
        <v>0</v>
      </c>
      <c r="Y40" s="131">
        <f>+Actuals!V101</f>
        <v>0</v>
      </c>
      <c r="Z40" s="127">
        <f>+Actuals!W141</f>
        <v>0</v>
      </c>
      <c r="AA40" s="128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+Actuals!AE101</f>
        <v>0</v>
      </c>
      <c r="AI40" s="131">
        <f>+Actuals!AF101</f>
        <v>0</v>
      </c>
      <c r="AJ40" s="130">
        <f>+Actuals!AG101</f>
        <v>0</v>
      </c>
      <c r="AK40" s="131">
        <f>+Actuals!AH101</f>
        <v>0</v>
      </c>
      <c r="AL40" s="130">
        <f>+Actuals!AI101</f>
        <v>0</v>
      </c>
      <c r="AM40" s="131">
        <f>+Actuals!AJ101</f>
        <v>0</v>
      </c>
      <c r="AN40" s="130">
        <f>+Actuals!AK101</f>
        <v>0</v>
      </c>
      <c r="AO40" s="131">
        <f>+Actuals!AL101</f>
        <v>0</v>
      </c>
      <c r="AP40" s="130">
        <f>+Actuals!AM101</f>
        <v>0</v>
      </c>
      <c r="AQ40" s="131">
        <f>+Actuals!AN101</f>
        <v>0</v>
      </c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30">
        <f>+Actuals!S102</f>
        <v>0</v>
      </c>
      <c r="W41" s="131">
        <f>+Actuals!T102</f>
        <v>0</v>
      </c>
      <c r="X41" s="130">
        <f>+Actuals!U102</f>
        <v>0</v>
      </c>
      <c r="Y41" s="131">
        <f>+Actuals!V102</f>
        <v>0</v>
      </c>
      <c r="Z41" s="127">
        <f>+Actuals!W142</f>
        <v>0</v>
      </c>
      <c r="AA41" s="128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+Actuals!AE102</f>
        <v>0</v>
      </c>
      <c r="AI41" s="131">
        <f>+Actuals!AF102</f>
        <v>0</v>
      </c>
      <c r="AJ41" s="130">
        <f>+Actuals!AG102</f>
        <v>0</v>
      </c>
      <c r="AK41" s="131">
        <f>+Actuals!AH102</f>
        <v>0</v>
      </c>
      <c r="AL41" s="130">
        <f>+Actuals!AI102</f>
        <v>0</v>
      </c>
      <c r="AM41" s="131">
        <f>+Actuals!AJ102</f>
        <v>0</v>
      </c>
      <c r="AN41" s="130">
        <f>+Actuals!AK102</f>
        <v>0</v>
      </c>
      <c r="AO41" s="131">
        <f>+Actuals!AL102</f>
        <v>0</v>
      </c>
      <c r="AP41" s="130">
        <f>+Actuals!AM102</f>
        <v>0</v>
      </c>
      <c r="AQ41" s="131">
        <f>+Actuals!AN102</f>
        <v>0</v>
      </c>
    </row>
    <row r="42" spans="1:43" x14ac:dyDescent="0.2">
      <c r="A42" s="9"/>
      <c r="B42" s="7"/>
      <c r="C42" s="53" t="s">
        <v>50</v>
      </c>
      <c r="D42" s="61">
        <f t="shared" ref="D42:AA42" si="12">SUM(D40:D41)</f>
        <v>206988</v>
      </c>
      <c r="E42" s="39">
        <f t="shared" si="12"/>
        <v>380858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206988</v>
      </c>
      <c r="O42" s="39">
        <f t="shared" si="12"/>
        <v>380858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 t="shared" ref="D43:AA43" si="14">D42+D39</f>
        <v>6444154</v>
      </c>
      <c r="E43" s="39">
        <f t="shared" si="14"/>
        <v>13045669</v>
      </c>
      <c r="F43" s="61">
        <f t="shared" si="14"/>
        <v>0</v>
      </c>
      <c r="G43" s="39">
        <f t="shared" si="14"/>
        <v>0</v>
      </c>
      <c r="H43" s="61">
        <f t="shared" si="14"/>
        <v>5902367</v>
      </c>
      <c r="I43" s="39">
        <f t="shared" si="14"/>
        <v>12427684</v>
      </c>
      <c r="J43" s="61">
        <f t="shared" si="14"/>
        <v>-18041</v>
      </c>
      <c r="K43" s="148">
        <f t="shared" si="14"/>
        <v>25250</v>
      </c>
      <c r="L43" s="61">
        <f t="shared" si="14"/>
        <v>352840</v>
      </c>
      <c r="M43" s="39">
        <f t="shared" si="14"/>
        <v>737436</v>
      </c>
      <c r="N43" s="61">
        <f t="shared" si="14"/>
        <v>206988</v>
      </c>
      <c r="O43" s="39">
        <f t="shared" si="14"/>
        <v>-144701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30">
        <f>+Actuals!S103</f>
        <v>0</v>
      </c>
      <c r="W45" s="131">
        <f>+Actuals!T103</f>
        <v>0</v>
      </c>
      <c r="X45" s="130">
        <f>+Actuals!U103</f>
        <v>0</v>
      </c>
      <c r="Y45" s="131">
        <f>+Actuals!V103</f>
        <v>0</v>
      </c>
      <c r="Z45" s="127">
        <f>+Actuals!W143</f>
        <v>0</v>
      </c>
      <c r="AA45" s="128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+Actuals!AE103</f>
        <v>0</v>
      </c>
      <c r="AI45" s="131">
        <f>+Actuals!AF103</f>
        <v>0</v>
      </c>
      <c r="AJ45" s="130">
        <f>+Actuals!AG103</f>
        <v>0</v>
      </c>
      <c r="AK45" s="131">
        <f>+Actuals!AH103</f>
        <v>0</v>
      </c>
      <c r="AL45" s="130">
        <f>+Actuals!AI103</f>
        <v>0</v>
      </c>
      <c r="AM45" s="131">
        <f>+Actuals!AJ103</f>
        <v>0</v>
      </c>
      <c r="AN45" s="130">
        <f>+Actuals!AK103</f>
        <v>0</v>
      </c>
      <c r="AO45" s="131">
        <f>+Actuals!AL103</f>
        <v>0</v>
      </c>
      <c r="AP45" s="130">
        <f>+Actuals!AM103</f>
        <v>0</v>
      </c>
      <c r="AQ45" s="131">
        <f>+Actuals!AN103</f>
        <v>0</v>
      </c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30">
        <f>+Actuals!S104</f>
        <v>0</v>
      </c>
      <c r="W47" s="131">
        <f>+Actuals!T104</f>
        <v>0</v>
      </c>
      <c r="X47" s="130">
        <f>+Actuals!U104</f>
        <v>0</v>
      </c>
      <c r="Y47" s="131">
        <f>+Actuals!V104</f>
        <v>0</v>
      </c>
      <c r="Z47" s="127">
        <f>+Actuals!W144</f>
        <v>0</v>
      </c>
      <c r="AA47" s="128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+Actuals!AE104</f>
        <v>0</v>
      </c>
      <c r="AI47" s="131">
        <f>+Actuals!AF104</f>
        <v>0</v>
      </c>
      <c r="AJ47" s="130">
        <f>+Actuals!AG104</f>
        <v>0</v>
      </c>
      <c r="AK47" s="131">
        <f>+Actuals!AH104</f>
        <v>0</v>
      </c>
      <c r="AL47" s="130">
        <f>+Actuals!AI104</f>
        <v>0</v>
      </c>
      <c r="AM47" s="131">
        <f>+Actuals!AJ104</f>
        <v>0</v>
      </c>
      <c r="AN47" s="130">
        <f>+Actuals!AK104</f>
        <v>0</v>
      </c>
      <c r="AO47" s="131">
        <f>+Actuals!AL104</f>
        <v>0</v>
      </c>
      <c r="AP47" s="130">
        <f>+Actuals!AM104</f>
        <v>0</v>
      </c>
      <c r="AQ47" s="131">
        <f>+Actuals!AN104</f>
        <v>0</v>
      </c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-42513</v>
      </c>
      <c r="E49" s="38">
        <f>SUM(G49,I49,K49,M49,O49,Q49,S49,U49,W49,Y49,AA49,AC49,AE49,AG49)</f>
        <v>-67763.498000000007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f>+Actuals!G105-4372935</f>
        <v>-4372935</v>
      </c>
      <c r="K49" s="147">
        <f>+Actuals!H105-6869881</f>
        <v>-6869881</v>
      </c>
      <c r="L49" s="130">
        <f>+Actuals!I105+748808</f>
        <v>748808</v>
      </c>
      <c r="M49" s="131">
        <f>+Actuals!J105+1176377</f>
        <v>1176377</v>
      </c>
      <c r="N49" s="130">
        <f>+Actuals!K105+3594086</f>
        <v>3594086</v>
      </c>
      <c r="O49" s="131">
        <f>+Actuals!L105+5646309</f>
        <v>5646309</v>
      </c>
      <c r="P49" s="130">
        <f>+Actuals!M105</f>
        <v>0</v>
      </c>
      <c r="Q49" s="131">
        <f>+Actuals!N105</f>
        <v>0</v>
      </c>
      <c r="R49" s="130">
        <f>+Actuals!O105</f>
        <v>0</v>
      </c>
      <c r="S49" s="131">
        <f>+Actuals!P105</f>
        <v>0</v>
      </c>
      <c r="T49" s="130">
        <v>-12472</v>
      </c>
      <c r="U49" s="131">
        <v>-19594</v>
      </c>
      <c r="V49" s="130">
        <f>+Actuals!S105</f>
        <v>0</v>
      </c>
      <c r="W49" s="131">
        <f>+Actuals!T105</f>
        <v>0</v>
      </c>
      <c r="X49" s="130">
        <v>-1162</v>
      </c>
      <c r="Y49" s="131">
        <v>-2800</v>
      </c>
      <c r="Z49" s="127">
        <f>+Actuals!W145</f>
        <v>0</v>
      </c>
      <c r="AA49" s="128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1162</v>
      </c>
      <c r="AE49" s="131">
        <f>+Actuals!AB145</f>
        <v>1825.502</v>
      </c>
      <c r="AF49" s="130">
        <f>+Actuals!AC145</f>
        <v>0</v>
      </c>
      <c r="AG49" s="131">
        <f>+Actuals!AD145</f>
        <v>0</v>
      </c>
      <c r="AH49" s="130">
        <f>+Actuals!AE105</f>
        <v>0</v>
      </c>
      <c r="AI49" s="131">
        <f>+Actuals!AF105</f>
        <v>0</v>
      </c>
      <c r="AJ49" s="130">
        <f>+Actuals!AG105</f>
        <v>0</v>
      </c>
      <c r="AK49" s="131">
        <f>+Actuals!AH105</f>
        <v>0</v>
      </c>
      <c r="AL49" s="130">
        <f>+Actuals!AI105</f>
        <v>0</v>
      </c>
      <c r="AM49" s="131">
        <f>+Actuals!AJ105</f>
        <v>0</v>
      </c>
      <c r="AN49" s="130">
        <f>+Actuals!AK105</f>
        <v>0</v>
      </c>
      <c r="AO49" s="131">
        <f>+Actuals!AL105</f>
        <v>0</v>
      </c>
      <c r="AP49" s="130">
        <f>+Actuals!AM105</f>
        <v>0</v>
      </c>
      <c r="AQ49" s="131">
        <f>+Actuals!AN105</f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-562027</v>
      </c>
      <c r="E51" s="38">
        <f>SUM(G51,I51,K51,M51,O51,Q51,S51,U51,W51,Y51,AA51,AC51,AE51,AG51)</f>
        <v>-974803</v>
      </c>
      <c r="F51" s="60">
        <f>'TIE-OUT'!X51+RECLASS!X51</f>
        <v>0</v>
      </c>
      <c r="G51" s="38">
        <f>'TIE-OUT'!Y51+RECLASS!Y51</f>
        <v>0</v>
      </c>
      <c r="H51" s="130">
        <f>+Actuals!E106-621759</f>
        <v>-621759</v>
      </c>
      <c r="I51" s="131">
        <f>+Actuals!F106-976783</f>
        <v>-976783</v>
      </c>
      <c r="J51" s="130">
        <f>+Actuals!G106</f>
        <v>0</v>
      </c>
      <c r="K51" s="147">
        <f>+Actuals!H106-60139</f>
        <v>-60139</v>
      </c>
      <c r="L51" s="130">
        <f>+Actuals!I106+39541</f>
        <v>39541</v>
      </c>
      <c r="M51" s="131">
        <f>+Actuals!J106+62119</f>
        <v>62119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f>+Actuals!O106</f>
        <v>0</v>
      </c>
      <c r="S51" s="131">
        <f>+Actuals!P106</f>
        <v>0</v>
      </c>
      <c r="T51" s="130">
        <v>20191</v>
      </c>
      <c r="U51" s="131">
        <f>+Actuals!R106</f>
        <v>0</v>
      </c>
      <c r="V51" s="130">
        <f>+Actuals!S106</f>
        <v>0</v>
      </c>
      <c r="W51" s="131">
        <f>+Actuals!T106</f>
        <v>0</v>
      </c>
      <c r="X51" s="130">
        <f>+Actuals!U106</f>
        <v>0</v>
      </c>
      <c r="Y51" s="131">
        <f>+Actuals!V106</f>
        <v>0</v>
      </c>
      <c r="Z51" s="127">
        <f>+Actuals!W146</f>
        <v>0</v>
      </c>
      <c r="AA51" s="128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+Actuals!AE106</f>
        <v>0</v>
      </c>
      <c r="AI51" s="131">
        <f>+Actuals!AF106</f>
        <v>0</v>
      </c>
      <c r="AJ51" s="130">
        <f>+Actuals!AG106</f>
        <v>0</v>
      </c>
      <c r="AK51" s="131">
        <f>+Actuals!AH106</f>
        <v>0</v>
      </c>
      <c r="AL51" s="130">
        <f>+Actuals!AI106</f>
        <v>0</v>
      </c>
      <c r="AM51" s="131">
        <f>+Actuals!AJ106</f>
        <v>0</v>
      </c>
      <c r="AN51" s="130">
        <f>+Actuals!AK106</f>
        <v>0</v>
      </c>
      <c r="AO51" s="131">
        <f>+Actuals!AL106</f>
        <v>0</v>
      </c>
      <c r="AP51" s="130">
        <f>+Actuals!AM106</f>
        <v>0</v>
      </c>
      <c r="AQ51" s="131">
        <f>+Actuals!AN106</f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-21092211</v>
      </c>
      <c r="E54" s="38">
        <f>SUM(G54,I54,K54,M54,O54,Q54,S54,U54,W54,Y54,AA54,AC54,AE54,AG54)</f>
        <v>-812445</v>
      </c>
      <c r="F54" s="64">
        <f>'TIE-OUT'!X54+RECLASS!X54</f>
        <v>0</v>
      </c>
      <c r="G54" s="68">
        <f>'TIE-OUT'!Y54+RECLASS!Y54</f>
        <v>0</v>
      </c>
      <c r="H54" s="130">
        <f>+Actuals!E107-998339-20077412</f>
        <v>-21075751</v>
      </c>
      <c r="I54" s="131">
        <f>+Actuals!F107-16461-791733</f>
        <v>-808194</v>
      </c>
      <c r="J54" s="130">
        <f>+Actuals!G107</f>
        <v>0</v>
      </c>
      <c r="K54" s="147">
        <f>+Actuals!H107</f>
        <v>0</v>
      </c>
      <c r="L54" s="130">
        <f>+Actuals!I107-16460</f>
        <v>-16460</v>
      </c>
      <c r="M54" s="131">
        <f>+Actuals!J107+23969-28220</f>
        <v>-4251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30">
        <f>+Actuals!S107</f>
        <v>0</v>
      </c>
      <c r="W54" s="131">
        <f>+Actuals!T107</f>
        <v>0</v>
      </c>
      <c r="X54" s="130">
        <f>+Actuals!U107</f>
        <v>0</v>
      </c>
      <c r="Y54" s="131">
        <f>+Actuals!V107</f>
        <v>0</v>
      </c>
      <c r="Z54" s="127">
        <f>+Actuals!W147</f>
        <v>0</v>
      </c>
      <c r="AA54" s="128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+Actuals!AE107</f>
        <v>0</v>
      </c>
      <c r="AI54" s="131">
        <f>+Actuals!AF107</f>
        <v>0</v>
      </c>
      <c r="AJ54" s="130">
        <f>+Actuals!AG107</f>
        <v>0</v>
      </c>
      <c r="AK54" s="131">
        <f>+Actuals!AH107</f>
        <v>0</v>
      </c>
      <c r="AL54" s="130">
        <f>+Actuals!AI107</f>
        <v>0</v>
      </c>
      <c r="AM54" s="131">
        <f>+Actuals!AJ107</f>
        <v>0</v>
      </c>
      <c r="AN54" s="130">
        <f>+Actuals!AK107</f>
        <v>0</v>
      </c>
      <c r="AO54" s="131">
        <f>+Actuals!AL107</f>
        <v>0</v>
      </c>
      <c r="AP54" s="130">
        <f>+Actuals!AM107</f>
        <v>0</v>
      </c>
      <c r="AQ54" s="131">
        <f>+Actuals!AN107</f>
        <v>0</v>
      </c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-8724324.1500000004</v>
      </c>
      <c r="F55" s="81">
        <f>'TIE-OUT'!X55+RECLASS!X55</f>
        <v>0</v>
      </c>
      <c r="G55" s="82">
        <f>'TIE-OUT'!Y55+RECLASS!Y55</f>
        <v>0</v>
      </c>
      <c r="H55" s="130">
        <f>+Actuals!E108</f>
        <v>0</v>
      </c>
      <c r="I55" s="131">
        <f>+Actuals!F108-9094890</f>
        <v>-9094890</v>
      </c>
      <c r="J55" s="130">
        <f>+Actuals!G108</f>
        <v>0</v>
      </c>
      <c r="K55" s="147">
        <f>+Actuals!H108+91+342346</f>
        <v>342345.85</v>
      </c>
      <c r="L55" s="130">
        <f>+Actuals!I108</f>
        <v>0</v>
      </c>
      <c r="M55" s="131">
        <f>+Actuals!J108+28220</f>
        <v>28220</v>
      </c>
      <c r="N55" s="130">
        <f>+Actuals!K108</f>
        <v>0</v>
      </c>
      <c r="O55" s="131">
        <f>+Actuals!L108</f>
        <v>0</v>
      </c>
      <c r="P55" s="130">
        <f>+Actuals!M108</f>
        <v>0</v>
      </c>
      <c r="Q55" s="131">
        <f>+Actuals!N108</f>
        <v>0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30">
        <f>+Actuals!S108</f>
        <v>0</v>
      </c>
      <c r="W55" s="131">
        <f>+Actuals!T108</f>
        <v>0</v>
      </c>
      <c r="X55" s="130">
        <f>+Actuals!U108</f>
        <v>0</v>
      </c>
      <c r="Y55" s="131">
        <f>+Actuals!V108</f>
        <v>0</v>
      </c>
      <c r="Z55" s="127">
        <f>+Actuals!W148</f>
        <v>0</v>
      </c>
      <c r="AA55" s="128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+Actuals!AE108</f>
        <v>0</v>
      </c>
      <c r="AI55" s="131">
        <f>+Actuals!AF108</f>
        <v>0</v>
      </c>
      <c r="AJ55" s="130">
        <f>+Actuals!AG108</f>
        <v>0</v>
      </c>
      <c r="AK55" s="131">
        <f>+Actuals!AH108</f>
        <v>0</v>
      </c>
      <c r="AL55" s="130">
        <f>+Actuals!AI108</f>
        <v>0</v>
      </c>
      <c r="AM55" s="131">
        <f>+Actuals!AJ108</f>
        <v>0</v>
      </c>
      <c r="AN55" s="130">
        <f>+Actuals!AK108</f>
        <v>0</v>
      </c>
      <c r="AO55" s="131">
        <f>+Actuals!AL108</f>
        <v>0</v>
      </c>
      <c r="AP55" s="130">
        <f>+Actuals!AM108</f>
        <v>0</v>
      </c>
      <c r="AQ55" s="131">
        <f>+Actuals!AN108</f>
        <v>0</v>
      </c>
    </row>
    <row r="56" spans="1:43" x14ac:dyDescent="0.2">
      <c r="A56" s="9"/>
      <c r="B56" s="7" t="s">
        <v>59</v>
      </c>
      <c r="C56" s="6"/>
      <c r="D56" s="61">
        <f t="shared" ref="D56:AA56" si="16">SUM(D54:D55)</f>
        <v>-21092211</v>
      </c>
      <c r="E56" s="39">
        <f t="shared" si="16"/>
        <v>-9536769.1500000004</v>
      </c>
      <c r="F56" s="61">
        <f t="shared" si="16"/>
        <v>0</v>
      </c>
      <c r="G56" s="39">
        <f t="shared" si="16"/>
        <v>0</v>
      </c>
      <c r="H56" s="61">
        <f t="shared" si="16"/>
        <v>-21075751</v>
      </c>
      <c r="I56" s="39">
        <f t="shared" si="16"/>
        <v>-9903084</v>
      </c>
      <c r="J56" s="61">
        <f t="shared" si="16"/>
        <v>0</v>
      </c>
      <c r="K56" s="148">
        <f t="shared" si="16"/>
        <v>342345.85</v>
      </c>
      <c r="L56" s="61">
        <f t="shared" si="16"/>
        <v>-16460</v>
      </c>
      <c r="M56" s="39">
        <f t="shared" si="16"/>
        <v>23969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f>+Actuals!J109</f>
        <v>0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30">
        <f>+Actuals!S109</f>
        <v>0</v>
      </c>
      <c r="W59" s="131">
        <f>+Actuals!T109</f>
        <v>0</v>
      </c>
      <c r="X59" s="130">
        <f>+Actuals!U109</f>
        <v>0</v>
      </c>
      <c r="Y59" s="131">
        <f>+Actuals!V109</f>
        <v>0</v>
      </c>
      <c r="Z59" s="127">
        <f>+Actuals!W149</f>
        <v>0</v>
      </c>
      <c r="AA59" s="128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+Actuals!AE109</f>
        <v>0</v>
      </c>
      <c r="AI59" s="131">
        <f>+Actuals!AF109</f>
        <v>0</v>
      </c>
      <c r="AJ59" s="130">
        <f>+Actuals!AG109</f>
        <v>0</v>
      </c>
      <c r="AK59" s="131">
        <f>+Actuals!AH109</f>
        <v>0</v>
      </c>
      <c r="AL59" s="130">
        <f>+Actuals!AI109</f>
        <v>0</v>
      </c>
      <c r="AM59" s="131">
        <f>+Actuals!AJ109</f>
        <v>0</v>
      </c>
      <c r="AN59" s="130">
        <f>+Actuals!AK109</f>
        <v>0</v>
      </c>
      <c r="AO59" s="131">
        <f>+Actuals!AL109</f>
        <v>0</v>
      </c>
      <c r="AP59" s="130">
        <f>+Actuals!AM109</f>
        <v>0</v>
      </c>
      <c r="AQ59" s="131">
        <f>+Actuals!AN109</f>
        <v>0</v>
      </c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30">
        <f>+Actuals!S110</f>
        <v>0</v>
      </c>
      <c r="W60" s="131">
        <f>+Actuals!T110</f>
        <v>0</v>
      </c>
      <c r="X60" s="130">
        <f>+Actuals!U110</f>
        <v>0</v>
      </c>
      <c r="Y60" s="131">
        <f>+Actuals!V110</f>
        <v>0</v>
      </c>
      <c r="Z60" s="127">
        <f>+Actuals!W150</f>
        <v>0</v>
      </c>
      <c r="AA60" s="128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+Actuals!AE110</f>
        <v>0</v>
      </c>
      <c r="AI60" s="131">
        <f>+Actuals!AF110</f>
        <v>0</v>
      </c>
      <c r="AJ60" s="130">
        <f>+Actuals!AG110</f>
        <v>0</v>
      </c>
      <c r="AK60" s="131">
        <f>+Actuals!AH110</f>
        <v>0</v>
      </c>
      <c r="AL60" s="130">
        <f>+Actuals!AI110</f>
        <v>0</v>
      </c>
      <c r="AM60" s="131">
        <f>+Actuals!AJ110</f>
        <v>0</v>
      </c>
      <c r="AN60" s="130">
        <f>+Actuals!AK110</f>
        <v>0</v>
      </c>
      <c r="AO60" s="131">
        <f>+Actuals!AL110</f>
        <v>0</v>
      </c>
      <c r="AP60" s="130">
        <f>+Actuals!AM110</f>
        <v>0</v>
      </c>
      <c r="AQ60" s="131">
        <f>+Actuals!AN110</f>
        <v>0</v>
      </c>
    </row>
    <row r="61" spans="1:43" x14ac:dyDescent="0.2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30">
        <f>+Actuals!S111</f>
        <v>0</v>
      </c>
      <c r="W64" s="131">
        <f>+Actuals!T111</f>
        <v>0</v>
      </c>
      <c r="X64" s="130">
        <f>+Actuals!U111</f>
        <v>0</v>
      </c>
      <c r="Y64" s="131">
        <f>+Actuals!V111</f>
        <v>0</v>
      </c>
      <c r="Z64" s="127">
        <f>+Actuals!W151</f>
        <v>0</v>
      </c>
      <c r="AA64" s="128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+Actuals!AE111</f>
        <v>0</v>
      </c>
      <c r="AI64" s="131">
        <f>+Actuals!AF111</f>
        <v>0</v>
      </c>
      <c r="AJ64" s="130">
        <f>+Actuals!AG111</f>
        <v>0</v>
      </c>
      <c r="AK64" s="131">
        <f>+Actuals!AH111</f>
        <v>0</v>
      </c>
      <c r="AL64" s="130">
        <f>+Actuals!AI111</f>
        <v>0</v>
      </c>
      <c r="AM64" s="131">
        <f>+Actuals!AJ111</f>
        <v>0</v>
      </c>
      <c r="AN64" s="130">
        <f>+Actuals!AK111</f>
        <v>0</v>
      </c>
      <c r="AO64" s="131">
        <f>+Actuals!AL111</f>
        <v>0</v>
      </c>
      <c r="AP64" s="130">
        <f>+Actuals!AM111</f>
        <v>0</v>
      </c>
      <c r="AQ64" s="131">
        <f>+Actuals!AN111</f>
        <v>0</v>
      </c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30">
        <f>+Actuals!S112</f>
        <v>0</v>
      </c>
      <c r="W65" s="131">
        <f>+Actuals!T112</f>
        <v>0</v>
      </c>
      <c r="X65" s="130">
        <f>+Actuals!U112</f>
        <v>0</v>
      </c>
      <c r="Y65" s="131">
        <f>+Actuals!V112</f>
        <v>0</v>
      </c>
      <c r="Z65" s="127">
        <f>+Actuals!W152</f>
        <v>0</v>
      </c>
      <c r="AA65" s="128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+Actuals!AE112</f>
        <v>0</v>
      </c>
      <c r="AI65" s="131">
        <f>+Actuals!AF112</f>
        <v>0</v>
      </c>
      <c r="AJ65" s="130">
        <f>+Actuals!AG112</f>
        <v>0</v>
      </c>
      <c r="AK65" s="131">
        <f>+Actuals!AH112</f>
        <v>0</v>
      </c>
      <c r="AL65" s="130">
        <f>+Actuals!AI112</f>
        <v>0</v>
      </c>
      <c r="AM65" s="131">
        <f>+Actuals!AJ112</f>
        <v>0</v>
      </c>
      <c r="AN65" s="130">
        <f>+Actuals!AK112</f>
        <v>0</v>
      </c>
      <c r="AO65" s="131">
        <f>+Actuals!AL112</f>
        <v>0</v>
      </c>
      <c r="AP65" s="130">
        <f>+Actuals!AM112</f>
        <v>0</v>
      </c>
      <c r="AQ65" s="131">
        <f>+Actuals!AN112</f>
        <v>0</v>
      </c>
    </row>
    <row r="66" spans="1:43" x14ac:dyDescent="0.2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-110087</v>
      </c>
      <c r="F70" s="64">
        <f>'TIE-OUT'!X70+RECLASS!X70</f>
        <v>0</v>
      </c>
      <c r="G70" s="68">
        <f>'TIE-OUT'!Y70+RECLASS!Y70</f>
        <v>-110087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30">
        <f>+Actuals!S113</f>
        <v>0</v>
      </c>
      <c r="W70" s="131">
        <f>+Actuals!T113</f>
        <v>0</v>
      </c>
      <c r="X70" s="130">
        <f>+Actuals!U113</f>
        <v>0</v>
      </c>
      <c r="Y70" s="131">
        <f>+Actuals!V113</f>
        <v>0</v>
      </c>
      <c r="Z70" s="127">
        <f>+Actuals!W153</f>
        <v>0</v>
      </c>
      <c r="AA70" s="128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+Actuals!AE113</f>
        <v>0</v>
      </c>
      <c r="AI70" s="131">
        <f>+Actuals!AF113</f>
        <v>0</v>
      </c>
      <c r="AJ70" s="130">
        <f>+Actuals!AG113</f>
        <v>0</v>
      </c>
      <c r="AK70" s="131">
        <f>+Actuals!AH113</f>
        <v>0</v>
      </c>
      <c r="AL70" s="130">
        <f>+Actuals!AI113</f>
        <v>0</v>
      </c>
      <c r="AM70" s="131">
        <f>+Actuals!AJ113</f>
        <v>0</v>
      </c>
      <c r="AN70" s="130">
        <f>+Actuals!AK113</f>
        <v>0</v>
      </c>
      <c r="AO70" s="131">
        <f>+Actuals!AL113</f>
        <v>0</v>
      </c>
      <c r="AP70" s="130">
        <f>+Actuals!AM113</f>
        <v>0</v>
      </c>
      <c r="AQ70" s="131">
        <f>+Actuals!AN113</f>
        <v>0</v>
      </c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'TIE-OUT'!X71+RECLASS!X71</f>
        <v>0</v>
      </c>
      <c r="G71" s="82">
        <f>'TIE-OUT'!Y71+RECLASS!Y71</f>
        <v>0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30">
        <f>+Actuals!S114</f>
        <v>0</v>
      </c>
      <c r="W71" s="131">
        <f>+Actuals!T114</f>
        <v>0</v>
      </c>
      <c r="X71" s="130">
        <f>+Actuals!U114</f>
        <v>0</v>
      </c>
      <c r="Y71" s="131">
        <f>+Actuals!V114</f>
        <v>0</v>
      </c>
      <c r="Z71" s="127">
        <f>+Actuals!W154</f>
        <v>0</v>
      </c>
      <c r="AA71" s="128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+Actuals!AE114</f>
        <v>0</v>
      </c>
      <c r="AI71" s="131">
        <f>+Actuals!AF114</f>
        <v>0</v>
      </c>
      <c r="AJ71" s="130">
        <f>+Actuals!AG114</f>
        <v>0</v>
      </c>
      <c r="AK71" s="131">
        <f>+Actuals!AH114</f>
        <v>0</v>
      </c>
      <c r="AL71" s="130">
        <f>+Actuals!AI114</f>
        <v>0</v>
      </c>
      <c r="AM71" s="131">
        <f>+Actuals!AJ114</f>
        <v>0</v>
      </c>
      <c r="AN71" s="130">
        <f>+Actuals!AK114</f>
        <v>0</v>
      </c>
      <c r="AO71" s="131">
        <f>+Actuals!AL114</f>
        <v>0</v>
      </c>
      <c r="AP71" s="130">
        <f>+Actuals!AM114</f>
        <v>0</v>
      </c>
      <c r="AQ71" s="131">
        <f>+Actuals!AN114</f>
        <v>0</v>
      </c>
    </row>
    <row r="72" spans="1:43" x14ac:dyDescent="0.2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-110087</v>
      </c>
      <c r="F72" s="61">
        <f t="shared" si="22"/>
        <v>0</v>
      </c>
      <c r="G72" s="39">
        <f t="shared" si="22"/>
        <v>-110087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30">
        <f>+Actuals!S115</f>
        <v>0</v>
      </c>
      <c r="W73" s="131">
        <f>+Actuals!T115</f>
        <v>0</v>
      </c>
      <c r="X73" s="130">
        <f>+Actuals!U115</f>
        <v>0</v>
      </c>
      <c r="Y73" s="131">
        <f>+Actuals!V115</f>
        <v>0</v>
      </c>
      <c r="Z73" s="127">
        <f>+Actuals!W155</f>
        <v>0</v>
      </c>
      <c r="AA73" s="128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+Actuals!AE115</f>
        <v>0</v>
      </c>
      <c r="AI73" s="131">
        <f>+Actuals!AF115</f>
        <v>0</v>
      </c>
      <c r="AJ73" s="130">
        <f>+Actuals!AG115</f>
        <v>0</v>
      </c>
      <c r="AK73" s="131">
        <f>+Actuals!AH115</f>
        <v>0</v>
      </c>
      <c r="AL73" s="130">
        <f>+Actuals!AI115</f>
        <v>0</v>
      </c>
      <c r="AM73" s="131">
        <f>+Actuals!AJ115</f>
        <v>0</v>
      </c>
      <c r="AN73" s="130">
        <f>+Actuals!AK115</f>
        <v>0</v>
      </c>
      <c r="AO73" s="131">
        <f>+Actuals!AL115</f>
        <v>0</v>
      </c>
      <c r="AP73" s="130">
        <f>+Actuals!AM115</f>
        <v>0</v>
      </c>
      <c r="AQ73" s="131">
        <f>+Actuals!AN115</f>
        <v>0</v>
      </c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-129168.09999999963</v>
      </c>
      <c r="F74" s="60">
        <f>'TIE-OUT'!X74+RECLASS!X74</f>
        <v>0</v>
      </c>
      <c r="G74" s="60">
        <f>'TIE-OUT'!Y74+RECLASS!Y74</f>
        <v>10120831.9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60">
        <v>-10250000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30">
        <f>+Actuals!S116</f>
        <v>0</v>
      </c>
      <c r="W74" s="131">
        <f>+Actuals!T116</f>
        <v>0</v>
      </c>
      <c r="X74" s="130">
        <f>+Actuals!U116</f>
        <v>0</v>
      </c>
      <c r="Y74" s="131">
        <f>+Actuals!V116</f>
        <v>0</v>
      </c>
      <c r="Z74" s="127">
        <f>+Actuals!W156</f>
        <v>0</v>
      </c>
      <c r="AA74" s="128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+Actuals!AE116</f>
        <v>0</v>
      </c>
      <c r="AI74" s="131">
        <f>+Actuals!AF116</f>
        <v>0</v>
      </c>
      <c r="AJ74" s="130">
        <f>+Actuals!AG116</f>
        <v>0</v>
      </c>
      <c r="AK74" s="131">
        <f>+Actuals!AH116</f>
        <v>0</v>
      </c>
      <c r="AL74" s="130">
        <f>+Actuals!AI116</f>
        <v>0</v>
      </c>
      <c r="AM74" s="131">
        <f>+Actuals!AJ116</f>
        <v>0</v>
      </c>
      <c r="AN74" s="130">
        <f>+Actuals!AK116</f>
        <v>0</v>
      </c>
      <c r="AO74" s="131">
        <f>+Actuals!AL116</f>
        <v>0</v>
      </c>
      <c r="AP74" s="130">
        <f>+Actuals!AM116</f>
        <v>0</v>
      </c>
      <c r="AQ74" s="131">
        <f>+Actuals!AN116</f>
        <v>0</v>
      </c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30">
        <f>+Actuals!S117</f>
        <v>0</v>
      </c>
      <c r="W75" s="131">
        <f>+Actuals!T117</f>
        <v>0</v>
      </c>
      <c r="X75" s="130">
        <f>+Actuals!U117</f>
        <v>0</v>
      </c>
      <c r="Y75" s="131">
        <f>+Actuals!V117</f>
        <v>0</v>
      </c>
      <c r="Z75" s="127">
        <f>+Actuals!W157</f>
        <v>0</v>
      </c>
      <c r="AA75" s="128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+Actuals!AE117</f>
        <v>0</v>
      </c>
      <c r="AI75" s="131">
        <f>+Actuals!AF117</f>
        <v>0</v>
      </c>
      <c r="AJ75" s="130">
        <f>+Actuals!AG117</f>
        <v>0</v>
      </c>
      <c r="AK75" s="131">
        <f>+Actuals!AH117</f>
        <v>0</v>
      </c>
      <c r="AL75" s="130">
        <f>+Actuals!AI117</f>
        <v>0</v>
      </c>
      <c r="AM75" s="131">
        <f>+Actuals!AJ117</f>
        <v>0</v>
      </c>
      <c r="AN75" s="130">
        <f>+Actuals!AK117</f>
        <v>0</v>
      </c>
      <c r="AO75" s="131">
        <f>+Actuals!AL117</f>
        <v>0</v>
      </c>
      <c r="AP75" s="130">
        <f>+Actuals!AM117</f>
        <v>0</v>
      </c>
      <c r="AQ75" s="131">
        <f>+Actuals!AN117</f>
        <v>0</v>
      </c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30">
        <f>+Actuals!S118</f>
        <v>0</v>
      </c>
      <c r="W76" s="131">
        <f>+Actuals!T118</f>
        <v>0</v>
      </c>
      <c r="X76" s="130">
        <f>+Actuals!U118</f>
        <v>0</v>
      </c>
      <c r="Y76" s="131">
        <f>+Actuals!V118</f>
        <v>0</v>
      </c>
      <c r="Z76" s="127">
        <f>+Actuals!W158</f>
        <v>0</v>
      </c>
      <c r="AA76" s="128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+Actuals!AE118</f>
        <v>0</v>
      </c>
      <c r="AI76" s="131">
        <f>+Actuals!AF118</f>
        <v>0</v>
      </c>
      <c r="AJ76" s="130">
        <f>+Actuals!AG118</f>
        <v>0</v>
      </c>
      <c r="AK76" s="131">
        <f>+Actuals!AH118</f>
        <v>0</v>
      </c>
      <c r="AL76" s="130">
        <f>+Actuals!AI118</f>
        <v>0</v>
      </c>
      <c r="AM76" s="131">
        <f>+Actuals!AJ118</f>
        <v>0</v>
      </c>
      <c r="AN76" s="130">
        <f>+Actuals!AK118</f>
        <v>0</v>
      </c>
      <c r="AO76" s="131">
        <f>+Actuals!AL118</f>
        <v>0</v>
      </c>
      <c r="AP76" s="130">
        <f>+Actuals!AM118</f>
        <v>0</v>
      </c>
      <c r="AQ76" s="131">
        <f>+Actuals!AN118</f>
        <v>0</v>
      </c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'TIE-OUT'!X77+RECLASS!X77</f>
        <v>0</v>
      </c>
      <c r="G77" s="60">
        <f>'TIE-OUT'!Y77+RECLASS!Y77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30">
        <f>+Actuals!S119</f>
        <v>0</v>
      </c>
      <c r="W77" s="131">
        <f>+Actuals!T119</f>
        <v>0</v>
      </c>
      <c r="X77" s="130">
        <f>+Actuals!U119</f>
        <v>0</v>
      </c>
      <c r="Y77" s="131">
        <f>+Actuals!V119</f>
        <v>0</v>
      </c>
      <c r="Z77" s="127">
        <f>+Actuals!W159</f>
        <v>0</v>
      </c>
      <c r="AA77" s="128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+Actuals!AE119</f>
        <v>0</v>
      </c>
      <c r="AI77" s="131">
        <f>+Actuals!AF119</f>
        <v>0</v>
      </c>
      <c r="AJ77" s="130">
        <f>+Actuals!AG119</f>
        <v>0</v>
      </c>
      <c r="AK77" s="131">
        <f>+Actuals!AH119</f>
        <v>0</v>
      </c>
      <c r="AL77" s="130">
        <f>+Actuals!AI119</f>
        <v>0</v>
      </c>
      <c r="AM77" s="131">
        <f>+Actuals!AJ119</f>
        <v>0</v>
      </c>
      <c r="AN77" s="130">
        <f>+Actuals!AK119</f>
        <v>0</v>
      </c>
      <c r="AO77" s="131">
        <f>+Actuals!AL119</f>
        <v>0</v>
      </c>
      <c r="AP77" s="130">
        <f>+Actuals!AM119</f>
        <v>0</v>
      </c>
      <c r="AQ77" s="131">
        <f>+Actuals!AN119</f>
        <v>0</v>
      </c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30">
        <f>+Actuals!S120</f>
        <v>0</v>
      </c>
      <c r="W78" s="131">
        <f>+Actuals!T120</f>
        <v>0</v>
      </c>
      <c r="X78" s="130">
        <f>+Actuals!U120</f>
        <v>0</v>
      </c>
      <c r="Y78" s="131">
        <f>+Actuals!V120</f>
        <v>0</v>
      </c>
      <c r="Z78" s="127">
        <f>+Actuals!W160</f>
        <v>0</v>
      </c>
      <c r="AA78" s="128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+Actuals!AE120</f>
        <v>0</v>
      </c>
      <c r="AI78" s="131">
        <f>+Actuals!AF120</f>
        <v>0</v>
      </c>
      <c r="AJ78" s="130">
        <f>+Actuals!AG120</f>
        <v>0</v>
      </c>
      <c r="AK78" s="131">
        <f>+Actuals!AH120</f>
        <v>0</v>
      </c>
      <c r="AL78" s="130">
        <f>+Actuals!AI120</f>
        <v>0</v>
      </c>
      <c r="AM78" s="131">
        <f>+Actuals!AJ120</f>
        <v>0</v>
      </c>
      <c r="AN78" s="130">
        <f>+Actuals!AK120</f>
        <v>0</v>
      </c>
      <c r="AO78" s="131">
        <f>+Actuals!AL120</f>
        <v>0</v>
      </c>
      <c r="AP78" s="130">
        <f>+Actuals!AM120</f>
        <v>0</v>
      </c>
      <c r="AQ78" s="131">
        <f>+Actuals!AN120</f>
        <v>0</v>
      </c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30">
        <f>+Actuals!S121</f>
        <v>0</v>
      </c>
      <c r="W79" s="131">
        <f>+Actuals!T121</f>
        <v>0</v>
      </c>
      <c r="X79" s="130">
        <f>+Actuals!U121</f>
        <v>0</v>
      </c>
      <c r="Y79" s="131">
        <f>+Actuals!V121</f>
        <v>0</v>
      </c>
      <c r="Z79" s="127">
        <f>+Actuals!W161</f>
        <v>0</v>
      </c>
      <c r="AA79" s="128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+Actuals!AE121</f>
        <v>0</v>
      </c>
      <c r="AI79" s="131">
        <f>+Actuals!AF121</f>
        <v>0</v>
      </c>
      <c r="AJ79" s="130">
        <f>+Actuals!AG121</f>
        <v>0</v>
      </c>
      <c r="AK79" s="131">
        <f>+Actuals!AH121</f>
        <v>0</v>
      </c>
      <c r="AL79" s="130">
        <f>+Actuals!AI121</f>
        <v>0</v>
      </c>
      <c r="AM79" s="131">
        <f>+Actuals!AJ121</f>
        <v>0</v>
      </c>
      <c r="AN79" s="130">
        <f>+Actuals!AK121</f>
        <v>0</v>
      </c>
      <c r="AO79" s="131">
        <f>+Actuals!AL121</f>
        <v>0</v>
      </c>
      <c r="AP79" s="130">
        <f>+Actuals!AM121</f>
        <v>0</v>
      </c>
      <c r="AQ79" s="131">
        <f>+Actuals!AN121</f>
        <v>0</v>
      </c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30">
        <f>+Actuals!S122</f>
        <v>0</v>
      </c>
      <c r="W80" s="131">
        <f>+Actuals!T122</f>
        <v>0</v>
      </c>
      <c r="X80" s="130">
        <f>+Actuals!U122</f>
        <v>0</v>
      </c>
      <c r="Y80" s="131">
        <f>+Actuals!V122</f>
        <v>0</v>
      </c>
      <c r="Z80" s="127">
        <f>+Actuals!W162</f>
        <v>0</v>
      </c>
      <c r="AA80" s="128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+Actuals!AE122</f>
        <v>0</v>
      </c>
      <c r="AI80" s="131">
        <f>+Actuals!AF122</f>
        <v>0</v>
      </c>
      <c r="AJ80" s="130">
        <f>+Actuals!AG122</f>
        <v>0</v>
      </c>
      <c r="AK80" s="131">
        <f>+Actuals!AH122</f>
        <v>0</v>
      </c>
      <c r="AL80" s="130">
        <f>+Actuals!AI122</f>
        <v>0</v>
      </c>
      <c r="AM80" s="131">
        <f>+Actuals!AJ122</f>
        <v>0</v>
      </c>
      <c r="AN80" s="130">
        <f>+Actuals!AK122</f>
        <v>0</v>
      </c>
      <c r="AO80" s="131">
        <f>+Actuals!AL122</f>
        <v>0</v>
      </c>
      <c r="AP80" s="130">
        <f>+Actuals!AM122</f>
        <v>0</v>
      </c>
      <c r="AQ80" s="131">
        <f>+Actuals!AN122</f>
        <v>0</v>
      </c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30">
        <f>+Actuals!S123</f>
        <v>0</v>
      </c>
      <c r="W81" s="131">
        <f>+Actuals!T123</f>
        <v>0</v>
      </c>
      <c r="X81" s="130">
        <f>+Actuals!U123</f>
        <v>0</v>
      </c>
      <c r="Y81" s="131">
        <f>+Actuals!V123</f>
        <v>0</v>
      </c>
      <c r="Z81" s="127">
        <f>+Actuals!W163</f>
        <v>0</v>
      </c>
      <c r="AA81" s="128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+Actuals!AE123</f>
        <v>0</v>
      </c>
      <c r="AI81" s="131">
        <f>+Actuals!AF123</f>
        <v>0</v>
      </c>
      <c r="AJ81" s="130">
        <f>+Actuals!AG123</f>
        <v>0</v>
      </c>
      <c r="AK81" s="131">
        <f>+Actuals!AH123</f>
        <v>0</v>
      </c>
      <c r="AL81" s="130">
        <f>+Actuals!AI123</f>
        <v>0</v>
      </c>
      <c r="AM81" s="131">
        <f>+Actuals!AJ123</f>
        <v>0</v>
      </c>
      <c r="AN81" s="130">
        <f>+Actuals!AK123</f>
        <v>0</v>
      </c>
      <c r="AO81" s="131">
        <f>+Actuals!AL123</f>
        <v>0</v>
      </c>
      <c r="AP81" s="130">
        <f>+Actuals!AM123</f>
        <v>0</v>
      </c>
      <c r="AQ81" s="131">
        <f>+Actuals!AN123</f>
        <v>0</v>
      </c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10</v>
      </c>
      <c r="E82" s="93">
        <f>SUM(E72:E81)+E16+E24+E29+E36+E43+E45+E47+E49+E51+E56+E61+E66</f>
        <v>200842.25200000592</v>
      </c>
      <c r="F82" s="92">
        <f>F16+F24+F29+F36+F43+F45+F47+F49</f>
        <v>0</v>
      </c>
      <c r="G82" s="93">
        <f>SUM(G72:G81)+G16+G24+G29+G36+G43+G45+G47+G49+G51+G56+G61+G66</f>
        <v>10010744.9</v>
      </c>
      <c r="H82" s="92">
        <f>H16+H24+H29+H36+H43+H45+H47+H49</f>
        <v>0</v>
      </c>
      <c r="I82" s="93">
        <f>SUM(I72:I81)+I16+I24+I29+I36+I43+I45+I47+I49+I51+I56+I61+I66</f>
        <v>5781155</v>
      </c>
      <c r="J82" s="92">
        <f>J16+J24+J29+J36+J43+J45+J47+J49</f>
        <v>0</v>
      </c>
      <c r="K82" s="158">
        <f>SUM(K72:K81)+K16+K24+K29+K36+K43+K45+K47+K49+K51+K56+K61+K66</f>
        <v>-23921923.149999999</v>
      </c>
      <c r="L82" s="92">
        <f>L16+L24+L29+L36+L43+L45+L47+L49</f>
        <v>0</v>
      </c>
      <c r="M82" s="93">
        <f>SUM(M72:M81)+M16+M24+M29+M36+M43+M45+M47+M49+M51+M56+M61+M66</f>
        <v>-564257</v>
      </c>
      <c r="N82" s="92">
        <f>N16+N24+N29+N36+N43+N45+N47+N49</f>
        <v>10</v>
      </c>
      <c r="O82" s="93">
        <f>SUM(O72:O81)+O16+O24+O29+O36+O43+O45+O47+O49+O51+O56+O61+O66</f>
        <v>-933188</v>
      </c>
      <c r="P82" s="92">
        <f>P16+P24+P29+P36+P43+P45+P47+P49</f>
        <v>0</v>
      </c>
      <c r="Q82" s="93">
        <f>SUM(Q72:Q81)+Q16+Q24+Q29+Q36+Q43+Q45+Q47+Q49+Q51+Q56+Q61+Q66</f>
        <v>-3088</v>
      </c>
      <c r="R82" s="92">
        <f>R16+R24+R29+R36+R43+R45+R47+R49</f>
        <v>0</v>
      </c>
      <c r="S82" s="93">
        <f>SUM(S72:S81)+S16+S24+S29+S36+S43+S45+S47+S49+S51+S56+S61+S66</f>
        <v>1690</v>
      </c>
      <c r="T82" s="92">
        <f>T16+T24+T29+T36+T43+T45+T47+T49</f>
        <v>0</v>
      </c>
      <c r="U82" s="93">
        <f>SUM(U72:U81)+U16+U24+U29+U36+U43+U45+U47+U49+U51+U56+U61+U66</f>
        <v>9830683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-104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-870.49800000000005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Q168"/>
  <sheetViews>
    <sheetView zoomScale="75" workbookViewId="0">
      <pane xSplit="3" ySplit="9" topLeftCell="AC40" activePane="bottomRight" state="frozen"/>
      <selection activeCell="D67" sqref="D67"/>
      <selection pane="topRight" activeCell="D67" sqref="D67"/>
      <selection pane="bottomLeft" activeCell="D67" sqref="D67"/>
      <selection pane="bottomRight" activeCell="AG42" sqref="AG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0</v>
      </c>
      <c r="E11" s="38">
        <f t="shared" si="0"/>
        <v>-111833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/>
      <c r="L11" s="60"/>
      <c r="M11" s="38"/>
      <c r="N11" s="60"/>
      <c r="O11" s="38">
        <f>-111833</f>
        <v>-111833</v>
      </c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-32495</v>
      </c>
      <c r="F12" s="60">
        <f>'TIE-OUT'!T12+RECLASS!T12</f>
        <v>0</v>
      </c>
      <c r="G12" s="38">
        <f>'TIE-OUT'!U12+RECLASS!U12</f>
        <v>-32495</v>
      </c>
      <c r="H12" s="60"/>
      <c r="I12" s="38"/>
      <c r="J12" s="60"/>
      <c r="K12" s="147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</row>
    <row r="13" spans="1:43" x14ac:dyDescent="0.2">
      <c r="A13" s="9">
        <v>3</v>
      </c>
      <c r="B13" s="7"/>
      <c r="C13" s="18" t="s">
        <v>199</v>
      </c>
      <c r="D13" s="60">
        <f t="shared" si="0"/>
        <v>0</v>
      </c>
      <c r="E13" s="38">
        <f t="shared" si="0"/>
        <v>-4231234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/>
      <c r="R13" s="60"/>
      <c r="S13" s="38"/>
      <c r="T13" s="60"/>
      <c r="U13" s="38">
        <v>-4215664</v>
      </c>
      <c r="V13" s="60"/>
      <c r="W13" s="38"/>
      <c r="X13" s="60"/>
      <c r="Y13" s="38"/>
      <c r="Z13" s="60"/>
      <c r="AA13" s="38">
        <v>-11810</v>
      </c>
      <c r="AB13" s="60"/>
      <c r="AC13" s="38"/>
      <c r="AD13" s="60"/>
      <c r="AE13" s="38">
        <v>-3760</v>
      </c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</row>
    <row r="16" spans="1:43" x14ac:dyDescent="0.2">
      <c r="A16" s="9"/>
      <c r="B16" s="7" t="s">
        <v>32</v>
      </c>
      <c r="C16" s="6"/>
      <c r="D16" s="61">
        <f>SUM(D11:D15)</f>
        <v>0</v>
      </c>
      <c r="E16" s="39">
        <f>SUM(E11:E15)</f>
        <v>-4375562</v>
      </c>
      <c r="F16" s="61">
        <f t="shared" ref="F16:Z16" si="1">SUM(F11:F15)</f>
        <v>0</v>
      </c>
      <c r="G16" s="39">
        <f t="shared" si="1"/>
        <v>-32495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-111833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>SUM(U11:U15)</f>
        <v>-4215664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>SUM(Y11:Y15)</f>
        <v>0</v>
      </c>
      <c r="Z16" s="61">
        <f t="shared" si="1"/>
        <v>0</v>
      </c>
      <c r="AA16" s="39">
        <f t="shared" ref="AA16:AQ16" si="2">SUM(AA11:AA15)</f>
        <v>-11810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-3760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</row>
    <row r="20" spans="1:43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</row>
    <row r="21" spans="1:43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</row>
    <row r="22" spans="1:43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</row>
    <row r="23" spans="1:43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</row>
    <row r="24" spans="1:43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Z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8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>SUM(U19:U23)</f>
        <v>0</v>
      </c>
      <c r="V24" s="61">
        <f t="shared" si="4"/>
        <v>0</v>
      </c>
      <c r="W24" s="39">
        <f>SUM(W19:W23)</f>
        <v>0</v>
      </c>
      <c r="X24" s="61">
        <f t="shared" si="4"/>
        <v>0</v>
      </c>
      <c r="Y24" s="39">
        <f>SUM(Y19:Y23)</f>
        <v>0</v>
      </c>
      <c r="Z24" s="61">
        <f t="shared" si="4"/>
        <v>0</v>
      </c>
      <c r="AA24" s="39">
        <f t="shared" ref="AA24:AQ24" si="5">SUM(AA19:AA23)</f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</row>
    <row r="29" spans="1:43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Z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>SUM(Y27:Y28)</f>
        <v>0</v>
      </c>
      <c r="Z29" s="61">
        <f t="shared" si="6"/>
        <v>0</v>
      </c>
      <c r="AA29" s="39">
        <f t="shared" ref="AA29:AQ29" si="7">SUM(AA27:AA28)</f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</row>
    <row r="33" spans="1:43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</row>
    <row r="34" spans="1:43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</row>
    <row r="35" spans="1:43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</row>
    <row r="36" spans="1:43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Z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>SUM(W32:W35)</f>
        <v>0</v>
      </c>
      <c r="X36" s="61">
        <f t="shared" si="9"/>
        <v>0</v>
      </c>
      <c r="Y36" s="39">
        <f>SUM(Y32:Y35)</f>
        <v>0</v>
      </c>
      <c r="Z36" s="61">
        <f t="shared" si="9"/>
        <v>0</v>
      </c>
      <c r="AA36" s="39">
        <f t="shared" ref="AA36:AQ36" si="10">SUM(AA32:AA35)</f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</row>
    <row r="41" spans="1:43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161471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>
        <v>161471</v>
      </c>
      <c r="AH41" s="60"/>
      <c r="AI41" s="38"/>
      <c r="AJ41" s="60"/>
      <c r="AK41" s="38"/>
      <c r="AL41" s="60"/>
      <c r="AM41" s="38"/>
      <c r="AN41" s="60"/>
      <c r="AO41" s="38"/>
      <c r="AP41" s="60"/>
      <c r="AQ41" s="38"/>
    </row>
    <row r="42" spans="1:4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161471</v>
      </c>
      <c r="F42" s="61">
        <f t="shared" ref="F42:Z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>SUM(Y40:Y41)</f>
        <v>0</v>
      </c>
      <c r="Z42" s="61">
        <f t="shared" si="12"/>
        <v>0</v>
      </c>
      <c r="AA42" s="39">
        <f t="shared" ref="AA42:AQ42" si="13">SUM(AA40:AA41)</f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161471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161471</v>
      </c>
      <c r="F43" s="61">
        <f t="shared" ref="F43:Z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>W42+W39</f>
        <v>0</v>
      </c>
      <c r="X43" s="61">
        <f t="shared" si="14"/>
        <v>0</v>
      </c>
      <c r="Y43" s="39">
        <f>Y42+Y39</f>
        <v>0</v>
      </c>
      <c r="Z43" s="61">
        <f t="shared" si="14"/>
        <v>0</v>
      </c>
      <c r="AA43" s="39">
        <f t="shared" ref="AA43:AQ43" si="15">AA42+AA39</f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161471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-108122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>
        <v>-5371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-102751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>
        <v>-635000</v>
      </c>
      <c r="P55" s="60"/>
      <c r="Q55" s="38"/>
      <c r="R55" s="60"/>
      <c r="S55" s="38"/>
      <c r="T55" s="60"/>
      <c r="U55" s="38"/>
      <c r="V55" s="60"/>
      <c r="W55" s="38"/>
      <c r="X55" s="60"/>
      <c r="Y55" s="157">
        <v>635000</v>
      </c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</row>
    <row r="56" spans="1:43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Z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-635000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>SUM(W54:W55)</f>
        <v>0</v>
      </c>
      <c r="X56" s="61">
        <f t="shared" si="16"/>
        <v>0</v>
      </c>
      <c r="Y56" s="39">
        <f>SUM(Y54:Y55)</f>
        <v>635000</v>
      </c>
      <c r="Z56" s="61">
        <f t="shared" si="16"/>
        <v>0</v>
      </c>
      <c r="AA56" s="39">
        <f t="shared" ref="AA56:AQ56" si="17">SUM(AA54:AA55)</f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208666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>
        <f>96833+111833</f>
        <v>208666</v>
      </c>
      <c r="L60" s="60"/>
      <c r="M60" s="38"/>
      <c r="N60" s="60"/>
      <c r="O60" s="38"/>
      <c r="P60" s="60"/>
      <c r="Q60" s="38"/>
      <c r="R60" s="60"/>
      <c r="S60" s="38">
        <v>96833</v>
      </c>
      <c r="T60" s="60"/>
      <c r="U60" s="38"/>
      <c r="V60" s="60"/>
      <c r="W60" s="38"/>
      <c r="X60" s="60"/>
      <c r="Y60" s="38"/>
      <c r="Z60" s="60"/>
      <c r="AA60" s="38">
        <v>-96833</v>
      </c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</row>
    <row r="61" spans="1:43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208666</v>
      </c>
      <c r="F61" s="61">
        <f t="shared" ref="F61:Z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208666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96833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>SUM(W59:W60)</f>
        <v>0</v>
      </c>
      <c r="X61" s="61">
        <f t="shared" si="18"/>
        <v>0</v>
      </c>
      <c r="Y61" s="39">
        <f>SUM(Y59:Y60)</f>
        <v>0</v>
      </c>
      <c r="Z61" s="61">
        <f t="shared" si="18"/>
        <v>0</v>
      </c>
      <c r="AA61" s="39">
        <f t="shared" ref="AA61:AQ61" si="19">SUM(AA59:AA60)</f>
        <v>-96833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</row>
    <row r="66" spans="1:4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Z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>SUM(Y64:Y65)</f>
        <v>0</v>
      </c>
      <c r="Z66" s="61">
        <f t="shared" si="20"/>
        <v>0</v>
      </c>
      <c r="AA66" s="39">
        <f t="shared" ref="AA66:AQ66" si="21">SUM(AA64:AA65)</f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6584379</v>
      </c>
      <c r="F70" s="64">
        <f>'TIE-OUT'!T70+RECLASS!T70</f>
        <v>0</v>
      </c>
      <c r="G70" s="68">
        <f>'TIE-OUT'!U70+RECLASS!U70</f>
        <v>7305078</v>
      </c>
      <c r="H70" s="60"/>
      <c r="I70" s="38"/>
      <c r="J70" s="60"/>
      <c r="K70" s="147">
        <v>-4396477</v>
      </c>
      <c r="L70" s="60"/>
      <c r="M70" s="38"/>
      <c r="N70" s="60"/>
      <c r="O70" s="38"/>
      <c r="P70" s="60"/>
      <c r="Q70" s="38"/>
      <c r="R70" s="60"/>
      <c r="S70" s="38"/>
      <c r="T70" s="60"/>
      <c r="U70" s="38">
        <f>-539886+4215664</f>
        <v>3675778</v>
      </c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</row>
    <row r="72" spans="1:4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6584379</v>
      </c>
      <c r="F72" s="61">
        <f t="shared" ref="F72:Z72" si="22">SUM(F70:F71)</f>
        <v>0</v>
      </c>
      <c r="G72" s="39">
        <f t="shared" si="22"/>
        <v>7305078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-4396477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3675778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>SUM(Y70:Y71)</f>
        <v>0</v>
      </c>
      <c r="Z72" s="61">
        <f t="shared" si="22"/>
        <v>0</v>
      </c>
      <c r="AA72" s="39">
        <f t="shared" ref="AA72:AQ72" si="23">SUM(AA70:AA71)</f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</row>
    <row r="74" spans="1:43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1210329.6800000002</v>
      </c>
      <c r="F74" s="60">
        <f>'TIE-OUT'!T74+RECLASS!T74</f>
        <v>0</v>
      </c>
      <c r="G74" s="60">
        <f>'TIE-OUT'!U74+RECLASS!U74</f>
        <v>1207329.6800000002</v>
      </c>
      <c r="H74" s="60"/>
      <c r="I74" s="38"/>
      <c r="J74" s="60"/>
      <c r="K74" s="160">
        <v>3000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</row>
    <row r="75" spans="1:43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</row>
    <row r="76" spans="1:43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-4573</v>
      </c>
      <c r="F76" s="60">
        <f>'TIE-OUT'!T76+RECLASS!T76</f>
        <v>0</v>
      </c>
      <c r="G76" s="60">
        <f>'TIE-OUT'!U76+RECLASS!U76</f>
        <v>-4573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</row>
    <row r="77" spans="1:43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-1273583</v>
      </c>
      <c r="F77" s="60">
        <f>'TIE-OUT'!T77+RECLASS!T77</f>
        <v>0</v>
      </c>
      <c r="G77" s="60">
        <f>'TIE-OUT'!U77+RECLASS!U77</f>
        <v>-897000</v>
      </c>
      <c r="H77" s="60"/>
      <c r="I77" s="38"/>
      <c r="J77" s="60"/>
      <c r="K77" s="14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</row>
    <row r="78" spans="1:43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</row>
    <row r="79" spans="1:43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</row>
    <row r="80" spans="1:43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</row>
    <row r="81" spans="1:43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107089</v>
      </c>
      <c r="F81" s="60">
        <f>'TIE-OUT'!T81+RECLASS!T81</f>
        <v>0</v>
      </c>
      <c r="G81" s="60">
        <f>'TIE-OUT'!U81+RECLASS!U81</f>
        <v>197084</v>
      </c>
      <c r="H81" s="60"/>
      <c r="I81" s="160">
        <v>146417</v>
      </c>
      <c r="J81" s="60"/>
      <c r="K81" s="160">
        <f>-146417-125739-42550</f>
        <v>-314706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f>35744+42550</f>
        <v>78294</v>
      </c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</row>
    <row r="82" spans="1:43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2510094.6799999997</v>
      </c>
      <c r="F82" s="92">
        <f>F16+F24+F29+F36+F43+F45+F47+F49</f>
        <v>0</v>
      </c>
      <c r="G82" s="93">
        <f>SUM(G72:G81)+G16+G24+G29+G36+G43+G45+G47+G49+G51+G56+G61+G66</f>
        <v>7775423.6799999997</v>
      </c>
      <c r="H82" s="92">
        <f>H16+H24+H29+H36+H43+H45+H47+H49</f>
        <v>0</v>
      </c>
      <c r="I82" s="164">
        <f>SUM(I72:I81)+I16+I24+I29+I36+I43+I45+I47+I49+I51+I56+I61+I66</f>
        <v>146417</v>
      </c>
      <c r="J82" s="92">
        <f>J16+J24+J29+J36+J43+J45+J47+J49</f>
        <v>0</v>
      </c>
      <c r="K82" s="164">
        <f>SUM(K72:K81)+K16+K24+K29+K36+K43+K45+K47+K49+K51+K56+K61+K66</f>
        <v>-4881471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-746833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96833</v>
      </c>
      <c r="T82" s="92">
        <f>T16+T24+T29+T36+T43+T45+T47+T49</f>
        <v>0</v>
      </c>
      <c r="U82" s="93">
        <f>SUM(U72:U81)+U16+U24+U29+U36+U43+U45+U47+U49+U51+U56+U61+U66</f>
        <v>-539886</v>
      </c>
      <c r="V82" s="92">
        <f>V16+V24+V29+V36+V43+V45+V47+V49</f>
        <v>0</v>
      </c>
      <c r="W82" s="93">
        <f>SUM(W72:W81)+W16+W24+W29+W36+W43+W45+W47+W49+W51+W56+W61+W66</f>
        <v>-24457</v>
      </c>
      <c r="X82" s="92">
        <f>X16+X24+X29+X36+X43+X45+X47+X49</f>
        <v>0</v>
      </c>
      <c r="Y82" s="93">
        <f>SUM(Y72:Y81)+Y16+Y24+Y29+Y36+Y43+Y45+Y47+Y49+Y51+Y56+Y61+Y66</f>
        <v>635000</v>
      </c>
      <c r="Z82" s="92">
        <f>Z16+Z24+Z29+Z36+Z43+Z45+Z47+Z49</f>
        <v>0</v>
      </c>
      <c r="AA82" s="93">
        <f>SUM(AA72:AA81)+AA16+AA24+AA29+AA36+AA43+AA45+AA47+AA49+AA51+AA56+AA61+AA66</f>
        <v>-108643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-3760</v>
      </c>
      <c r="AF82" s="92">
        <f>AF16+AF24+AF29+AF36+AF43+AF45+AF47+AF49</f>
        <v>0</v>
      </c>
      <c r="AG82" s="93">
        <f>SUM(AG72:AG81)+AG16+AG24+AG29+AG36+AG43+AG45+AG47+AG49+AG51+AG56+AG61+AG66</f>
        <v>161471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5" thickTop="1" x14ac:dyDescent="0.2">
      <c r="A83" s="4"/>
      <c r="B83" s="3"/>
    </row>
    <row r="84" spans="1:43" x14ac:dyDescent="0.2">
      <c r="A84" s="4"/>
      <c r="B84" s="3"/>
      <c r="E84" s="31">
        <f>+E72+E12-G12</f>
        <v>6584379</v>
      </c>
    </row>
    <row r="85" spans="1:43" x14ac:dyDescent="0.2">
      <c r="A85" s="4"/>
      <c r="B85" s="3"/>
    </row>
    <row r="86" spans="1:43" x14ac:dyDescent="0.2">
      <c r="A86" s="4"/>
      <c r="B86" s="3"/>
    </row>
    <row r="87" spans="1:43" x14ac:dyDescent="0.2">
      <c r="A87" s="4"/>
      <c r="B87" s="3"/>
    </row>
    <row r="88" spans="1:43" x14ac:dyDescent="0.2">
      <c r="A88" s="4"/>
      <c r="B88" s="3"/>
    </row>
    <row r="89" spans="1:43" x14ac:dyDescent="0.2">
      <c r="A89" s="4"/>
      <c r="B89" s="3"/>
    </row>
    <row r="90" spans="1:43" x14ac:dyDescent="0.2">
      <c r="A90" s="4"/>
      <c r="B90" s="3"/>
    </row>
    <row r="91" spans="1:43" x14ac:dyDescent="0.2">
      <c r="A91" s="4"/>
      <c r="B91" s="3"/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CA187"/>
  <sheetViews>
    <sheetView zoomScale="75" workbookViewId="0">
      <pane xSplit="3" ySplit="9" topLeftCell="Y46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3" width="15.42578125" customWidth="1"/>
    <col min="34" max="43" width="15.42578125" hidden="1" customWidth="1"/>
  </cols>
  <sheetData>
    <row r="1" spans="1:43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">
      <c r="A3" s="5" t="s">
        <v>168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">
      <c r="A7" s="4"/>
      <c r="B7" s="19"/>
      <c r="C7" s="19"/>
    </row>
    <row r="8" spans="1:43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13719650</v>
      </c>
      <c r="E11" s="38">
        <f t="shared" si="0"/>
        <v>27563000</v>
      </c>
      <c r="F11" s="60">
        <f>'TIE-OUT'!V11+RECLASS!V11</f>
        <v>0</v>
      </c>
      <c r="G11" s="38">
        <f>'TIE-OUT'!W11+RECLASS!W11</f>
        <v>0</v>
      </c>
      <c r="H11" s="60">
        <v>13714099</v>
      </c>
      <c r="I11" s="38">
        <v>27552350</v>
      </c>
      <c r="J11" s="60">
        <v>5551</v>
      </c>
      <c r="K11" s="147">
        <v>10650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127">
        <f>+Actuals!W284</f>
        <v>0</v>
      </c>
      <c r="AA11" s="12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/>
      <c r="AI11" s="38"/>
      <c r="AJ11" s="60"/>
      <c r="AK11" s="38"/>
      <c r="AL11" s="60"/>
      <c r="AM11" s="38"/>
      <c r="AN11" s="60"/>
      <c r="AO11" s="38"/>
      <c r="AP11" s="60"/>
      <c r="AQ11" s="38"/>
    </row>
    <row r="12" spans="1:43" x14ac:dyDescent="0.2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303795.11</v>
      </c>
      <c r="F12" s="60">
        <f>'TIE-OUT'!V12+RECLASS!V12</f>
        <v>0</v>
      </c>
      <c r="G12" s="38">
        <f>'TIE-OUT'!W12+RECLASS!W12</f>
        <v>303795.11</v>
      </c>
      <c r="H12" s="60"/>
      <c r="I12" s="157">
        <v>-164450</v>
      </c>
      <c r="J12" s="60"/>
      <c r="K12" s="160">
        <v>164450</v>
      </c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127">
        <f>+Actuals!W285</f>
        <v>0</v>
      </c>
      <c r="AA12" s="12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/>
      <c r="AI12" s="38"/>
      <c r="AJ12" s="60"/>
      <c r="AK12" s="38"/>
      <c r="AL12" s="60"/>
      <c r="AM12" s="38"/>
      <c r="AN12" s="60"/>
      <c r="AO12" s="38"/>
      <c r="AP12" s="60"/>
      <c r="AQ12" s="38"/>
    </row>
    <row r="13" spans="1:43" x14ac:dyDescent="0.2">
      <c r="A13" s="9">
        <v>3</v>
      </c>
      <c r="B13" s="7"/>
      <c r="C13" s="18" t="s">
        <v>29</v>
      </c>
      <c r="D13" s="60">
        <f t="shared" si="0"/>
        <v>1110543</v>
      </c>
      <c r="E13" s="38">
        <f t="shared" si="0"/>
        <v>2342662</v>
      </c>
      <c r="F13" s="60">
        <f>'TIE-OUT'!V13+RECLASS!V13</f>
        <v>0</v>
      </c>
      <c r="G13" s="38">
        <f>'TIE-OUT'!W13+RECLASS!W13</f>
        <v>0</v>
      </c>
      <c r="H13" s="60">
        <v>1110543</v>
      </c>
      <c r="I13" s="38">
        <v>2342662</v>
      </c>
      <c r="J13" s="60"/>
      <c r="K13" s="147"/>
      <c r="L13" s="60"/>
      <c r="M13" s="38"/>
      <c r="N13" s="60"/>
      <c r="O13" s="38"/>
      <c r="P13" s="60">
        <v>-1162</v>
      </c>
      <c r="Q13" s="38">
        <v>-2696</v>
      </c>
      <c r="R13" s="60"/>
      <c r="S13" s="38"/>
      <c r="T13" s="60"/>
      <c r="U13" s="38"/>
      <c r="V13" s="60"/>
      <c r="W13" s="38"/>
      <c r="X13" s="60"/>
      <c r="Y13" s="38"/>
      <c r="Z13" s="127">
        <f>+Actuals!W286</f>
        <v>1631858</v>
      </c>
      <c r="AA13" s="128">
        <f>+Actuals!X286</f>
        <v>3388224</v>
      </c>
      <c r="AB13" s="60">
        <f>+Actuals!Y286</f>
        <v>0</v>
      </c>
      <c r="AC13" s="38">
        <f>+Actuals!Z286</f>
        <v>0</v>
      </c>
      <c r="AD13" s="60">
        <f>+Actuals!AA286</f>
        <v>-1630696</v>
      </c>
      <c r="AE13" s="38">
        <f>+Actuals!AB286</f>
        <v>-3385528</v>
      </c>
      <c r="AF13" s="60">
        <f>+Actuals!AC286</f>
        <v>0</v>
      </c>
      <c r="AG13" s="38">
        <f>+Actuals!AD286</f>
        <v>0</v>
      </c>
      <c r="AH13" s="60"/>
      <c r="AI13" s="38"/>
      <c r="AJ13" s="60"/>
      <c r="AK13" s="38"/>
      <c r="AL13" s="60"/>
      <c r="AM13" s="38"/>
      <c r="AN13" s="60"/>
      <c r="AO13" s="38"/>
      <c r="AP13" s="60"/>
      <c r="AQ13" s="38"/>
    </row>
    <row r="14" spans="1:43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127">
        <f>+Actuals!W287</f>
        <v>0</v>
      </c>
      <c r="AA14" s="12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/>
      <c r="AI14" s="38"/>
      <c r="AJ14" s="60"/>
      <c r="AK14" s="38"/>
      <c r="AL14" s="60"/>
      <c r="AM14" s="38"/>
      <c r="AN14" s="60"/>
      <c r="AO14" s="38"/>
      <c r="AP14" s="60"/>
      <c r="AQ14" s="38"/>
    </row>
    <row r="15" spans="1:43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127">
        <f>+Actuals!W288</f>
        <v>0</v>
      </c>
      <c r="AA15" s="12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/>
      <c r="AI15" s="38"/>
      <c r="AJ15" s="60"/>
      <c r="AK15" s="38"/>
      <c r="AL15" s="60"/>
      <c r="AM15" s="38"/>
      <c r="AN15" s="60"/>
      <c r="AO15" s="38"/>
      <c r="AP15" s="60"/>
      <c r="AQ15" s="38"/>
    </row>
    <row r="16" spans="1:43" x14ac:dyDescent="0.2">
      <c r="A16" s="9"/>
      <c r="B16" s="7" t="s">
        <v>32</v>
      </c>
      <c r="C16" s="6"/>
      <c r="D16" s="61">
        <f>SUM(D11:D15)</f>
        <v>14830193</v>
      </c>
      <c r="E16" s="39">
        <f>SUM(E11:E15)</f>
        <v>30209457.109999999</v>
      </c>
      <c r="F16" s="61">
        <f t="shared" ref="F16:X16" si="1">SUM(F11:F15)</f>
        <v>0</v>
      </c>
      <c r="G16" s="39">
        <f t="shared" si="1"/>
        <v>303795.11</v>
      </c>
      <c r="H16" s="61">
        <f t="shared" si="1"/>
        <v>14824642</v>
      </c>
      <c r="I16" s="39">
        <f t="shared" si="1"/>
        <v>29730562</v>
      </c>
      <c r="J16" s="61">
        <f t="shared" si="1"/>
        <v>5551</v>
      </c>
      <c r="K16" s="148">
        <f t="shared" si="1"/>
        <v>175100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-1162</v>
      </c>
      <c r="Q16" s="39">
        <f t="shared" si="1"/>
        <v>-2696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2"/>
        <v>1631858</v>
      </c>
      <c r="AA16" s="39">
        <f t="shared" si="2"/>
        <v>3388224</v>
      </c>
      <c r="AB16" s="61">
        <f t="shared" ref="AB16:AQ16" si="3">SUM(AB11:AB15)</f>
        <v>0</v>
      </c>
      <c r="AC16" s="39">
        <f t="shared" si="3"/>
        <v>0</v>
      </c>
      <c r="AD16" s="61">
        <f t="shared" si="3"/>
        <v>-1630696</v>
      </c>
      <c r="AE16" s="39">
        <f t="shared" si="3"/>
        <v>-3385528</v>
      </c>
      <c r="AF16" s="61">
        <f>SUM(AF11:AF15)</f>
        <v>0</v>
      </c>
      <c r="AG16" s="39">
        <f>SUM(AG11:AG15)</f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</row>
    <row r="17" spans="1:4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SUM(F19,H19,J19,L19,N19,P19,R19,T19,V19,X19,Z19,AB19,AD19,AF19)</f>
        <v>-16824273</v>
      </c>
      <c r="E19" s="38">
        <f t="shared" si="4"/>
        <v>-33524981</v>
      </c>
      <c r="F19" s="64">
        <f>'TIE-OUT'!V19+RECLASS!V19</f>
        <v>0</v>
      </c>
      <c r="G19" s="68">
        <f>'TIE-OUT'!W19+RECLASS!W19</f>
        <v>0</v>
      </c>
      <c r="H19" s="60">
        <f>-15014179-3362019</f>
        <v>-18376198</v>
      </c>
      <c r="I19" s="38">
        <f>-29948968-6755071</f>
        <v>-36704039</v>
      </c>
      <c r="J19" s="60">
        <v>-304392</v>
      </c>
      <c r="K19" s="147">
        <v>-631793</v>
      </c>
      <c r="L19" s="60">
        <v>-7500</v>
      </c>
      <c r="M19" s="38">
        <v>-16178</v>
      </c>
      <c r="N19" s="60">
        <v>1863817</v>
      </c>
      <c r="O19" s="38">
        <v>3827029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127">
        <f>+Actuals!W289</f>
        <v>0</v>
      </c>
      <c r="AA19" s="12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/>
      <c r="AI19" s="38"/>
      <c r="AJ19" s="60"/>
      <c r="AK19" s="38"/>
      <c r="AL19" s="60"/>
      <c r="AM19" s="38"/>
      <c r="AN19" s="60"/>
      <c r="AO19" s="38"/>
      <c r="AP19" s="60"/>
      <c r="AQ19" s="38"/>
    </row>
    <row r="20" spans="1:43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-414451.99</v>
      </c>
      <c r="F20" s="60">
        <f>'TIE-OUT'!V20+RECLASS!V20</f>
        <v>0</v>
      </c>
      <c r="G20" s="38">
        <f>'TIE-OUT'!W20+RECLASS!W20</f>
        <v>-414451.99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127">
        <f>+Actuals!W290</f>
        <v>0</v>
      </c>
      <c r="AA20" s="12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/>
      <c r="AI20" s="38"/>
      <c r="AJ20" s="60"/>
      <c r="AK20" s="38"/>
      <c r="AL20" s="60"/>
      <c r="AM20" s="38"/>
      <c r="AN20" s="60"/>
      <c r="AO20" s="38"/>
      <c r="AP20" s="60"/>
      <c r="AQ20" s="38"/>
    </row>
    <row r="21" spans="1:43" x14ac:dyDescent="0.2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>
        <v>0</v>
      </c>
      <c r="I21" s="38">
        <v>0</v>
      </c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127">
        <f>+Actuals!W291</f>
        <v>-1633020</v>
      </c>
      <c r="AA21" s="128">
        <f>+Actuals!X291</f>
        <v>-3390920</v>
      </c>
      <c r="AB21" s="60">
        <f>+Actuals!Y291</f>
        <v>0</v>
      </c>
      <c r="AC21" s="38">
        <f>+Actuals!Z291</f>
        <v>0</v>
      </c>
      <c r="AD21" s="60">
        <f>+Actuals!AA291</f>
        <v>1633020</v>
      </c>
      <c r="AE21" s="38">
        <f>+Actuals!AB291</f>
        <v>3390920</v>
      </c>
      <c r="AF21" s="60">
        <f>+Actuals!AC291</f>
        <v>0</v>
      </c>
      <c r="AG21" s="38">
        <f>+Actuals!AD291</f>
        <v>0</v>
      </c>
      <c r="AH21" s="60"/>
      <c r="AI21" s="38"/>
      <c r="AJ21" s="60"/>
      <c r="AK21" s="38"/>
      <c r="AL21" s="60"/>
      <c r="AM21" s="38"/>
      <c r="AN21" s="60"/>
      <c r="AO21" s="38"/>
      <c r="AP21" s="60"/>
      <c r="AQ21" s="38"/>
    </row>
    <row r="22" spans="1:43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127">
        <f>+Actuals!W292</f>
        <v>0</v>
      </c>
      <c r="AA22" s="12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/>
      <c r="AI22" s="38"/>
      <c r="AJ22" s="60"/>
      <c r="AK22" s="38"/>
      <c r="AL22" s="60"/>
      <c r="AM22" s="38"/>
      <c r="AN22" s="60"/>
      <c r="AO22" s="38"/>
      <c r="AP22" s="60"/>
      <c r="AQ22" s="38"/>
    </row>
    <row r="23" spans="1:43" x14ac:dyDescent="0.2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127">
        <f>+Actuals!W293</f>
        <v>0</v>
      </c>
      <c r="AA23" s="12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/>
      <c r="AI23" s="38"/>
      <c r="AJ23" s="60"/>
      <c r="AK23" s="38"/>
      <c r="AL23" s="60"/>
      <c r="AM23" s="38"/>
      <c r="AN23" s="60"/>
      <c r="AO23" s="38"/>
      <c r="AP23" s="60"/>
      <c r="AQ23" s="38"/>
    </row>
    <row r="24" spans="1:43" x14ac:dyDescent="0.2">
      <c r="A24" s="9"/>
      <c r="B24" s="7" t="s">
        <v>35</v>
      </c>
      <c r="C24" s="6"/>
      <c r="D24" s="61">
        <f>SUM(D19:D23)</f>
        <v>-16824273</v>
      </c>
      <c r="E24" s="39">
        <f>SUM(E19:E23)</f>
        <v>-33939432.990000002</v>
      </c>
      <c r="F24" s="61">
        <f t="shared" ref="F24:X24" si="5">SUM(F19:F23)</f>
        <v>0</v>
      </c>
      <c r="G24" s="39">
        <f t="shared" si="5"/>
        <v>-414451.99</v>
      </c>
      <c r="H24" s="61">
        <f t="shared" si="5"/>
        <v>-18376198</v>
      </c>
      <c r="I24" s="39">
        <f t="shared" si="5"/>
        <v>-36704039</v>
      </c>
      <c r="J24" s="61">
        <f t="shared" si="5"/>
        <v>-304392</v>
      </c>
      <c r="K24" s="148">
        <f t="shared" si="5"/>
        <v>-631793</v>
      </c>
      <c r="L24" s="61">
        <f t="shared" si="5"/>
        <v>-7500</v>
      </c>
      <c r="M24" s="39">
        <f t="shared" si="5"/>
        <v>-16178</v>
      </c>
      <c r="N24" s="61">
        <f t="shared" si="5"/>
        <v>1863817</v>
      </c>
      <c r="O24" s="39">
        <f t="shared" si="5"/>
        <v>3827029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A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6"/>
        <v>-1633020</v>
      </c>
      <c r="AA24" s="39">
        <f t="shared" si="6"/>
        <v>-3390920</v>
      </c>
      <c r="AB24" s="61">
        <f t="shared" ref="AB24:AQ24" si="7">SUM(AB19:AB23)</f>
        <v>0</v>
      </c>
      <c r="AC24" s="39">
        <f t="shared" si="7"/>
        <v>0</v>
      </c>
      <c r="AD24" s="61">
        <f t="shared" si="7"/>
        <v>1633020</v>
      </c>
      <c r="AE24" s="39">
        <f t="shared" si="7"/>
        <v>3390920</v>
      </c>
      <c r="AF24" s="61">
        <f>SUM(AF19:AF23)</f>
        <v>0</v>
      </c>
      <c r="AG24" s="39">
        <f>SUM(AG19:AG23)</f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</row>
    <row r="25" spans="1:4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127">
        <f>+Actuals!W294</f>
        <v>0</v>
      </c>
      <c r="AA27" s="12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/>
      <c r="AI27" s="38"/>
      <c r="AJ27" s="60"/>
      <c r="AK27" s="38"/>
      <c r="AL27" s="60"/>
      <c r="AM27" s="38"/>
      <c r="AN27" s="60"/>
      <c r="AO27" s="38"/>
      <c r="AP27" s="60"/>
      <c r="AQ27" s="38"/>
    </row>
    <row r="28" spans="1:43" x14ac:dyDescent="0.2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127">
        <f>+Actuals!W295</f>
        <v>0</v>
      </c>
      <c r="AA28" s="12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/>
      <c r="AI28" s="38"/>
      <c r="AJ28" s="60"/>
      <c r="AK28" s="38"/>
      <c r="AL28" s="60"/>
      <c r="AM28" s="38"/>
      <c r="AN28" s="60"/>
      <c r="AO28" s="38"/>
      <c r="AP28" s="60"/>
      <c r="AQ28" s="38"/>
    </row>
    <row r="29" spans="1:43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 t="shared" ref="Y29:AQ29" si="9">SUM(Y27:Y28)</f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</row>
    <row r="30" spans="1:4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">
      <c r="A32" s="9">
        <v>13</v>
      </c>
      <c r="B32" s="7"/>
      <c r="C32" s="18" t="s">
        <v>41</v>
      </c>
      <c r="D32" s="60">
        <f t="shared" ref="D32:E35" si="10">SUM(F32,H32,J32,L32,N32,P32,R32,T32,V32,X32,Z32,AB32,AD32,AF32)</f>
        <v>0</v>
      </c>
      <c r="E32" s="38">
        <f t="shared" si="10"/>
        <v>0</v>
      </c>
      <c r="F32" s="64">
        <f>'TIE-OUT'!V32+RECLASS!V32</f>
        <v>0</v>
      </c>
      <c r="G32" s="68">
        <f>'TIE-OUT'!W32+RECLASS!W32</f>
        <v>0</v>
      </c>
      <c r="H32" s="60">
        <v>3551556</v>
      </c>
      <c r="I32" s="38">
        <v>8559250</v>
      </c>
      <c r="J32" s="60">
        <v>-1062822</v>
      </c>
      <c r="K32" s="147">
        <v>-2735612</v>
      </c>
      <c r="L32" s="60">
        <v>-2488734</v>
      </c>
      <c r="M32" s="38">
        <v>-5823638</v>
      </c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127">
        <f>+Actuals!W296</f>
        <v>0</v>
      </c>
      <c r="AA32" s="12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/>
      <c r="AI32" s="38"/>
      <c r="AJ32" s="60"/>
      <c r="AK32" s="38"/>
      <c r="AL32" s="60"/>
      <c r="AM32" s="38"/>
      <c r="AN32" s="60"/>
      <c r="AO32" s="38"/>
      <c r="AP32" s="60"/>
      <c r="AQ32" s="38"/>
    </row>
    <row r="33" spans="1:43" x14ac:dyDescent="0.2">
      <c r="A33" s="9">
        <v>14</v>
      </c>
      <c r="B33" s="7"/>
      <c r="C33" s="18" t="s">
        <v>42</v>
      </c>
      <c r="D33" s="60">
        <f t="shared" si="10"/>
        <v>0</v>
      </c>
      <c r="E33" s="38">
        <f t="shared" si="10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127">
        <f>+Actuals!W297</f>
        <v>0</v>
      </c>
      <c r="AA33" s="12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/>
      <c r="AI33" s="38"/>
      <c r="AJ33" s="60"/>
      <c r="AK33" s="38"/>
      <c r="AL33" s="60"/>
      <c r="AM33" s="38"/>
      <c r="AN33" s="60"/>
      <c r="AO33" s="38"/>
      <c r="AP33" s="60"/>
      <c r="AQ33" s="38"/>
    </row>
    <row r="34" spans="1:43" x14ac:dyDescent="0.2">
      <c r="A34" s="9">
        <v>15</v>
      </c>
      <c r="B34" s="7"/>
      <c r="C34" s="18" t="s">
        <v>43</v>
      </c>
      <c r="D34" s="60">
        <f t="shared" si="10"/>
        <v>0</v>
      </c>
      <c r="E34" s="38">
        <f t="shared" si="10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127">
        <f>+Actuals!W298</f>
        <v>0</v>
      </c>
      <c r="AA34" s="12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/>
      <c r="AI34" s="38"/>
      <c r="AJ34" s="60"/>
      <c r="AK34" s="38"/>
      <c r="AL34" s="60"/>
      <c r="AM34" s="38"/>
      <c r="AN34" s="60"/>
      <c r="AO34" s="38"/>
      <c r="AP34" s="60"/>
      <c r="AQ34" s="38"/>
    </row>
    <row r="35" spans="1:43" x14ac:dyDescent="0.2">
      <c r="A35" s="9">
        <v>16</v>
      </c>
      <c r="B35" s="7"/>
      <c r="C35" s="18" t="s">
        <v>44</v>
      </c>
      <c r="D35" s="60">
        <f t="shared" si="10"/>
        <v>1147155</v>
      </c>
      <c r="E35" s="38">
        <f t="shared" si="10"/>
        <v>2313812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/>
      <c r="O35" s="38"/>
      <c r="P35" s="60">
        <v>1147155</v>
      </c>
      <c r="Q35" s="38">
        <v>2313812</v>
      </c>
      <c r="R35" s="60"/>
      <c r="S35" s="38"/>
      <c r="T35" s="60"/>
      <c r="U35" s="38"/>
      <c r="V35" s="60"/>
      <c r="W35" s="38"/>
      <c r="X35" s="60"/>
      <c r="Y35" s="38"/>
      <c r="Z35" s="127">
        <f>+Actuals!W299</f>
        <v>0</v>
      </c>
      <c r="AA35" s="12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/>
      <c r="AI35" s="38"/>
      <c r="AJ35" s="60"/>
      <c r="AK35" s="38"/>
      <c r="AL35" s="60"/>
      <c r="AM35" s="38"/>
      <c r="AN35" s="60"/>
      <c r="AO35" s="38"/>
      <c r="AP35" s="60"/>
      <c r="AQ35" s="38"/>
    </row>
    <row r="36" spans="1:43" x14ac:dyDescent="0.2">
      <c r="A36" s="9"/>
      <c r="B36" s="7" t="s">
        <v>45</v>
      </c>
      <c r="C36" s="6"/>
      <c r="D36" s="61">
        <f>SUM(D32:D35)</f>
        <v>1147155</v>
      </c>
      <c r="E36" s="39">
        <f>SUM(E32:E35)</f>
        <v>2313812</v>
      </c>
      <c r="F36" s="61">
        <f t="shared" ref="F36:X36" si="11">SUM(F32:F35)</f>
        <v>0</v>
      </c>
      <c r="G36" s="39">
        <f t="shared" si="11"/>
        <v>0</v>
      </c>
      <c r="H36" s="61">
        <f t="shared" si="11"/>
        <v>3551556</v>
      </c>
      <c r="I36" s="39">
        <f t="shared" si="11"/>
        <v>8559250</v>
      </c>
      <c r="J36" s="61">
        <f t="shared" si="11"/>
        <v>-1062822</v>
      </c>
      <c r="K36" s="148">
        <f t="shared" si="11"/>
        <v>-2735612</v>
      </c>
      <c r="L36" s="61">
        <f t="shared" si="11"/>
        <v>-2488734</v>
      </c>
      <c r="M36" s="39">
        <f t="shared" si="11"/>
        <v>-5823638</v>
      </c>
      <c r="N36" s="61">
        <f t="shared" si="11"/>
        <v>0</v>
      </c>
      <c r="O36" s="39">
        <f t="shared" si="11"/>
        <v>0</v>
      </c>
      <c r="P36" s="61">
        <f t="shared" si="11"/>
        <v>1147155</v>
      </c>
      <c r="Q36" s="39">
        <f t="shared" si="11"/>
        <v>2313812</v>
      </c>
      <c r="R36" s="61">
        <f t="shared" si="11"/>
        <v>0</v>
      </c>
      <c r="S36" s="39">
        <f t="shared" si="11"/>
        <v>0</v>
      </c>
      <c r="T36" s="61">
        <f t="shared" si="11"/>
        <v>0</v>
      </c>
      <c r="U36" s="39">
        <f t="shared" ref="U36:AA36" si="12">SUM(U32:U35)</f>
        <v>0</v>
      </c>
      <c r="V36" s="61">
        <f t="shared" si="11"/>
        <v>0</v>
      </c>
      <c r="W36" s="39">
        <f t="shared" si="12"/>
        <v>0</v>
      </c>
      <c r="X36" s="61">
        <f t="shared" si="11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>SUM(AF32:AF35)</f>
        <v>0</v>
      </c>
      <c r="AG36" s="39">
        <f>SUM(AG32:AG35)</f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</row>
    <row r="37" spans="1:4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">
      <c r="A39" s="9">
        <v>17</v>
      </c>
      <c r="B39" s="7"/>
      <c r="C39" s="18" t="s">
        <v>47</v>
      </c>
      <c r="D39" s="60">
        <f t="shared" ref="D39:E41" si="14">SUM(F39,H39,J39,L39,N39,P39,R39,T39,V39,X39,Z39,AB39,AD39,AF39)</f>
        <v>0</v>
      </c>
      <c r="E39" s="38">
        <f t="shared" si="14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127">
        <f>+Actuals!W300</f>
        <v>0</v>
      </c>
      <c r="AA39" s="12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/>
      <c r="AI39" s="38"/>
      <c r="AJ39" s="60"/>
      <c r="AK39" s="38"/>
      <c r="AL39" s="60"/>
      <c r="AM39" s="38"/>
      <c r="AN39" s="60"/>
      <c r="AO39" s="38"/>
      <c r="AP39" s="60"/>
      <c r="AQ39" s="38"/>
    </row>
    <row r="40" spans="1:43" ht="22.5" customHeight="1" x14ac:dyDescent="0.2">
      <c r="A40" s="9">
        <v>18</v>
      </c>
      <c r="B40" s="7"/>
      <c r="C40" s="18" t="s">
        <v>48</v>
      </c>
      <c r="D40" s="60">
        <f t="shared" si="14"/>
        <v>0</v>
      </c>
      <c r="E40" s="38">
        <f t="shared" si="14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127">
        <f>+Actuals!W301</f>
        <v>0</v>
      </c>
      <c r="AA40" s="12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/>
      <c r="AI40" s="38"/>
      <c r="AJ40" s="60"/>
      <c r="AK40" s="38"/>
      <c r="AL40" s="60"/>
      <c r="AM40" s="38"/>
      <c r="AN40" s="60"/>
      <c r="AO40" s="38"/>
      <c r="AP40" s="60"/>
      <c r="AQ40" s="38"/>
    </row>
    <row r="41" spans="1:43" x14ac:dyDescent="0.2">
      <c r="A41" s="9">
        <v>19</v>
      </c>
      <c r="B41" s="7"/>
      <c r="C41" s="18" t="s">
        <v>49</v>
      </c>
      <c r="D41" s="60">
        <f t="shared" si="14"/>
        <v>0</v>
      </c>
      <c r="E41" s="38">
        <f t="shared" si="14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127">
        <f>+Actuals!W302</f>
        <v>0</v>
      </c>
      <c r="AA41" s="12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/>
      <c r="AI41" s="38"/>
      <c r="AJ41" s="60"/>
      <c r="AK41" s="38"/>
      <c r="AL41" s="60"/>
      <c r="AM41" s="38"/>
      <c r="AN41" s="60"/>
      <c r="AO41" s="38"/>
      <c r="AP41" s="60"/>
      <c r="AQ41" s="38"/>
    </row>
    <row r="42" spans="1:4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X42" si="15">SUM(F40:F41)</f>
        <v>0</v>
      </c>
      <c r="G42" s="39">
        <f t="shared" si="15"/>
        <v>0</v>
      </c>
      <c r="H42" s="61">
        <f t="shared" si="15"/>
        <v>0</v>
      </c>
      <c r="I42" s="39">
        <f t="shared" si="15"/>
        <v>0</v>
      </c>
      <c r="J42" s="61">
        <f t="shared" si="15"/>
        <v>0</v>
      </c>
      <c r="K42" s="148">
        <f t="shared" si="15"/>
        <v>0</v>
      </c>
      <c r="L42" s="61">
        <f t="shared" si="15"/>
        <v>0</v>
      </c>
      <c r="M42" s="39">
        <f t="shared" si="15"/>
        <v>0</v>
      </c>
      <c r="N42" s="61">
        <f t="shared" si="15"/>
        <v>0</v>
      </c>
      <c r="O42" s="39">
        <f t="shared" si="15"/>
        <v>0</v>
      </c>
      <c r="P42" s="61">
        <f t="shared" si="15"/>
        <v>0</v>
      </c>
      <c r="Q42" s="39">
        <f t="shared" si="15"/>
        <v>0</v>
      </c>
      <c r="R42" s="61">
        <f t="shared" si="15"/>
        <v>0</v>
      </c>
      <c r="S42" s="39">
        <f t="shared" si="15"/>
        <v>0</v>
      </c>
      <c r="T42" s="61">
        <f t="shared" si="15"/>
        <v>0</v>
      </c>
      <c r="U42" s="39">
        <f t="shared" ref="U42:AA42" si="16">SUM(U40:U41)</f>
        <v>0</v>
      </c>
      <c r="V42" s="61">
        <f t="shared" si="15"/>
        <v>0</v>
      </c>
      <c r="W42" s="39">
        <f t="shared" si="16"/>
        <v>0</v>
      </c>
      <c r="X42" s="61">
        <f t="shared" si="15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</row>
    <row r="43" spans="1:43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X43" si="18">F42+F39</f>
        <v>0</v>
      </c>
      <c r="G43" s="39">
        <f t="shared" si="18"/>
        <v>0</v>
      </c>
      <c r="H43" s="61">
        <f t="shared" si="18"/>
        <v>0</v>
      </c>
      <c r="I43" s="39">
        <f t="shared" si="18"/>
        <v>0</v>
      </c>
      <c r="J43" s="61">
        <f t="shared" si="18"/>
        <v>0</v>
      </c>
      <c r="K43" s="148">
        <f t="shared" si="18"/>
        <v>0</v>
      </c>
      <c r="L43" s="61">
        <f t="shared" si="18"/>
        <v>0</v>
      </c>
      <c r="M43" s="39">
        <f t="shared" si="18"/>
        <v>0</v>
      </c>
      <c r="N43" s="61">
        <f t="shared" si="18"/>
        <v>0</v>
      </c>
      <c r="O43" s="39">
        <f t="shared" si="18"/>
        <v>0</v>
      </c>
      <c r="P43" s="61">
        <f t="shared" si="18"/>
        <v>0</v>
      </c>
      <c r="Q43" s="39">
        <f t="shared" si="18"/>
        <v>0</v>
      </c>
      <c r="R43" s="61">
        <f t="shared" si="18"/>
        <v>0</v>
      </c>
      <c r="S43" s="39">
        <f t="shared" si="18"/>
        <v>0</v>
      </c>
      <c r="T43" s="61">
        <f t="shared" si="18"/>
        <v>0</v>
      </c>
      <c r="U43" s="39">
        <f t="shared" ref="U43:AA43" si="19">U42+U39</f>
        <v>0</v>
      </c>
      <c r="V43" s="61">
        <f t="shared" si="18"/>
        <v>0</v>
      </c>
      <c r="W43" s="39">
        <f t="shared" si="19"/>
        <v>0</v>
      </c>
      <c r="X43" s="61">
        <f t="shared" si="18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>AF42+AF39</f>
        <v>0</v>
      </c>
      <c r="AG43" s="39">
        <f>AG42+AG39</f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</row>
    <row r="44" spans="1:4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127">
        <f>+Actuals!W303</f>
        <v>0</v>
      </c>
      <c r="AA45" s="12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/>
      <c r="AI45" s="38"/>
      <c r="AJ45" s="60"/>
      <c r="AK45" s="38"/>
      <c r="AL45" s="60"/>
      <c r="AM45" s="38"/>
      <c r="AN45" s="60"/>
      <c r="AO45" s="38"/>
      <c r="AP45" s="60"/>
      <c r="AQ45" s="38"/>
    </row>
    <row r="46" spans="1:4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127">
        <f>+Actuals!W304</f>
        <v>0</v>
      </c>
      <c r="AA47" s="12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/>
      <c r="AI47" s="38"/>
      <c r="AJ47" s="60"/>
      <c r="AK47" s="38"/>
      <c r="AL47" s="60"/>
      <c r="AM47" s="38"/>
      <c r="AN47" s="60"/>
      <c r="AO47" s="38"/>
      <c r="AP47" s="60"/>
      <c r="AQ47" s="38"/>
    </row>
    <row r="48" spans="1:4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">
      <c r="A49" s="9">
        <v>22</v>
      </c>
      <c r="B49" s="11" t="s">
        <v>54</v>
      </c>
      <c r="C49" s="6"/>
      <c r="D49" s="60">
        <f>SUM(F49,H49,J49,L49,N49,P49,R49,T49,V49,X49,Z49,AB49,AD49,AF49)</f>
        <v>846925</v>
      </c>
      <c r="E49" s="38">
        <f>SUM(G49,I49,K49,M49,O49,Q49,S49,U49,W49,Y49,AA49,AC49,AE49,AG49)</f>
        <v>2041089.5799999998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1361663</v>
      </c>
      <c r="K49" s="147">
        <v>3281608</v>
      </c>
      <c r="L49" s="60">
        <v>2496234</v>
      </c>
      <c r="M49" s="38">
        <v>6015924</v>
      </c>
      <c r="N49" s="60">
        <v>-1863817</v>
      </c>
      <c r="O49" s="38">
        <v>-4491799</v>
      </c>
      <c r="P49" s="60">
        <v>-1145993</v>
      </c>
      <c r="Q49" s="38">
        <v>-2761843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127">
        <f>+Actuals!W305</f>
        <v>1162</v>
      </c>
      <c r="AA49" s="128">
        <f>+Actuals!X305</f>
        <v>2800.42</v>
      </c>
      <c r="AB49" s="60">
        <f>+Actuals!Y305</f>
        <v>0</v>
      </c>
      <c r="AC49" s="38">
        <f>+Actuals!Z305</f>
        <v>0</v>
      </c>
      <c r="AD49" s="60">
        <f>+Actuals!AA305</f>
        <v>-2324</v>
      </c>
      <c r="AE49" s="38">
        <f>+Actuals!AB305</f>
        <v>-5600.84</v>
      </c>
      <c r="AF49" s="60">
        <f>+Actuals!AC305</f>
        <v>0</v>
      </c>
      <c r="AG49" s="38">
        <f>+Actuals!AD305</f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</row>
    <row r="50" spans="1:4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127">
        <f>+Actuals!W306</f>
        <v>0</v>
      </c>
      <c r="AA51" s="12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</row>
    <row r="52" spans="1:43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1036577</v>
      </c>
      <c r="F54" s="64">
        <f>'TIE-OUT'!V54+RECLASS!V54</f>
        <v>0</v>
      </c>
      <c r="G54" s="68">
        <f>'TIE-OUT'!W54+RECLASS!W54</f>
        <v>0</v>
      </c>
      <c r="H54" s="60"/>
      <c r="I54" s="38">
        <v>-620000</v>
      </c>
      <c r="J54" s="60"/>
      <c r="K54" s="147">
        <v>620000</v>
      </c>
      <c r="L54" s="60"/>
      <c r="M54" s="38"/>
      <c r="N54" s="60"/>
      <c r="O54" s="38"/>
      <c r="P54" s="60"/>
      <c r="Q54" s="38"/>
      <c r="R54" s="60"/>
      <c r="S54" s="38">
        <v>1036577</v>
      </c>
      <c r="T54" s="60"/>
      <c r="U54" s="38"/>
      <c r="V54" s="60"/>
      <c r="W54" s="38"/>
      <c r="X54" s="60"/>
      <c r="Y54" s="38"/>
      <c r="Z54" s="127">
        <f>+Actuals!W307</f>
        <v>0</v>
      </c>
      <c r="AA54" s="12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/>
      <c r="AI54" s="38"/>
      <c r="AJ54" s="60"/>
      <c r="AK54" s="38"/>
      <c r="AL54" s="60"/>
      <c r="AM54" s="38"/>
      <c r="AN54" s="60"/>
      <c r="AO54" s="38"/>
      <c r="AP54" s="60"/>
      <c r="AQ54" s="38"/>
    </row>
    <row r="55" spans="1:43" x14ac:dyDescent="0.2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-1212728</v>
      </c>
      <c r="F55" s="81">
        <f>'TIE-OUT'!V55+RECLASS!V55</f>
        <v>0</v>
      </c>
      <c r="G55" s="82">
        <f>'TIE-OUT'!W55+RECLASS!W55</f>
        <v>-1212728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127">
        <f>+Actuals!W308</f>
        <v>0</v>
      </c>
      <c r="AA55" s="12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/>
      <c r="AI55" s="38"/>
      <c r="AJ55" s="60"/>
      <c r="AK55" s="38"/>
      <c r="AL55" s="60"/>
      <c r="AM55" s="38"/>
      <c r="AN55" s="60"/>
      <c r="AO55" s="38"/>
      <c r="AP55" s="60"/>
      <c r="AQ55" s="38"/>
    </row>
    <row r="56" spans="1:43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-176151</v>
      </c>
      <c r="F56" s="61">
        <f t="shared" ref="F56:X56" si="21">SUM(F54:F55)</f>
        <v>0</v>
      </c>
      <c r="G56" s="39">
        <f t="shared" si="21"/>
        <v>-1212728</v>
      </c>
      <c r="H56" s="61">
        <f t="shared" si="21"/>
        <v>0</v>
      </c>
      <c r="I56" s="39">
        <f t="shared" si="21"/>
        <v>-620000</v>
      </c>
      <c r="J56" s="61">
        <f t="shared" si="21"/>
        <v>0</v>
      </c>
      <c r="K56" s="148">
        <f t="shared" si="21"/>
        <v>620000</v>
      </c>
      <c r="L56" s="61">
        <f t="shared" si="21"/>
        <v>0</v>
      </c>
      <c r="M56" s="39">
        <f t="shared" si="21"/>
        <v>0</v>
      </c>
      <c r="N56" s="61">
        <f t="shared" si="21"/>
        <v>0</v>
      </c>
      <c r="O56" s="39">
        <f t="shared" si="21"/>
        <v>0</v>
      </c>
      <c r="P56" s="61">
        <f t="shared" si="21"/>
        <v>0</v>
      </c>
      <c r="Q56" s="39">
        <f t="shared" si="21"/>
        <v>0</v>
      </c>
      <c r="R56" s="61">
        <f t="shared" si="21"/>
        <v>0</v>
      </c>
      <c r="S56" s="39">
        <f t="shared" si="21"/>
        <v>1036577</v>
      </c>
      <c r="T56" s="61">
        <f t="shared" si="21"/>
        <v>0</v>
      </c>
      <c r="U56" s="39">
        <f>SUM(U54:U55)</f>
        <v>0</v>
      </c>
      <c r="V56" s="61">
        <f t="shared" si="21"/>
        <v>0</v>
      </c>
      <c r="W56" s="39">
        <f>SUM(W54:W55)</f>
        <v>0</v>
      </c>
      <c r="X56" s="61">
        <f t="shared" si="21"/>
        <v>0</v>
      </c>
      <c r="Y56" s="39">
        <f t="shared" ref="Y56:AQ56" si="22">SUM(Y54:Y55)</f>
        <v>0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si="22"/>
        <v>0</v>
      </c>
      <c r="AF56" s="61">
        <f>SUM(AF54:AF55)</f>
        <v>0</v>
      </c>
      <c r="AG56" s="39">
        <f>SUM(AG54:AG55)</f>
        <v>0</v>
      </c>
      <c r="AH56" s="61">
        <f t="shared" si="22"/>
        <v>0</v>
      </c>
      <c r="AI56" s="39">
        <f t="shared" si="22"/>
        <v>0</v>
      </c>
      <c r="AJ56" s="61">
        <f t="shared" si="22"/>
        <v>0</v>
      </c>
      <c r="AK56" s="39">
        <f t="shared" si="22"/>
        <v>0</v>
      </c>
      <c r="AL56" s="61">
        <f t="shared" si="22"/>
        <v>0</v>
      </c>
      <c r="AM56" s="39">
        <f t="shared" si="22"/>
        <v>0</v>
      </c>
      <c r="AN56" s="61">
        <f t="shared" si="22"/>
        <v>0</v>
      </c>
      <c r="AO56" s="39">
        <f t="shared" si="22"/>
        <v>0</v>
      </c>
      <c r="AP56" s="61">
        <f t="shared" si="22"/>
        <v>0</v>
      </c>
      <c r="AQ56" s="39">
        <f t="shared" si="22"/>
        <v>0</v>
      </c>
    </row>
    <row r="57" spans="1:4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127">
        <f>+Actuals!W309</f>
        <v>0</v>
      </c>
      <c r="AA59" s="12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/>
      <c r="AI59" s="38"/>
      <c r="AJ59" s="60"/>
      <c r="AK59" s="38"/>
      <c r="AL59" s="60"/>
      <c r="AM59" s="38"/>
      <c r="AN59" s="60"/>
      <c r="AO59" s="38"/>
      <c r="AP59" s="60"/>
      <c r="AQ59" s="38"/>
    </row>
    <row r="60" spans="1:43" x14ac:dyDescent="0.2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127">
        <f>+Actuals!W310</f>
        <v>0</v>
      </c>
      <c r="AA60" s="12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/>
      <c r="AI60" s="38"/>
      <c r="AJ60" s="60"/>
      <c r="AK60" s="38"/>
      <c r="AL60" s="60"/>
      <c r="AM60" s="38"/>
      <c r="AN60" s="60"/>
      <c r="AO60" s="38"/>
      <c r="AP60" s="60"/>
      <c r="AQ60" s="38"/>
    </row>
    <row r="61" spans="1:43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X61" si="23">SUM(F59:F60)</f>
        <v>0</v>
      </c>
      <c r="G61" s="39">
        <f t="shared" si="23"/>
        <v>0</v>
      </c>
      <c r="H61" s="61">
        <f t="shared" si="23"/>
        <v>0</v>
      </c>
      <c r="I61" s="39">
        <f t="shared" si="23"/>
        <v>0</v>
      </c>
      <c r="J61" s="61">
        <f t="shared" si="23"/>
        <v>0</v>
      </c>
      <c r="K61" s="148">
        <f t="shared" si="23"/>
        <v>0</v>
      </c>
      <c r="L61" s="61">
        <f t="shared" si="23"/>
        <v>0</v>
      </c>
      <c r="M61" s="39">
        <f t="shared" si="23"/>
        <v>0</v>
      </c>
      <c r="N61" s="61">
        <f t="shared" si="23"/>
        <v>0</v>
      </c>
      <c r="O61" s="39">
        <f t="shared" si="23"/>
        <v>0</v>
      </c>
      <c r="P61" s="61">
        <f t="shared" si="23"/>
        <v>0</v>
      </c>
      <c r="Q61" s="39">
        <f t="shared" si="23"/>
        <v>0</v>
      </c>
      <c r="R61" s="61">
        <f t="shared" si="23"/>
        <v>0</v>
      </c>
      <c r="S61" s="39">
        <f t="shared" si="23"/>
        <v>0</v>
      </c>
      <c r="T61" s="61">
        <f t="shared" si="23"/>
        <v>0</v>
      </c>
      <c r="U61" s="39">
        <f>SUM(U59:U60)</f>
        <v>0</v>
      </c>
      <c r="V61" s="61">
        <f t="shared" si="23"/>
        <v>0</v>
      </c>
      <c r="W61" s="39">
        <f>SUM(W59:W60)</f>
        <v>0</v>
      </c>
      <c r="X61" s="61">
        <f t="shared" si="23"/>
        <v>0</v>
      </c>
      <c r="Y61" s="39">
        <f t="shared" ref="Y61:AQ61" si="24">SUM(Y59:Y60)</f>
        <v>0</v>
      </c>
      <c r="Z61" s="61">
        <f t="shared" si="24"/>
        <v>0</v>
      </c>
      <c r="AA61" s="39">
        <f t="shared" si="24"/>
        <v>0</v>
      </c>
      <c r="AB61" s="61">
        <f t="shared" si="24"/>
        <v>0</v>
      </c>
      <c r="AC61" s="39">
        <f t="shared" si="24"/>
        <v>0</v>
      </c>
      <c r="AD61" s="61">
        <f t="shared" si="24"/>
        <v>0</v>
      </c>
      <c r="AE61" s="39">
        <f t="shared" si="24"/>
        <v>0</v>
      </c>
      <c r="AF61" s="61">
        <f>SUM(AF59:AF60)</f>
        <v>0</v>
      </c>
      <c r="AG61" s="39">
        <f>SUM(AG59:AG60)</f>
        <v>0</v>
      </c>
      <c r="AH61" s="61">
        <f t="shared" si="24"/>
        <v>0</v>
      </c>
      <c r="AI61" s="39">
        <f t="shared" si="24"/>
        <v>0</v>
      </c>
      <c r="AJ61" s="61">
        <f t="shared" si="24"/>
        <v>0</v>
      </c>
      <c r="AK61" s="39">
        <f t="shared" si="24"/>
        <v>0</v>
      </c>
      <c r="AL61" s="61">
        <f t="shared" si="24"/>
        <v>0</v>
      </c>
      <c r="AM61" s="39">
        <f t="shared" si="24"/>
        <v>0</v>
      </c>
      <c r="AN61" s="61">
        <f t="shared" si="24"/>
        <v>0</v>
      </c>
      <c r="AO61" s="39">
        <f t="shared" si="24"/>
        <v>0</v>
      </c>
      <c r="AP61" s="61">
        <f t="shared" si="24"/>
        <v>0</v>
      </c>
      <c r="AQ61" s="39">
        <f t="shared" si="24"/>
        <v>0</v>
      </c>
    </row>
    <row r="62" spans="1:4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127">
        <f>+Actuals!W311</f>
        <v>0</v>
      </c>
      <c r="AA64" s="12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/>
      <c r="AI64" s="38"/>
      <c r="AJ64" s="60"/>
      <c r="AK64" s="38"/>
      <c r="AL64" s="60"/>
      <c r="AM64" s="38"/>
      <c r="AN64" s="60"/>
      <c r="AO64" s="38"/>
      <c r="AP64" s="60"/>
      <c r="AQ64" s="38"/>
    </row>
    <row r="65" spans="1:43" x14ac:dyDescent="0.2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127">
        <f>+Actuals!W312</f>
        <v>0</v>
      </c>
      <c r="AA65" s="12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/>
      <c r="AI65" s="38"/>
      <c r="AJ65" s="60"/>
      <c r="AK65" s="38"/>
      <c r="AL65" s="60"/>
      <c r="AM65" s="38"/>
      <c r="AN65" s="60"/>
      <c r="AO65" s="38"/>
      <c r="AP65" s="60"/>
      <c r="AQ65" s="38"/>
    </row>
    <row r="66" spans="1:4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X66" si="25">SUM(F64:F65)</f>
        <v>0</v>
      </c>
      <c r="G66" s="39">
        <f t="shared" si="25"/>
        <v>0</v>
      </c>
      <c r="H66" s="61">
        <f t="shared" si="25"/>
        <v>0</v>
      </c>
      <c r="I66" s="39">
        <f t="shared" si="25"/>
        <v>0</v>
      </c>
      <c r="J66" s="61">
        <f t="shared" si="25"/>
        <v>0</v>
      </c>
      <c r="K66" s="148">
        <f t="shared" si="25"/>
        <v>0</v>
      </c>
      <c r="L66" s="61">
        <f t="shared" si="25"/>
        <v>0</v>
      </c>
      <c r="M66" s="39">
        <f t="shared" si="25"/>
        <v>0</v>
      </c>
      <c r="N66" s="61">
        <f t="shared" si="25"/>
        <v>0</v>
      </c>
      <c r="O66" s="39">
        <f t="shared" si="25"/>
        <v>0</v>
      </c>
      <c r="P66" s="61">
        <f t="shared" si="25"/>
        <v>0</v>
      </c>
      <c r="Q66" s="39">
        <f t="shared" si="25"/>
        <v>0</v>
      </c>
      <c r="R66" s="61">
        <f t="shared" si="25"/>
        <v>0</v>
      </c>
      <c r="S66" s="39">
        <f t="shared" si="25"/>
        <v>0</v>
      </c>
      <c r="T66" s="61">
        <f t="shared" si="25"/>
        <v>0</v>
      </c>
      <c r="U66" s="39">
        <f>SUM(U64:U65)</f>
        <v>0</v>
      </c>
      <c r="V66" s="61">
        <f t="shared" si="25"/>
        <v>0</v>
      </c>
      <c r="W66" s="39">
        <f>SUM(W64:W65)</f>
        <v>0</v>
      </c>
      <c r="X66" s="61">
        <f t="shared" si="25"/>
        <v>0</v>
      </c>
      <c r="Y66" s="39">
        <f t="shared" ref="Y66:AQ66" si="26">SUM(Y64:Y65)</f>
        <v>0</v>
      </c>
      <c r="Z66" s="61">
        <f t="shared" si="26"/>
        <v>0</v>
      </c>
      <c r="AA66" s="39">
        <f t="shared" si="26"/>
        <v>0</v>
      </c>
      <c r="AB66" s="61">
        <f t="shared" si="26"/>
        <v>0</v>
      </c>
      <c r="AC66" s="39">
        <f t="shared" si="26"/>
        <v>0</v>
      </c>
      <c r="AD66" s="61">
        <f t="shared" si="26"/>
        <v>0</v>
      </c>
      <c r="AE66" s="39">
        <f t="shared" si="26"/>
        <v>0</v>
      </c>
      <c r="AF66" s="61">
        <f>SUM(AF64:AF65)</f>
        <v>0</v>
      </c>
      <c r="AG66" s="39">
        <f>SUM(AG64:AG65)</f>
        <v>0</v>
      </c>
      <c r="AH66" s="61">
        <f t="shared" si="26"/>
        <v>0</v>
      </c>
      <c r="AI66" s="39">
        <f t="shared" si="26"/>
        <v>0</v>
      </c>
      <c r="AJ66" s="61">
        <f t="shared" si="26"/>
        <v>0</v>
      </c>
      <c r="AK66" s="39">
        <f t="shared" si="26"/>
        <v>0</v>
      </c>
      <c r="AL66" s="61">
        <f t="shared" si="26"/>
        <v>0</v>
      </c>
      <c r="AM66" s="39">
        <f t="shared" si="26"/>
        <v>0</v>
      </c>
      <c r="AN66" s="61">
        <f t="shared" si="26"/>
        <v>0</v>
      </c>
      <c r="AO66" s="39">
        <f t="shared" si="26"/>
        <v>0</v>
      </c>
      <c r="AP66" s="61">
        <f t="shared" si="26"/>
        <v>0</v>
      </c>
      <c r="AQ66" s="39">
        <f t="shared" si="26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-744985</v>
      </c>
      <c r="F70" s="64">
        <f>'TIE-OUT'!V70+RECLASS!V70</f>
        <v>0</v>
      </c>
      <c r="G70" s="68">
        <f>'TIE-OUT'!W70+RECLASS!W70</f>
        <v>-213202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127">
        <f>+Actuals!W313</f>
        <v>0</v>
      </c>
      <c r="AA70" s="12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160">
        <v>-531783</v>
      </c>
      <c r="AF70" s="60">
        <f>+Actuals!AC313</f>
        <v>0</v>
      </c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</row>
    <row r="71" spans="1:43" x14ac:dyDescent="0.2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127">
        <f>+Actuals!W314</f>
        <v>0</v>
      </c>
      <c r="AA71" s="12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/>
      <c r="AI71" s="38"/>
      <c r="AJ71" s="60"/>
      <c r="AK71" s="38"/>
      <c r="AL71" s="60"/>
      <c r="AM71" s="38"/>
      <c r="AN71" s="60"/>
      <c r="AO71" s="38"/>
      <c r="AP71" s="60"/>
      <c r="AQ71" s="38"/>
    </row>
    <row r="72" spans="1:4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-744985</v>
      </c>
      <c r="F72" s="61">
        <f t="shared" ref="F72:X72" si="27">SUM(F70:F71)</f>
        <v>0</v>
      </c>
      <c r="G72" s="39">
        <f t="shared" si="27"/>
        <v>-213202</v>
      </c>
      <c r="H72" s="61">
        <f t="shared" si="27"/>
        <v>0</v>
      </c>
      <c r="I72" s="39">
        <f t="shared" si="27"/>
        <v>0</v>
      </c>
      <c r="J72" s="61">
        <f t="shared" si="27"/>
        <v>0</v>
      </c>
      <c r="K72" s="148">
        <f t="shared" si="27"/>
        <v>0</v>
      </c>
      <c r="L72" s="61">
        <f t="shared" si="27"/>
        <v>0</v>
      </c>
      <c r="M72" s="39">
        <f t="shared" si="27"/>
        <v>0</v>
      </c>
      <c r="N72" s="61">
        <f t="shared" si="27"/>
        <v>0</v>
      </c>
      <c r="O72" s="39">
        <f t="shared" si="27"/>
        <v>0</v>
      </c>
      <c r="P72" s="61">
        <f t="shared" si="27"/>
        <v>0</v>
      </c>
      <c r="Q72" s="39">
        <f t="shared" si="27"/>
        <v>0</v>
      </c>
      <c r="R72" s="61">
        <f t="shared" si="27"/>
        <v>0</v>
      </c>
      <c r="S72" s="39">
        <f t="shared" si="27"/>
        <v>0</v>
      </c>
      <c r="T72" s="61">
        <f t="shared" si="27"/>
        <v>0</v>
      </c>
      <c r="U72" s="39">
        <f t="shared" ref="U72:AA72" si="28">SUM(U70:U71)</f>
        <v>0</v>
      </c>
      <c r="V72" s="61">
        <f t="shared" si="27"/>
        <v>0</v>
      </c>
      <c r="W72" s="39">
        <f t="shared" si="28"/>
        <v>0</v>
      </c>
      <c r="X72" s="61">
        <f t="shared" si="27"/>
        <v>0</v>
      </c>
      <c r="Y72" s="39">
        <f t="shared" si="28"/>
        <v>0</v>
      </c>
      <c r="Z72" s="61">
        <f t="shared" si="28"/>
        <v>0</v>
      </c>
      <c r="AA72" s="39">
        <f t="shared" si="28"/>
        <v>0</v>
      </c>
      <c r="AB72" s="61">
        <f t="shared" ref="AB72:AQ72" si="29">SUM(AB70:AB71)</f>
        <v>0</v>
      </c>
      <c r="AC72" s="39">
        <f t="shared" si="29"/>
        <v>0</v>
      </c>
      <c r="AD72" s="61">
        <f t="shared" si="29"/>
        <v>0</v>
      </c>
      <c r="AE72" s="39">
        <f t="shared" si="29"/>
        <v>-531783</v>
      </c>
      <c r="AF72" s="61">
        <f>SUM(AF70:AF71)</f>
        <v>0</v>
      </c>
      <c r="AG72" s="39">
        <f>SUM(AG70:AG71)</f>
        <v>0</v>
      </c>
      <c r="AH72" s="61">
        <f t="shared" si="29"/>
        <v>0</v>
      </c>
      <c r="AI72" s="39">
        <f t="shared" si="29"/>
        <v>0</v>
      </c>
      <c r="AJ72" s="61">
        <f t="shared" si="29"/>
        <v>0</v>
      </c>
      <c r="AK72" s="39">
        <f t="shared" si="29"/>
        <v>0</v>
      </c>
      <c r="AL72" s="61">
        <f t="shared" si="29"/>
        <v>0</v>
      </c>
      <c r="AM72" s="39">
        <f t="shared" si="29"/>
        <v>0</v>
      </c>
      <c r="AN72" s="61">
        <f t="shared" si="29"/>
        <v>0</v>
      </c>
      <c r="AO72" s="39">
        <f t="shared" si="29"/>
        <v>0</v>
      </c>
      <c r="AP72" s="61">
        <f t="shared" si="29"/>
        <v>0</v>
      </c>
      <c r="AQ72" s="39">
        <f t="shared" si="29"/>
        <v>0</v>
      </c>
    </row>
    <row r="73" spans="1:43" x14ac:dyDescent="0.2">
      <c r="A73" s="9">
        <v>32</v>
      </c>
      <c r="B73" s="3"/>
      <c r="C73" s="10" t="s">
        <v>72</v>
      </c>
      <c r="D73" s="60">
        <f t="shared" ref="D73:D81" si="30">SUM(F73,H73,J73,L73,N73,P73,R73,T73,V73,X73,Z73,AB73,AD73,AF73)</f>
        <v>0</v>
      </c>
      <c r="E73" s="38">
        <f t="shared" ref="E73:E81" si="31">SUM(G73,I73,K73,M73,O73,Q73,S73,U73,W73,Y73,AA73,AC73,AE73,AG73)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127">
        <f>+Actuals!W315</f>
        <v>0</v>
      </c>
      <c r="AA73" s="12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/>
      <c r="AI73" s="38"/>
      <c r="AJ73" s="60"/>
      <c r="AK73" s="38"/>
      <c r="AL73" s="60"/>
      <c r="AM73" s="38"/>
      <c r="AN73" s="60"/>
      <c r="AO73" s="38"/>
      <c r="AP73" s="60"/>
      <c r="AQ73" s="38"/>
    </row>
    <row r="74" spans="1:43" x14ac:dyDescent="0.2">
      <c r="A74" s="9">
        <v>33</v>
      </c>
      <c r="B74" s="3"/>
      <c r="C74" s="10" t="s">
        <v>73</v>
      </c>
      <c r="D74" s="60">
        <f t="shared" si="30"/>
        <v>0</v>
      </c>
      <c r="E74" s="38">
        <f t="shared" si="31"/>
        <v>583328.22</v>
      </c>
      <c r="F74" s="60">
        <f>'TIE-OUT'!V74+RECLASS!V74</f>
        <v>0</v>
      </c>
      <c r="G74" s="60">
        <f>'TIE-OUT'!W74+RECLASS!W74</f>
        <v>583328.22</v>
      </c>
      <c r="H74" s="60"/>
      <c r="I74" s="38"/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127">
        <f>+Actuals!W316</f>
        <v>0</v>
      </c>
      <c r="AA74" s="12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/>
      <c r="AI74" s="38"/>
      <c r="AJ74" s="60"/>
      <c r="AK74" s="38"/>
      <c r="AL74" s="60"/>
      <c r="AM74" s="38"/>
      <c r="AN74" s="60"/>
      <c r="AO74" s="38"/>
      <c r="AP74" s="60"/>
      <c r="AQ74" s="38"/>
    </row>
    <row r="75" spans="1:43" x14ac:dyDescent="0.2">
      <c r="A75" s="9">
        <v>34</v>
      </c>
      <c r="B75" s="3"/>
      <c r="C75" s="10" t="s">
        <v>74</v>
      </c>
      <c r="D75" s="60">
        <f t="shared" si="30"/>
        <v>0</v>
      </c>
      <c r="E75" s="38">
        <f t="shared" si="31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127">
        <f>+Actuals!W317</f>
        <v>0</v>
      </c>
      <c r="AA75" s="12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/>
      <c r="AI75" s="38"/>
      <c r="AJ75" s="60"/>
      <c r="AK75" s="38"/>
      <c r="AL75" s="60"/>
      <c r="AM75" s="38"/>
      <c r="AN75" s="60"/>
      <c r="AO75" s="38"/>
      <c r="AP75" s="60"/>
      <c r="AQ75" s="38"/>
    </row>
    <row r="76" spans="1:43" x14ac:dyDescent="0.2">
      <c r="A76" s="9">
        <v>35</v>
      </c>
      <c r="B76" s="3"/>
      <c r="C76" s="10" t="s">
        <v>75</v>
      </c>
      <c r="D76" s="60">
        <f t="shared" si="30"/>
        <v>0</v>
      </c>
      <c r="E76" s="38">
        <f t="shared" si="31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127">
        <f>+Actuals!W318</f>
        <v>0</v>
      </c>
      <c r="AA76" s="12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/>
      <c r="AI76" s="38"/>
      <c r="AJ76" s="60"/>
      <c r="AK76" s="38"/>
      <c r="AL76" s="60"/>
      <c r="AM76" s="38"/>
      <c r="AN76" s="60"/>
      <c r="AO76" s="38"/>
      <c r="AP76" s="60"/>
      <c r="AQ76" s="38"/>
    </row>
    <row r="77" spans="1:43" x14ac:dyDescent="0.2">
      <c r="A77" s="9">
        <v>36</v>
      </c>
      <c r="B77" s="3"/>
      <c r="C77" s="10" t="s">
        <v>76</v>
      </c>
      <c r="D77" s="60">
        <f t="shared" si="30"/>
        <v>0</v>
      </c>
      <c r="E77" s="38">
        <f t="shared" si="31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127">
        <f>+Actuals!W319</f>
        <v>0</v>
      </c>
      <c r="AA77" s="12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/>
      <c r="AI77" s="38"/>
      <c r="AJ77" s="60"/>
      <c r="AK77" s="38"/>
      <c r="AL77" s="60"/>
      <c r="AM77" s="38"/>
      <c r="AN77" s="60"/>
      <c r="AO77" s="38"/>
      <c r="AP77" s="60"/>
      <c r="AQ77" s="38"/>
    </row>
    <row r="78" spans="1:43" x14ac:dyDescent="0.2">
      <c r="A78" s="9">
        <v>37</v>
      </c>
      <c r="B78" s="3"/>
      <c r="C78" s="10" t="s">
        <v>77</v>
      </c>
      <c r="D78" s="60">
        <f t="shared" si="30"/>
        <v>0</v>
      </c>
      <c r="E78" s="38">
        <f t="shared" si="31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127">
        <f>+Actuals!W320</f>
        <v>0</v>
      </c>
      <c r="AA78" s="12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/>
      <c r="AI78" s="38"/>
      <c r="AJ78" s="60"/>
      <c r="AK78" s="38"/>
      <c r="AL78" s="60"/>
      <c r="AM78" s="38"/>
      <c r="AN78" s="60"/>
      <c r="AO78" s="38"/>
      <c r="AP78" s="60"/>
      <c r="AQ78" s="38"/>
    </row>
    <row r="79" spans="1:43" x14ac:dyDescent="0.2">
      <c r="A79" s="9">
        <v>38</v>
      </c>
      <c r="B79" s="3"/>
      <c r="C79" s="10" t="s">
        <v>78</v>
      </c>
      <c r="D79" s="60">
        <f t="shared" si="30"/>
        <v>0</v>
      </c>
      <c r="E79" s="38">
        <f t="shared" si="31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127">
        <f>+Actuals!W321</f>
        <v>0</v>
      </c>
      <c r="AA79" s="12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/>
      <c r="AI79" s="38"/>
      <c r="AJ79" s="60"/>
      <c r="AK79" s="38"/>
      <c r="AL79" s="60"/>
      <c r="AM79" s="38"/>
      <c r="AN79" s="60"/>
      <c r="AO79" s="38"/>
      <c r="AP79" s="60"/>
      <c r="AQ79" s="38"/>
    </row>
    <row r="80" spans="1:43" x14ac:dyDescent="0.2">
      <c r="A80" s="9">
        <v>39</v>
      </c>
      <c r="B80" s="3"/>
      <c r="C80" s="10" t="s">
        <v>79</v>
      </c>
      <c r="D80" s="60">
        <f t="shared" si="30"/>
        <v>0</v>
      </c>
      <c r="E80" s="38">
        <f t="shared" si="31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127">
        <f>+Actuals!W322</f>
        <v>0</v>
      </c>
      <c r="AA80" s="12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/>
      <c r="AI80" s="38"/>
      <c r="AJ80" s="60"/>
      <c r="AK80" s="38"/>
      <c r="AL80" s="60"/>
      <c r="AM80" s="38"/>
      <c r="AN80" s="60"/>
      <c r="AO80" s="38"/>
      <c r="AP80" s="60"/>
      <c r="AQ80" s="38"/>
    </row>
    <row r="81" spans="1:79" x14ac:dyDescent="0.2">
      <c r="A81" s="9">
        <v>40</v>
      </c>
      <c r="B81" s="3"/>
      <c r="C81" s="10" t="s">
        <v>80</v>
      </c>
      <c r="D81" s="60">
        <f t="shared" si="30"/>
        <v>0</v>
      </c>
      <c r="E81" s="38">
        <f t="shared" si="31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127">
        <f>+Actuals!W323</f>
        <v>0</v>
      </c>
      <c r="AA81" s="12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/>
      <c r="AI81" s="38"/>
      <c r="AJ81" s="60"/>
      <c r="AK81" s="38"/>
      <c r="AL81" s="60"/>
      <c r="AM81" s="38"/>
      <c r="AN81" s="60"/>
      <c r="AO81" s="38"/>
      <c r="AP81" s="60"/>
      <c r="AQ81" s="38"/>
    </row>
    <row r="82" spans="1:79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287117.91999999597</v>
      </c>
      <c r="F82" s="92">
        <f>F16+F24+F29+F36+F43+F45+F47+F49</f>
        <v>0</v>
      </c>
      <c r="G82" s="93">
        <f>SUM(G72:G81)+G16+G24+G29+G36+G43+G45+G47+G49+G51+G56+G61+G66</f>
        <v>-953258.66</v>
      </c>
      <c r="H82" s="92">
        <f>H16+H24+H29+H36+H43+H45+H47+H49</f>
        <v>0</v>
      </c>
      <c r="I82" s="93">
        <f>SUM(I72:I81)+I16+I24+I29+I36+I43+I45+I47+I49+I51+I56+I61+I66</f>
        <v>965773</v>
      </c>
      <c r="J82" s="92">
        <f>J16+J24+J29+J36+J43+J45+J47+J49</f>
        <v>0</v>
      </c>
      <c r="K82" s="164">
        <f>SUM(K72:K81)+K16+K24+K29+K36+K43+K45+K47+K49+K51+K56+K61+K66</f>
        <v>709303</v>
      </c>
      <c r="L82" s="92">
        <f>L16+L24+L29+L36+L43+L45+L47+L49</f>
        <v>0</v>
      </c>
      <c r="M82" s="93">
        <f>SUM(M72:M81)+M16+M24+M29+M36+M43+M45+M47+M49+M51+M56+M61+M66</f>
        <v>176108</v>
      </c>
      <c r="N82" s="92">
        <f>N16+N24+N29+N36+N43+N45+N47+N49</f>
        <v>0</v>
      </c>
      <c r="O82" s="93">
        <f>SUM(O72:O81)+O16+O24+O29+O36+O43+O45+O47+O49+O51+O56+O61+O66</f>
        <v>-664770</v>
      </c>
      <c r="P82" s="92">
        <f>P16+P24+P29+P36+P43+P45+P47+P49</f>
        <v>0</v>
      </c>
      <c r="Q82" s="93">
        <f>SUM(Q72:Q81)+Q16+Q24+Q29+Q36+Q43+Q45+Q47+Q49+Q51+Q56+Q61+Q66</f>
        <v>-450727</v>
      </c>
      <c r="R82" s="92">
        <f>R16+R24+R29+R36+R43+R45+R47+R49</f>
        <v>0</v>
      </c>
      <c r="S82" s="93">
        <f>SUM(S72:S81)+S16+S24+S29+S36+S43+S45+S47+S49+S51+S56+S61+S66</f>
        <v>1036577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104.42000000000007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-531991.84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5" thickTop="1" x14ac:dyDescent="0.2">
      <c r="A83" s="4"/>
      <c r="B83" s="3"/>
    </row>
    <row r="84" spans="1:79" x14ac:dyDescent="0.2">
      <c r="A84" s="4"/>
      <c r="B84" s="3"/>
    </row>
    <row r="85" spans="1:79" x14ac:dyDescent="0.2">
      <c r="A85" s="4" t="s">
        <v>177</v>
      </c>
      <c r="B85" s="3"/>
      <c r="F85" s="31"/>
      <c r="G85" s="31"/>
      <c r="H85" s="31"/>
      <c r="I85" s="31"/>
      <c r="K85"/>
      <c r="L85" s="45"/>
    </row>
    <row r="86" spans="1:79" s="3" customFormat="1" x14ac:dyDescent="0.2">
      <c r="A86" s="177"/>
      <c r="C86" s="10" t="s">
        <v>181</v>
      </c>
      <c r="D86" s="178">
        <f t="shared" ref="D86:E88" si="32">SUM(F86,H86,J86,L86,N86,P86,R86,T86,V86,X86,Z86,AB86,AD86)</f>
        <v>0</v>
      </c>
      <c r="E86" s="178">
        <f t="shared" si="32"/>
        <v>-13932.880000000001</v>
      </c>
      <c r="F86" s="178">
        <f>'TIE-OUT'!V86+RECLASS!V86</f>
        <v>0</v>
      </c>
      <c r="G86" s="178">
        <f>'TIE-OUT'!W86+RECLASS!W86</f>
        <v>-24034.880000000001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10102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</row>
    <row r="87" spans="1:79" s="3" customFormat="1" x14ac:dyDescent="0.2">
      <c r="A87" s="177"/>
      <c r="C87" s="10" t="s">
        <v>73</v>
      </c>
      <c r="D87" s="179">
        <f t="shared" si="32"/>
        <v>0</v>
      </c>
      <c r="E87" s="179">
        <f t="shared" si="32"/>
        <v>0</v>
      </c>
      <c r="F87" s="179">
        <f>'TIE-OUT'!V87+RECLASS!V87</f>
        <v>0</v>
      </c>
      <c r="G87" s="179">
        <f>'TIE-OUT'!W87+RECLASS!W87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</row>
    <row r="88" spans="1:79" s="3" customFormat="1" x14ac:dyDescent="0.2">
      <c r="A88" s="177"/>
      <c r="C88" s="10" t="s">
        <v>74</v>
      </c>
      <c r="D88" s="180">
        <f t="shared" si="32"/>
        <v>0</v>
      </c>
      <c r="E88" s="180">
        <f t="shared" si="32"/>
        <v>-15593</v>
      </c>
      <c r="F88" s="180">
        <f>'TIE-OUT'!V88+RECLASS!V88</f>
        <v>0</v>
      </c>
      <c r="G88" s="180">
        <f>'TIE-OUT'!W88+RECLASS!W88</f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-15593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</row>
    <row r="89" spans="1:79" s="44" customFormat="1" ht="20.25" customHeight="1" x14ac:dyDescent="0.2">
      <c r="A89" s="184"/>
      <c r="B89" s="185"/>
      <c r="C89" s="190" t="s">
        <v>184</v>
      </c>
      <c r="D89" s="188">
        <f>SUM(D86:D88)</f>
        <v>0</v>
      </c>
      <c r="E89" s="188">
        <f t="shared" ref="E89:M89" si="33">SUM(E86:E88)</f>
        <v>-29525.88</v>
      </c>
      <c r="F89" s="188">
        <f t="shared" si="33"/>
        <v>0</v>
      </c>
      <c r="G89" s="188">
        <f t="shared" si="33"/>
        <v>-24034.880000000001</v>
      </c>
      <c r="H89" s="188">
        <f t="shared" si="33"/>
        <v>0</v>
      </c>
      <c r="I89" s="188">
        <f t="shared" si="33"/>
        <v>0</v>
      </c>
      <c r="J89" s="188">
        <f t="shared" si="33"/>
        <v>0</v>
      </c>
      <c r="K89" s="188">
        <f t="shared" si="33"/>
        <v>0</v>
      </c>
      <c r="L89" s="188">
        <f t="shared" si="33"/>
        <v>0</v>
      </c>
      <c r="M89" s="188">
        <f t="shared" si="33"/>
        <v>0</v>
      </c>
      <c r="N89" s="188">
        <f t="shared" ref="N89:AE89" si="34">SUM(N86:N88)</f>
        <v>0</v>
      </c>
      <c r="O89" s="188">
        <f t="shared" si="34"/>
        <v>0</v>
      </c>
      <c r="P89" s="188">
        <f t="shared" si="34"/>
        <v>0</v>
      </c>
      <c r="Q89" s="188">
        <f t="shared" si="34"/>
        <v>0</v>
      </c>
      <c r="R89" s="188">
        <f t="shared" si="34"/>
        <v>0</v>
      </c>
      <c r="S89" s="188">
        <f t="shared" si="34"/>
        <v>-5491</v>
      </c>
      <c r="T89" s="188">
        <f t="shared" si="34"/>
        <v>0</v>
      </c>
      <c r="U89" s="188">
        <f t="shared" si="34"/>
        <v>0</v>
      </c>
      <c r="V89" s="188">
        <f t="shared" si="34"/>
        <v>0</v>
      </c>
      <c r="W89" s="188">
        <f t="shared" si="34"/>
        <v>0</v>
      </c>
      <c r="X89" s="188">
        <f t="shared" si="34"/>
        <v>0</v>
      </c>
      <c r="Y89" s="188">
        <f t="shared" si="34"/>
        <v>0</v>
      </c>
      <c r="Z89" s="188">
        <f t="shared" si="34"/>
        <v>0</v>
      </c>
      <c r="AA89" s="188">
        <f t="shared" si="34"/>
        <v>0</v>
      </c>
      <c r="AB89" s="188">
        <f t="shared" si="34"/>
        <v>0</v>
      </c>
      <c r="AC89" s="188">
        <f t="shared" si="34"/>
        <v>0</v>
      </c>
      <c r="AD89" s="188">
        <f t="shared" si="34"/>
        <v>0</v>
      </c>
      <c r="AE89" s="188">
        <f t="shared" si="34"/>
        <v>0</v>
      </c>
      <c r="AF89" s="188">
        <f t="shared" ref="AF89:AQ89" si="35">SUM(AF86:AF88)</f>
        <v>0</v>
      </c>
      <c r="AG89" s="188">
        <f t="shared" si="35"/>
        <v>0</v>
      </c>
      <c r="AH89" s="188">
        <f t="shared" si="35"/>
        <v>0</v>
      </c>
      <c r="AI89" s="188">
        <f t="shared" si="35"/>
        <v>0</v>
      </c>
      <c r="AJ89" s="188">
        <f t="shared" si="35"/>
        <v>0</v>
      </c>
      <c r="AK89" s="188">
        <f t="shared" si="35"/>
        <v>0</v>
      </c>
      <c r="AL89" s="188">
        <f t="shared" si="35"/>
        <v>0</v>
      </c>
      <c r="AM89" s="188">
        <f t="shared" si="35"/>
        <v>0</v>
      </c>
      <c r="AN89" s="188">
        <f t="shared" si="35"/>
        <v>0</v>
      </c>
      <c r="AO89" s="188">
        <f t="shared" si="35"/>
        <v>0</v>
      </c>
      <c r="AP89" s="188">
        <f t="shared" si="35"/>
        <v>0</v>
      </c>
      <c r="AQ89" s="188">
        <f t="shared" si="35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">
      <c r="A91" s="184"/>
      <c r="B91" s="185"/>
      <c r="C91" s="190" t="s">
        <v>187</v>
      </c>
      <c r="D91" s="188">
        <f>+D82+D89</f>
        <v>0</v>
      </c>
      <c r="E91" s="188">
        <f t="shared" ref="E91:M91" si="36">+E82+E89</f>
        <v>257592.03999999596</v>
      </c>
      <c r="F91" s="188">
        <f t="shared" si="36"/>
        <v>0</v>
      </c>
      <c r="G91" s="188">
        <f t="shared" si="36"/>
        <v>-977293.54</v>
      </c>
      <c r="H91" s="188">
        <f t="shared" si="36"/>
        <v>0</v>
      </c>
      <c r="I91" s="188">
        <f t="shared" si="36"/>
        <v>965773</v>
      </c>
      <c r="J91" s="188">
        <f t="shared" si="36"/>
        <v>0</v>
      </c>
      <c r="K91" s="188">
        <f t="shared" si="36"/>
        <v>709303</v>
      </c>
      <c r="L91" s="188">
        <f t="shared" si="36"/>
        <v>0</v>
      </c>
      <c r="M91" s="188">
        <f t="shared" si="36"/>
        <v>176108</v>
      </c>
      <c r="N91" s="188">
        <f t="shared" ref="N91:AE91" si="37">+N82+N89</f>
        <v>0</v>
      </c>
      <c r="O91" s="188">
        <f t="shared" si="37"/>
        <v>-664770</v>
      </c>
      <c r="P91" s="188">
        <f t="shared" si="37"/>
        <v>0</v>
      </c>
      <c r="Q91" s="188">
        <f t="shared" si="37"/>
        <v>-450727</v>
      </c>
      <c r="R91" s="188">
        <f t="shared" si="37"/>
        <v>0</v>
      </c>
      <c r="S91" s="188">
        <f t="shared" si="37"/>
        <v>1031086</v>
      </c>
      <c r="T91" s="188">
        <f t="shared" si="37"/>
        <v>0</v>
      </c>
      <c r="U91" s="188">
        <f t="shared" si="37"/>
        <v>0</v>
      </c>
      <c r="V91" s="188">
        <f t="shared" si="37"/>
        <v>0</v>
      </c>
      <c r="W91" s="188">
        <f t="shared" si="37"/>
        <v>0</v>
      </c>
      <c r="X91" s="188">
        <f t="shared" si="37"/>
        <v>0</v>
      </c>
      <c r="Y91" s="188">
        <f t="shared" si="37"/>
        <v>0</v>
      </c>
      <c r="Z91" s="188">
        <f t="shared" si="37"/>
        <v>0</v>
      </c>
      <c r="AA91" s="188">
        <f t="shared" si="37"/>
        <v>104.42000000000007</v>
      </c>
      <c r="AB91" s="188">
        <f t="shared" si="37"/>
        <v>0</v>
      </c>
      <c r="AC91" s="188">
        <f t="shared" si="37"/>
        <v>0</v>
      </c>
      <c r="AD91" s="188">
        <f t="shared" si="37"/>
        <v>0</v>
      </c>
      <c r="AE91" s="188">
        <f t="shared" si="37"/>
        <v>-531991.84</v>
      </c>
      <c r="AF91" s="188">
        <f t="shared" ref="AF91:AQ91" si="38">+AF82+AF89</f>
        <v>0</v>
      </c>
      <c r="AG91" s="188">
        <f t="shared" si="38"/>
        <v>0</v>
      </c>
      <c r="AH91" s="188">
        <f t="shared" si="38"/>
        <v>0</v>
      </c>
      <c r="AI91" s="188">
        <f t="shared" si="38"/>
        <v>0</v>
      </c>
      <c r="AJ91" s="188">
        <f t="shared" si="38"/>
        <v>0</v>
      </c>
      <c r="AK91" s="188">
        <f t="shared" si="38"/>
        <v>0</v>
      </c>
      <c r="AL91" s="188">
        <f t="shared" si="38"/>
        <v>0</v>
      </c>
      <c r="AM91" s="188">
        <f t="shared" si="38"/>
        <v>0</v>
      </c>
      <c r="AN91" s="188">
        <f t="shared" si="38"/>
        <v>0</v>
      </c>
      <c r="AO91" s="188">
        <f t="shared" si="38"/>
        <v>0</v>
      </c>
      <c r="AP91" s="188">
        <f t="shared" si="38"/>
        <v>0</v>
      </c>
      <c r="AQ91" s="188">
        <f t="shared" si="38"/>
        <v>0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D10" sqref="D10"/>
      <selection pane="topRight" activeCell="D10" sqref="D10"/>
      <selection pane="bottomLeft" activeCell="D10" sqref="D10"/>
      <selection pane="bottomRight" activeCell="D88" sqref="D8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224626125</v>
      </c>
      <c r="E11" s="65">
        <f>STG_VAR!E11+ONT_VAR!E11+'CE-VAR'!E11+'EAST-EGM-VAR'!E11+'BGC-EGM-VAR'!E11+'EAST-LRC-VAR'!E11+'TX-EGM-VAR'!E11+'TX-HPL-VAR '!E11+'WE-VAR'!E11+BUG_VAR!E11</f>
        <v>422020791</v>
      </c>
      <c r="F11" s="65">
        <f>STG_VAR!F11+ONT_VAR!F11+'CE-VAR'!F11+'EAST-EGM-VAR'!F11+'BGC-EGM-VAR'!F11+'EAST-LRC-VAR'!F11+'TX-EGM-VAR'!F11+'TX-HPL-VAR '!F11+'WE-VAR'!F11+BUG_VAR!F11</f>
        <v>236836146</v>
      </c>
      <c r="G11" s="65">
        <f>STG_VAR!G11+ONT_VAR!G11+'CE-VAR'!G11+'EAST-EGM-VAR'!G11+'BGC-EGM-VAR'!G11+'EAST-LRC-VAR'!G11+'TX-EGM-VAR'!G11+'TX-HPL-VAR '!G11+'WE-VAR'!G11+BUG_VAR!G11</f>
        <v>481038493.72399998</v>
      </c>
      <c r="H11" s="60">
        <f>F11-D11</f>
        <v>12210021</v>
      </c>
      <c r="I11" s="38">
        <f>G11-E11</f>
        <v>59017702.723999977</v>
      </c>
    </row>
    <row r="12" spans="1:22" x14ac:dyDescent="0.2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-18813892.59</v>
      </c>
      <c r="H12" s="60">
        <f>F12-D12</f>
        <v>0</v>
      </c>
      <c r="I12" s="38">
        <f>G12-E12</f>
        <v>-18813892.59</v>
      </c>
    </row>
    <row r="13" spans="1:22" x14ac:dyDescent="0.2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134881786</v>
      </c>
      <c r="E13" s="65">
        <f>STG_VAR!E13+ONT_VAR!E13+'CE-VAR'!E13+'EAST-EGM-VAR'!E13+'BGC-EGM-VAR'!E13+'EAST-LRC-VAR'!E13+'TX-EGM-VAR'!E13+'TX-HPL-VAR '!E13+'WE-VAR'!E13+BUG_VAR!E13</f>
        <v>282000878</v>
      </c>
      <c r="F13" s="65">
        <f>STG_VAR!F13+ONT_VAR!F13+'CE-VAR'!F13+'EAST-EGM-VAR'!F13+'BGC-EGM-VAR'!F13+'EAST-LRC-VAR'!F13+'TX-EGM-VAR'!F13+'TX-HPL-VAR '!F13+'WE-VAR'!F13+BUG_VAR!F13</f>
        <v>143143938</v>
      </c>
      <c r="G13" s="65">
        <f>STG_VAR!G13+ONT_VAR!G13+'CE-VAR'!G13+'EAST-EGM-VAR'!G13+'BGC-EGM-VAR'!G13+'EAST-LRC-VAR'!G13+'TX-EGM-VAR'!G13+'TX-HPL-VAR '!G13+'WE-VAR'!G13+BUG_VAR!G13</f>
        <v>297072073</v>
      </c>
      <c r="H13" s="60">
        <f t="shared" ref="H13:I15" si="0">F13-D13</f>
        <v>8262152</v>
      </c>
      <c r="I13" s="38">
        <f t="shared" si="0"/>
        <v>15071195</v>
      </c>
    </row>
    <row r="14" spans="1:22" x14ac:dyDescent="0.2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23988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-23988</v>
      </c>
    </row>
    <row r="15" spans="1:22" x14ac:dyDescent="0.2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-2302848</v>
      </c>
      <c r="H15" s="60">
        <f t="shared" si="0"/>
        <v>0</v>
      </c>
      <c r="I15" s="38">
        <f t="shared" si="0"/>
        <v>-2302848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359507911</v>
      </c>
      <c r="E16" s="39">
        <f t="shared" si="1"/>
        <v>704045657</v>
      </c>
      <c r="F16" s="61">
        <f t="shared" si="1"/>
        <v>379980084</v>
      </c>
      <c r="G16" s="39">
        <f t="shared" si="1"/>
        <v>756993826.13400006</v>
      </c>
      <c r="H16" s="61">
        <f t="shared" si="1"/>
        <v>20472173</v>
      </c>
      <c r="I16" s="39">
        <f t="shared" si="1"/>
        <v>52948169.133999974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-227244627</v>
      </c>
      <c r="E19" s="65">
        <f>STG_VAR!E19+ONT_VAR!E19+'CE-VAR'!E19+'EAST-EGM-VAR'!E19+'BGC-EGM-VAR'!E19+'EAST-LRC-VAR'!E19+'TX-EGM-VAR'!E19+'TX-HPL-VAR '!E19+'WE-VAR'!E19+BUG_VAR!E19</f>
        <v>-424957010</v>
      </c>
      <c r="F19" s="65">
        <f>STG_VAR!F19+ONT_VAR!F19+'CE-VAR'!F19+'EAST-EGM-VAR'!F19+'BGC-EGM-VAR'!F19+'EAST-LRC-VAR'!F19+'TX-EGM-VAR'!F19+'TX-HPL-VAR '!F19+'WE-VAR'!F19+BUG_VAR!F19</f>
        <v>-227738444</v>
      </c>
      <c r="G19" s="65">
        <f>STG_VAR!G19+ONT_VAR!G19+'CE-VAR'!G19+'EAST-EGM-VAR'!G19+'BGC-EGM-VAR'!G19+'EAST-LRC-VAR'!G19+'TX-EGM-VAR'!G19+'TX-HPL-VAR '!G19+'WE-VAR'!G19+BUG_VAR!G19</f>
        <v>-426898539.39000005</v>
      </c>
      <c r="H19" s="60">
        <f>F19-D19</f>
        <v>-493817</v>
      </c>
      <c r="I19" s="38">
        <f>G19-E19</f>
        <v>-1941529.3900000453</v>
      </c>
    </row>
    <row r="20" spans="1:9" x14ac:dyDescent="0.2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-433145.72000000009</v>
      </c>
      <c r="H20" s="60">
        <f>F20-D20</f>
        <v>0</v>
      </c>
      <c r="I20" s="38">
        <f>G20-E20</f>
        <v>-433145.72000000009</v>
      </c>
    </row>
    <row r="21" spans="1:9" x14ac:dyDescent="0.2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-141654670</v>
      </c>
      <c r="E21" s="65">
        <f>STG_VAR!E21+ONT_VAR!E21+'CE-VAR'!E21+'EAST-EGM-VAR'!E21+'BGC-EGM-VAR'!E21+'EAST-LRC-VAR'!E21+'TX-EGM-VAR'!E21+'TX-HPL-VAR '!E21+'WE-VAR'!E21+BUG_VAR!E21</f>
        <v>-293914358</v>
      </c>
      <c r="F21" s="65">
        <f>STG_VAR!F21+ONT_VAR!F21+'CE-VAR'!F21+'EAST-EGM-VAR'!F21+'BGC-EGM-VAR'!F21+'EAST-LRC-VAR'!F21+'TX-EGM-VAR'!F21+'TX-HPL-VAR '!F21+'WE-VAR'!F21+BUG_VAR!F21</f>
        <v>-143143938</v>
      </c>
      <c r="G21" s="65">
        <f>STG_VAR!G21+ONT_VAR!G21+'CE-VAR'!G21+'EAST-EGM-VAR'!G21+'BGC-EGM-VAR'!G21+'EAST-LRC-VAR'!G21+'TX-EGM-VAR'!G21+'TX-HPL-VAR '!G21+'WE-VAR'!G21+BUG_VAR!G21</f>
        <v>-301303307</v>
      </c>
      <c r="H21" s="60">
        <f t="shared" ref="H21:I23" si="2">F21-D21</f>
        <v>-1489268</v>
      </c>
      <c r="I21" s="38">
        <f t="shared" si="2"/>
        <v>-7388949</v>
      </c>
    </row>
    <row r="22" spans="1:9" x14ac:dyDescent="0.2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1451813</v>
      </c>
      <c r="E23" s="65">
        <f>STG_VAR!E23+ONT_VAR!E23+'CE-VAR'!E23+'EAST-EGM-VAR'!E23+'BGC-EGM-VAR'!E23+'EAST-LRC-VAR'!E23+'TX-EGM-VAR'!E23+'TX-HPL-VAR '!E23+'WE-VAR'!E23+BUG_VAR!E23</f>
        <v>2981133</v>
      </c>
      <c r="F23" s="65">
        <f>STG_VAR!F23+ONT_VAR!F23+'CE-VAR'!F23+'EAST-EGM-VAR'!F23+'BGC-EGM-VAR'!F23+'EAST-LRC-VAR'!F23+'TX-EGM-VAR'!F23+'TX-HPL-VAR '!F23+'WE-VAR'!F23+BUG_VAR!F23</f>
        <v>1162296</v>
      </c>
      <c r="G23" s="65">
        <f>STG_VAR!G23+ONT_VAR!G23+'CE-VAR'!G23+'EAST-EGM-VAR'!G23+'BGC-EGM-VAR'!G23+'EAST-LRC-VAR'!G23+'TX-EGM-VAR'!G23+'TX-HPL-VAR '!G23+'WE-VAR'!G23+BUG_VAR!G23</f>
        <v>2057083.5299999998</v>
      </c>
      <c r="H23" s="60">
        <f t="shared" si="2"/>
        <v>-289517</v>
      </c>
      <c r="I23" s="38">
        <f t="shared" si="2"/>
        <v>-924049.4700000002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-367447484</v>
      </c>
      <c r="E24" s="39">
        <f t="shared" si="3"/>
        <v>-715890235</v>
      </c>
      <c r="F24" s="61">
        <f t="shared" si="3"/>
        <v>-369720086</v>
      </c>
      <c r="G24" s="39">
        <f t="shared" si="3"/>
        <v>-726577908.58000016</v>
      </c>
      <c r="H24" s="61">
        <f t="shared" si="3"/>
        <v>-2272602</v>
      </c>
      <c r="I24" s="39">
        <f t="shared" si="3"/>
        <v>-10687673.580000047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33529251</v>
      </c>
      <c r="E27" s="65">
        <f>STG_VAR!E27+ONT_VAR!E27+'CE-VAR'!E27+'EAST-EGM-VAR'!E27+'BGC-EGM-VAR'!E27+'EAST-LRC-VAR'!E27+'TX-EGM-VAR'!E27+'TX-HPL-VAR '!E27+'WE-VAR'!E27+BUG_VAR!E27</f>
        <v>70609988</v>
      </c>
      <c r="F27" s="65">
        <f>STG_VAR!F27+ONT_VAR!F27+'CE-VAR'!F27+'EAST-EGM-VAR'!F27+'BGC-EGM-VAR'!F27+'EAST-LRC-VAR'!F27+'TX-EGM-VAR'!F27+'TX-HPL-VAR '!F27+'WE-VAR'!F27+BUG_VAR!F27</f>
        <v>3075849</v>
      </c>
      <c r="G27" s="65">
        <f>STG_VAR!G27+ONT_VAR!G27+'CE-VAR'!G27+'EAST-EGM-VAR'!G27+'BGC-EGM-VAR'!G27+'EAST-LRC-VAR'!G27+'TX-EGM-VAR'!G27+'TX-HPL-VAR '!G27+'WE-VAR'!G27+BUG_VAR!G27</f>
        <v>6362007.8298000023</v>
      </c>
      <c r="H27" s="60">
        <f>F27-D27</f>
        <v>-30453402</v>
      </c>
      <c r="I27" s="38">
        <f>G27-E27</f>
        <v>-64247980.170199998</v>
      </c>
    </row>
    <row r="28" spans="1:9" x14ac:dyDescent="0.2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-33529251</v>
      </c>
      <c r="E28" s="65">
        <f>STG_VAR!E28+ONT_VAR!E28+'CE-VAR'!E28+'EAST-EGM-VAR'!E28+'BGC-EGM-VAR'!E28+'EAST-LRC-VAR'!E28+'TX-EGM-VAR'!E28+'TX-HPL-VAR '!E28+'WE-VAR'!E28+BUG_VAR!E28</f>
        <v>-70609989</v>
      </c>
      <c r="F28" s="65">
        <f>STG_VAR!F28+ONT_VAR!F28+'CE-VAR'!F28+'EAST-EGM-VAR'!F28+'BGC-EGM-VAR'!F28+'EAST-LRC-VAR'!F28+'TX-EGM-VAR'!F28+'TX-HPL-VAR '!F28+'WE-VAR'!F28+BUG_VAR!F28</f>
        <v>-24451442</v>
      </c>
      <c r="G28" s="65">
        <f>STG_VAR!G28+ONT_VAR!G28+'CE-VAR'!G28+'EAST-EGM-VAR'!G28+'BGC-EGM-VAR'!G28+'EAST-LRC-VAR'!G28+'TX-EGM-VAR'!G28+'TX-HPL-VAR '!G28+'WE-VAR'!G28+BUG_VAR!G28</f>
        <v>-48479949.130000003</v>
      </c>
      <c r="H28" s="60">
        <f>F28-D28</f>
        <v>9077809</v>
      </c>
      <c r="I28" s="38">
        <f>G28-E28</f>
        <v>22130039.869999997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-1</v>
      </c>
      <c r="F29" s="69">
        <f t="shared" si="4"/>
        <v>-21375593</v>
      </c>
      <c r="G29" s="70">
        <f t="shared" si="4"/>
        <v>-42117941.3002</v>
      </c>
      <c r="H29" s="69">
        <f t="shared" si="4"/>
        <v>-21375593</v>
      </c>
      <c r="I29" s="70">
        <f t="shared" si="4"/>
        <v>-42117940.3002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4624665</v>
      </c>
      <c r="E32" s="65">
        <f>STG_VAR!E32+ONT_VAR!E32+'CE-VAR'!E32+'EAST-EGM-VAR'!E32+'BGC-EGM-VAR'!E32+'EAST-LRC-VAR'!E32+'TX-EGM-VAR'!E32+'TX-HPL-VAR '!E32+'WE-VAR'!E32+BUG_VAR!E32</f>
        <v>9905178</v>
      </c>
      <c r="F32" s="65">
        <f>STG_VAR!F32+ONT_VAR!F32+'CE-VAR'!F32+'EAST-EGM-VAR'!F32+'BGC-EGM-VAR'!F32+'EAST-LRC-VAR'!F32+'TX-EGM-VAR'!F32+'TX-HPL-VAR '!F32+'WE-VAR'!F32+BUG_VAR!F32</f>
        <v>-204814</v>
      </c>
      <c r="G32" s="65">
        <f>STG_VAR!G32+ONT_VAR!G32+'CE-VAR'!G32+'EAST-EGM-VAR'!G32+'BGC-EGM-VAR'!G32+'EAST-LRC-VAR'!G32+'TX-EGM-VAR'!G32+'TX-HPL-VAR '!G32+'WE-VAR'!G32+BUG_VAR!G32</f>
        <v>-281781.3760000004</v>
      </c>
      <c r="H32" s="60">
        <f>F32-D32</f>
        <v>-4829479</v>
      </c>
      <c r="I32" s="38">
        <f>G32-E32</f>
        <v>-10186959.376</v>
      </c>
    </row>
    <row r="33" spans="1:9" x14ac:dyDescent="0.2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-5147310</v>
      </c>
      <c r="E33" s="65">
        <f>STG_VAR!E33+ONT_VAR!E33+'CE-VAR'!E33+'EAST-EGM-VAR'!E33+'BGC-EGM-VAR'!E33+'EAST-LRC-VAR'!E33+'TX-EGM-VAR'!E33+'TX-HPL-VAR '!E33+'WE-VAR'!E33+BUG_VAR!E33</f>
        <v>-10852099.16329414</v>
      </c>
      <c r="F33" s="65">
        <f>STG_VAR!F33+ONT_VAR!F33+'CE-VAR'!F33+'EAST-EGM-VAR'!F33+'BGC-EGM-VAR'!F33+'EAST-LRC-VAR'!F33+'TX-EGM-VAR'!F33+'TX-HPL-VAR '!F33+'WE-VAR'!F33+BUG_VAR!F33</f>
        <v>-678724</v>
      </c>
      <c r="G33" s="65">
        <f>STG_VAR!G33+ONT_VAR!G33+'CE-VAR'!G33+'EAST-EGM-VAR'!G33+'BGC-EGM-VAR'!G33+'EAST-LRC-VAR'!G33+'TX-EGM-VAR'!G33+'TX-HPL-VAR '!G33+'WE-VAR'!G33+BUG_VAR!G33</f>
        <v>-1369464.01</v>
      </c>
      <c r="H33" s="60">
        <f t="shared" ref="H33:I35" si="5">F33-D33</f>
        <v>4468586</v>
      </c>
      <c r="I33" s="38">
        <f t="shared" si="5"/>
        <v>9482635.1532941405</v>
      </c>
    </row>
    <row r="34" spans="1:9" x14ac:dyDescent="0.2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312593</v>
      </c>
      <c r="E34" s="65">
        <f>STG_VAR!E34+ONT_VAR!E34+'CE-VAR'!E34+'EAST-EGM-VAR'!E34+'BGC-EGM-VAR'!E34+'EAST-LRC-VAR'!E34+'TX-EGM-VAR'!E34+'TX-HPL-VAR '!E34+'WE-VAR'!E34+BUG_VAR!E34</f>
        <v>647665</v>
      </c>
      <c r="F34" s="65">
        <f>STG_VAR!F34+ONT_VAR!F34+'CE-VAR'!F34+'EAST-EGM-VAR'!F34+'BGC-EGM-VAR'!F34+'EAST-LRC-VAR'!F34+'TX-EGM-VAR'!F34+'TX-HPL-VAR '!F34+'WE-VAR'!F34+BUG_VAR!F34</f>
        <v>157243</v>
      </c>
      <c r="G34" s="65">
        <f>STG_VAR!G34+ONT_VAR!G34+'CE-VAR'!G34+'EAST-EGM-VAR'!G34+'BGC-EGM-VAR'!G34+'EAST-LRC-VAR'!G34+'TX-EGM-VAR'!G34+'TX-HPL-VAR '!G34+'WE-VAR'!G34+BUG_VAR!G34</f>
        <v>310697.60000000003</v>
      </c>
      <c r="H34" s="60">
        <f t="shared" si="5"/>
        <v>-155350</v>
      </c>
      <c r="I34" s="38">
        <f t="shared" si="5"/>
        <v>-336967.39999999997</v>
      </c>
    </row>
    <row r="35" spans="1:9" x14ac:dyDescent="0.2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-623976</v>
      </c>
      <c r="E35" s="65">
        <f>STG_VAR!E35+ONT_VAR!E35+'CE-VAR'!E35+'EAST-EGM-VAR'!E35+'BGC-EGM-VAR'!E35+'EAST-LRC-VAR'!E35+'TX-EGM-VAR'!E35+'TX-HPL-VAR '!E35+'WE-VAR'!E35+BUG_VAR!E35</f>
        <v>-1249716</v>
      </c>
      <c r="F35" s="65">
        <f>STG_VAR!F35+ONT_VAR!F35+'CE-VAR'!F35+'EAST-EGM-VAR'!F35+'BGC-EGM-VAR'!F35+'EAST-LRC-VAR'!F35+'TX-EGM-VAR'!F35+'TX-HPL-VAR '!F35+'WE-VAR'!F35+BUG_VAR!F35</f>
        <v>822587</v>
      </c>
      <c r="G35" s="65">
        <f>STG_VAR!G35+ONT_VAR!G35+'CE-VAR'!G35+'EAST-EGM-VAR'!G35+'BGC-EGM-VAR'!G35+'EAST-LRC-VAR'!G35+'TX-EGM-VAR'!G35+'TX-HPL-VAR '!G35+'WE-VAR'!G35+BUG_VAR!G35</f>
        <v>2376649.9900000002</v>
      </c>
      <c r="H35" s="60">
        <f t="shared" si="5"/>
        <v>1446563</v>
      </c>
      <c r="I35" s="38">
        <f t="shared" si="5"/>
        <v>3626365.99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-834028</v>
      </c>
      <c r="E36" s="39">
        <f t="shared" si="6"/>
        <v>-1548972.1632941402</v>
      </c>
      <c r="F36" s="61">
        <f t="shared" si="6"/>
        <v>96292</v>
      </c>
      <c r="G36" s="39">
        <f t="shared" si="6"/>
        <v>1036102.2039999999</v>
      </c>
      <c r="H36" s="61">
        <f t="shared" si="6"/>
        <v>930320</v>
      </c>
      <c r="I36" s="39">
        <f t="shared" si="6"/>
        <v>2585074.3672941406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13355609</v>
      </c>
      <c r="E39" s="65">
        <f>STG_VAR!E39+ONT_VAR!E39+'CE-VAR'!E39+'EAST-EGM-VAR'!E39+'BGC-EGM-VAR'!E39+'EAST-LRC-VAR'!E39+'TX-EGM-VAR'!E39+'TX-HPL-VAR '!E39+'WE-VAR'!E39+BUG_VAR!E39</f>
        <v>24384685</v>
      </c>
      <c r="F39" s="65">
        <f>STG_VAR!F39+ONT_VAR!F39+'CE-VAR'!F39+'EAST-EGM-VAR'!F39+'BGC-EGM-VAR'!F39+'EAST-LRC-VAR'!F39+'TX-EGM-VAR'!F39+'TX-HPL-VAR '!F39+'WE-VAR'!F39+BUG_VAR!F39</f>
        <v>11315102</v>
      </c>
      <c r="G39" s="65">
        <f>STG_VAR!G39+ONT_VAR!G39+'CE-VAR'!G39+'EAST-EGM-VAR'!G39+'BGC-EGM-VAR'!G39+'EAST-LRC-VAR'!G39+'TX-EGM-VAR'!G39+'TX-HPL-VAR '!G39+'WE-VAR'!G39+BUG_VAR!G39</f>
        <v>21282499.629999999</v>
      </c>
      <c r="H39" s="60">
        <f t="shared" ref="H39:I41" si="7">F39-D39</f>
        <v>-2040507</v>
      </c>
      <c r="I39" s="38">
        <f t="shared" si="7"/>
        <v>-3102185.370000001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-4582008</v>
      </c>
      <c r="E40" s="65">
        <f>STG_VAR!E40+ONT_VAR!E40+'CE-VAR'!E40+'EAST-EGM-VAR'!E40+'BGC-EGM-VAR'!E40+'EAST-LRC-VAR'!E40+'TX-EGM-VAR'!E40+'TX-HPL-VAR '!E40+'WE-VAR'!E40+BUG_VAR!E40</f>
        <v>-8142600</v>
      </c>
      <c r="F40" s="65">
        <f>STG_VAR!F40+ONT_VAR!F40+'CE-VAR'!F40+'EAST-EGM-VAR'!F40+'BGC-EGM-VAR'!F40+'EAST-LRC-VAR'!F40+'TX-EGM-VAR'!F40+'TX-HPL-VAR '!F40+'WE-VAR'!F40+BUG_VAR!F40</f>
        <v>-348164</v>
      </c>
      <c r="G40" s="65">
        <f>STG_VAR!G40+ONT_VAR!G40+'CE-VAR'!G40+'EAST-EGM-VAR'!G40+'BGC-EGM-VAR'!G40+'EAST-LRC-VAR'!G40+'TX-EGM-VAR'!G40+'TX-HPL-VAR '!G40+'WE-VAR'!G40+BUG_VAR!G40</f>
        <v>-625765.13</v>
      </c>
      <c r="H40" s="60">
        <f t="shared" si="7"/>
        <v>4233844</v>
      </c>
      <c r="I40" s="38">
        <f t="shared" si="7"/>
        <v>7516834.8700000001</v>
      </c>
    </row>
    <row r="41" spans="1:9" x14ac:dyDescent="0.2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157708</v>
      </c>
      <c r="H41" s="60">
        <f t="shared" si="7"/>
        <v>0</v>
      </c>
      <c r="I41" s="38">
        <f t="shared" si="7"/>
        <v>157708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-4582008</v>
      </c>
      <c r="E42" s="70">
        <f t="shared" si="8"/>
        <v>-8142600</v>
      </c>
      <c r="F42" s="69">
        <f t="shared" si="8"/>
        <v>-348164</v>
      </c>
      <c r="G42" s="70">
        <f t="shared" si="8"/>
        <v>-468057.13</v>
      </c>
      <c r="H42" s="69">
        <f t="shared" si="8"/>
        <v>4233844</v>
      </c>
      <c r="I42" s="70">
        <f t="shared" si="8"/>
        <v>7674542.8700000001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8773601</v>
      </c>
      <c r="E43" s="39">
        <f t="shared" si="9"/>
        <v>16242085</v>
      </c>
      <c r="F43" s="61">
        <f t="shared" si="9"/>
        <v>10966938</v>
      </c>
      <c r="G43" s="39">
        <f t="shared" si="9"/>
        <v>20814442.5</v>
      </c>
      <c r="H43" s="61">
        <f t="shared" si="9"/>
        <v>2193337</v>
      </c>
      <c r="I43" s="39">
        <f t="shared" si="9"/>
        <v>4572357.4999999991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-2985</v>
      </c>
      <c r="G45" s="65">
        <f>STG_VAR!G45+ONT_VAR!G45+'CE-VAR'!G45+'EAST-EGM-VAR'!G45+'BGC-EGM-VAR'!G45+'EAST-LRC-VAR'!G45+'TX-EGM-VAR'!G45+'TX-HPL-VAR '!G45+'WE-VAR'!G45+BUG_VAR!G45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0</v>
      </c>
      <c r="E49" s="65">
        <f>STG_VAR!E49+ONT_VAR!E49+'CE-VAR'!E49+'EAST-EGM-VAR'!E49+'BGC-EGM-VAR'!E49+'EAST-LRC-VAR'!E49+'TX-EGM-VAR'!E49+'TX-HPL-VAR '!E49+'WE-VAR'!E49+BUG_VAR!E49</f>
        <v>0</v>
      </c>
      <c r="F49" s="65">
        <f>STG_VAR!F49+ONT_VAR!F49+'CE-VAR'!F49+'EAST-EGM-VAR'!F49+'BGC-EGM-VAR'!F49+'EAST-LRC-VAR'!F49+'TX-EGM-VAR'!F49+'TX-HPL-VAR '!F49+'WE-VAR'!F49+BUG_VAR!F49</f>
        <v>61288</v>
      </c>
      <c r="G49" s="65">
        <f>STG_VAR!G49+ONT_VAR!G49+'CE-VAR'!G49+'EAST-EGM-VAR'!G49+'BGC-EGM-VAR'!G49+'EAST-LRC-VAR'!G49+'TX-EGM-VAR'!G49+'TX-HPL-VAR '!G49+'WE-VAR'!G49+BUG_VAR!G49</f>
        <v>694115.26099999947</v>
      </c>
      <c r="H49" s="60">
        <f>F49-D49</f>
        <v>61288</v>
      </c>
      <c r="I49" s="38">
        <f>G49-E49</f>
        <v>694115.26099999947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-1451518</v>
      </c>
      <c r="E51" s="65">
        <f>STG_VAR!E51+ONT_VAR!E51+'CE-VAR'!E51+'EAST-EGM-VAR'!E51+'BGC-EGM-VAR'!E51+'EAST-LRC-VAR'!E51+'TX-EGM-VAR'!E51+'TX-HPL-VAR '!E51+'WE-VAR'!E51+BUG_VAR!E51</f>
        <v>-2980559</v>
      </c>
      <c r="F51" s="65">
        <f>STG_VAR!F51+ONT_VAR!F51+'CE-VAR'!F51+'EAST-EGM-VAR'!F51+'BGC-EGM-VAR'!F51+'EAST-LRC-VAR'!F51+'TX-EGM-VAR'!F51+'TX-HPL-VAR '!F51+'WE-VAR'!F51+BUG_VAR!F51</f>
        <v>-1744406</v>
      </c>
      <c r="G51" s="65">
        <f>STG_VAR!G51+ONT_VAR!G51+'CE-VAR'!G51+'EAST-EGM-VAR'!G51+'BGC-EGM-VAR'!G51+'EAST-LRC-VAR'!G51+'TX-EGM-VAR'!G51+'TX-HPL-VAR '!G51+'WE-VAR'!G51+BUG_VAR!G51</f>
        <v>-3155468.53</v>
      </c>
      <c r="H51" s="60">
        <f>F51-D51</f>
        <v>-292888</v>
      </c>
      <c r="I51" s="38">
        <f>G51-E51</f>
        <v>-174909.5299999998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-2540362</v>
      </c>
      <c r="F54" s="65">
        <f>STG_VAR!F54+ONT_VAR!F54+'CE-VAR'!F54+'EAST-EGM-VAR'!F54+'BGC-EGM-VAR'!F54+'EAST-LRC-VAR'!F54+'TX-EGM-VAR'!F54+'TX-HPL-VAR '!F54+'WE-VAR'!F54+BUG_VAR!F54</f>
        <v>-85052483</v>
      </c>
      <c r="G54" s="65">
        <f>STG_VAR!G54+ONT_VAR!G54+'CE-VAR'!G54+'EAST-EGM-VAR'!G54+'BGC-EGM-VAR'!G54+'EAST-LRC-VAR'!G54+'TX-EGM-VAR'!G54+'TX-HPL-VAR '!G54+'WE-VAR'!G54+BUG_VAR!G54</f>
        <v>-3839761.8999999994</v>
      </c>
      <c r="H54" s="60">
        <f>F54-D54</f>
        <v>-85052483</v>
      </c>
      <c r="I54" s="38">
        <f>G54-E54</f>
        <v>-1299399.8999999994</v>
      </c>
    </row>
    <row r="55" spans="1:9" x14ac:dyDescent="0.2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-16650031</v>
      </c>
      <c r="F55" s="65">
        <f>STG_VAR!F55+ONT_VAR!F55+'CE-VAR'!F55+'EAST-EGM-VAR'!F55+'BGC-EGM-VAR'!F55+'EAST-LRC-VAR'!F55+'TX-EGM-VAR'!F55+'TX-HPL-VAR '!F55+'WE-VAR'!F55+BUG_VAR!F55</f>
        <v>0</v>
      </c>
      <c r="G55" s="65">
        <f>STG_VAR!G55+ONT_VAR!G55+'CE-VAR'!G55+'EAST-EGM-VAR'!G55+'BGC-EGM-VAR'!G55+'EAST-LRC-VAR'!G55+'TX-EGM-VAR'!G55+'TX-HPL-VAR '!G55+'WE-VAR'!G55+BUG_VAR!G55</f>
        <v>-13158017.75</v>
      </c>
      <c r="H55" s="60">
        <f>F55-D55</f>
        <v>0</v>
      </c>
      <c r="I55" s="38">
        <f>G55-E55</f>
        <v>3492013.25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-19190393</v>
      </c>
      <c r="F56" s="61">
        <f t="shared" si="10"/>
        <v>-85052483</v>
      </c>
      <c r="G56" s="39">
        <f t="shared" si="10"/>
        <v>-16997779.649999999</v>
      </c>
      <c r="H56" s="61">
        <f t="shared" si="10"/>
        <v>-85052483</v>
      </c>
      <c r="I56" s="39">
        <f t="shared" si="10"/>
        <v>2192613.3500000006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3914648</v>
      </c>
      <c r="G59" s="65">
        <f>STG_VAR!G59+ONT_VAR!G59+'CE-VAR'!G59+'EAST-EGM-VAR'!G59+'BGC-EGM-VAR'!G59+'EAST-LRC-VAR'!G59+'TX-EGM-VAR'!G59+'TX-HPL-VAR '!G59+'WE-VAR'!G59+BUG_VAR!G59</f>
        <v>89935.099999999991</v>
      </c>
      <c r="H59" s="60">
        <f>F59-D59</f>
        <v>3914648</v>
      </c>
      <c r="I59" s="38">
        <f>G59-E59</f>
        <v>89935.099999999991</v>
      </c>
    </row>
    <row r="60" spans="1:9" x14ac:dyDescent="0.2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208666</v>
      </c>
      <c r="H60" s="60">
        <f>F60-D60</f>
        <v>0</v>
      </c>
      <c r="I60" s="38">
        <f>G60-E60</f>
        <v>208666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3914648</v>
      </c>
      <c r="G61" s="70">
        <f t="shared" si="11"/>
        <v>298601.09999999998</v>
      </c>
      <c r="H61" s="69">
        <f t="shared" si="11"/>
        <v>3914648</v>
      </c>
      <c r="I61" s="70">
        <f t="shared" si="11"/>
        <v>298601.09999999998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124631.32105263158</v>
      </c>
      <c r="F64" s="65">
        <f>STG_VAR!F64+ONT_VAR!F64+'CE-VAR'!F64+'EAST-EGM-VAR'!F64+'BGC-EGM-VAR'!F64+'EAST-LRC-VAR'!F64+'TX-EGM-VAR'!F64+'TX-HPL-VAR '!F64+'WE-VAR'!F64+BUG_VAR!F64</f>
        <v>-75360363</v>
      </c>
      <c r="G64" s="65">
        <f>STG_VAR!G64+ONT_VAR!G64+'CE-VAR'!G64+'EAST-EGM-VAR'!G64+'BGC-EGM-VAR'!G64+'EAST-LRC-VAR'!G64+'TX-EGM-VAR'!G64+'TX-HPL-VAR '!G64+'WE-VAR'!G64+BUG_VAR!G64</f>
        <v>-3154448.1500000004</v>
      </c>
      <c r="H64" s="60">
        <f>F64-D64</f>
        <v>-75360363</v>
      </c>
      <c r="I64" s="38">
        <f>G64-E64</f>
        <v>-3279079.4710526317</v>
      </c>
    </row>
    <row r="65" spans="1:9" x14ac:dyDescent="0.2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17244982</v>
      </c>
      <c r="G65" s="65">
        <f>STG_VAR!G65+ONT_VAR!G65+'CE-VAR'!G65+'EAST-EGM-VAR'!G65+'BGC-EGM-VAR'!G65+'EAST-LRC-VAR'!G65+'TX-EGM-VAR'!G65+'TX-HPL-VAR '!G65+'WE-VAR'!G65+BUG_VAR!G65</f>
        <v>2871826.2</v>
      </c>
      <c r="H65" s="60">
        <f>F65-D65</f>
        <v>17244982</v>
      </c>
      <c r="I65" s="38">
        <f>G65-E65</f>
        <v>2871826.2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-58115381</v>
      </c>
      <c r="G66" s="39">
        <f t="shared" si="12"/>
        <v>-282621.95000000019</v>
      </c>
      <c r="H66" s="61">
        <f t="shared" si="12"/>
        <v>-58115381</v>
      </c>
      <c r="I66" s="39">
        <f t="shared" si="12"/>
        <v>-407253.27105263155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14182181.887124328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16691833.150000002</v>
      </c>
      <c r="H70" s="60">
        <f>F70-D70</f>
        <v>0</v>
      </c>
      <c r="I70" s="38">
        <f>G70-E70</f>
        <v>2509651.2628756743</v>
      </c>
    </row>
    <row r="71" spans="1:9" x14ac:dyDescent="0.2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-6790337.8499999996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-6829676</v>
      </c>
      <c r="H71" s="60">
        <f>F71-D71</f>
        <v>0</v>
      </c>
      <c r="I71" s="38">
        <f>G71-E71</f>
        <v>-39338.150000000373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7391844.0371243283</v>
      </c>
      <c r="F72" s="69">
        <f t="shared" si="13"/>
        <v>0</v>
      </c>
      <c r="G72" s="70">
        <f t="shared" si="13"/>
        <v>9862157.1500000022</v>
      </c>
      <c r="H72" s="69">
        <f t="shared" si="13"/>
        <v>0</v>
      </c>
      <c r="I72" s="70">
        <f t="shared" si="13"/>
        <v>2470313.1128756739</v>
      </c>
    </row>
    <row r="73" spans="1:9" x14ac:dyDescent="0.2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1521480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3135901.29</v>
      </c>
      <c r="H74" s="60">
        <f t="shared" ref="H74:I79" si="14">F74-D74</f>
        <v>0</v>
      </c>
      <c r="I74" s="38">
        <f t="shared" si="14"/>
        <v>1614421.29</v>
      </c>
    </row>
    <row r="75" spans="1:9" x14ac:dyDescent="0.2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224369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224400</v>
      </c>
      <c r="H75" s="60">
        <f t="shared" si="14"/>
        <v>0</v>
      </c>
      <c r="I75" s="38">
        <f t="shared" si="14"/>
        <v>31</v>
      </c>
    </row>
    <row r="76" spans="1:9" x14ac:dyDescent="0.2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-71598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-275877.30000000005</v>
      </c>
      <c r="H76" s="60">
        <f t="shared" si="14"/>
        <v>0</v>
      </c>
      <c r="I76" s="38">
        <f t="shared" si="14"/>
        <v>-204279.30000000005</v>
      </c>
    </row>
    <row r="77" spans="1:9" x14ac:dyDescent="0.2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-1236809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-4285642</v>
      </c>
      <c r="H77" s="60">
        <f t="shared" si="14"/>
        <v>0</v>
      </c>
      <c r="I77" s="38">
        <f t="shared" si="14"/>
        <v>-3048833</v>
      </c>
    </row>
    <row r="78" spans="1:9" x14ac:dyDescent="0.2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23732.85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-23732.85</v>
      </c>
    </row>
    <row r="79" spans="1:9" x14ac:dyDescent="0.2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14391266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-14391266</v>
      </c>
    </row>
    <row r="80" spans="1:9" x14ac:dyDescent="0.2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-4467704</v>
      </c>
      <c r="F81" s="65">
        <f>STG_VAR!F81+ONT_VAR!F81+'CE-VAR'!F81+'EAST-EGM-VAR'!F81+'BGC-EGM-VAR'!F81+'EAST-LRC-VAR'!F81+'TX-EGM-VAR'!F81+'TX-HPL-VAR '!F81+'WE-VAR'!F81+BUG_VAR!F81</f>
        <v>0</v>
      </c>
      <c r="G81" s="65">
        <f>STG_VAR!G81+ONT_VAR!G81+'CE-VAR'!G81+'EAST-EGM-VAR'!G81+'BGC-EGM-VAR'!G81+'EAST-LRC-VAR'!G81+'TX-EGM-VAR'!G81+'TX-HPL-VAR '!G81+'WE-VAR'!G81+BUG_VAR!G81</f>
        <v>532436.44000000006</v>
      </c>
      <c r="H81" s="60">
        <f>F81-D81</f>
        <v>0</v>
      </c>
      <c r="I81" s="38">
        <f>G81-E81</f>
        <v>5000140.4400000004</v>
      </c>
    </row>
    <row r="82" spans="1:9" s="49" customFormat="1" ht="20.25" customHeight="1" thickBot="1" x14ac:dyDescent="0.25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-1421205.9551172087</v>
      </c>
      <c r="F82" s="92">
        <f>F16+F24+F29+F36+F43+F45+F47+F49</f>
        <v>5938</v>
      </c>
      <c r="G82" s="93">
        <f>SUM(G72:G81)+G16+G24+G29+G36+G43+G45+G47+G49+G51+G56+G61+G66</f>
        <v>-116077.79120005539</v>
      </c>
      <c r="H82" s="92">
        <f>H16+H24+H29+H36+H43+H45+H47+H49</f>
        <v>5938</v>
      </c>
      <c r="I82" s="93">
        <f>SUM(I72:I81)+I16+I24+I29+I36+I43+I45+I47+I49+I51+I56+I61+I66</f>
        <v>1305128.1639171066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177</v>
      </c>
      <c r="B85" s="3"/>
      <c r="F85" s="31"/>
      <c r="G85" s="31"/>
      <c r="H85" s="31"/>
      <c r="I85" s="31"/>
    </row>
    <row r="86" spans="1:9" x14ac:dyDescent="0.2">
      <c r="A86" s="177"/>
      <c r="B86" s="3"/>
      <c r="C86" s="10" t="s">
        <v>181</v>
      </c>
      <c r="D86" s="178">
        <f>STG_VAR!D86+ONT_VAR!D86+'CE-VAR'!D86+'EAST-EGM-VAR'!D86+'BGC-EGM-VAR'!D86+'EAST-LRC-VAR'!D86+'TX-EGM-VAR'!D86+'TX-HPL-VAR '!D86+'WE-VAR'!D86+BUG_VAR!D86</f>
        <v>0</v>
      </c>
      <c r="E86" s="178">
        <f>STG_VAR!E86+ONT_VAR!E86+'CE-VAR'!E86+'EAST-EGM-VAR'!E86+'BGC-EGM-VAR'!E86+'EAST-LRC-VAR'!E86+'TX-EGM-VAR'!E86+'TX-HPL-VAR '!E86+'WE-VAR'!E86+BUG_VAR!E86</f>
        <v>160703</v>
      </c>
      <c r="F86" s="178">
        <f>STG_VAR!F86+ONT_VAR!F86+'CE-VAR'!F86+'EAST-EGM-VAR'!F86+'BGC-EGM-VAR'!F86+'EAST-LRC-VAR'!F86+'TX-EGM-VAR'!F86+'TX-HPL-VAR '!F86+'WE-VAR'!F86+BUG_VAR!F86</f>
        <v>0</v>
      </c>
      <c r="G86" s="178">
        <f>STG_VAR!G86+ONT_VAR!G86+'CE-VAR'!G86+'EAST-EGM-VAR'!G86+'BGC-EGM-VAR'!G86+'EAST-LRC-VAR'!G86+'TX-EGM-VAR'!G86+'TX-HPL-VAR '!G86+'WE-VAR'!G86+BUG_VAR!G86</f>
        <v>176296.63000000012</v>
      </c>
      <c r="H86" s="178">
        <f t="shared" ref="H86:I88" si="15">F86-D86</f>
        <v>0</v>
      </c>
      <c r="I86" s="178">
        <f t="shared" si="15"/>
        <v>15593.630000000121</v>
      </c>
    </row>
    <row r="87" spans="1:9" x14ac:dyDescent="0.2">
      <c r="A87" s="177"/>
      <c r="B87" s="3"/>
      <c r="C87" s="10" t="s">
        <v>73</v>
      </c>
      <c r="D87" s="179">
        <f>STG_VAR!D87+ONT_VAR!D87+'CE-VAR'!D87+'EAST-EGM-VAR'!D87+'BGC-EGM-VAR'!D87+'EAST-LRC-VAR'!D87+'TX-EGM-VAR'!D87+'TX-HPL-VAR '!D87+'WE-VAR'!D87+BUG_VAR!D87</f>
        <v>0</v>
      </c>
      <c r="E87" s="179">
        <f>STG_VAR!E87+ONT_VAR!E87+'CE-VAR'!E87+'EAST-EGM-VAR'!E87+'BGC-EGM-VAR'!E87+'EAST-LRC-VAR'!E87+'TX-EGM-VAR'!E87+'TX-HPL-VAR '!E87+'WE-VAR'!E87+BUG_VAR!E87</f>
        <v>0</v>
      </c>
      <c r="F87" s="179">
        <f>STG_VAR!F87+ONT_VAR!F87+'CE-VAR'!F87+'EAST-EGM-VAR'!F87+'BGC-EGM-VAR'!F87+'EAST-LRC-VAR'!F87+'TX-EGM-VAR'!F87+'TX-HPL-VAR '!F87+'WE-VAR'!F87+BUG_VAR!F87</f>
        <v>0</v>
      </c>
      <c r="G87" s="179">
        <f>STG_VAR!G87+ONT_VAR!G87+'CE-VAR'!G87+'EAST-EGM-VAR'!G87+'BGC-EGM-VAR'!G87+'EAST-LRC-VAR'!G87+'TX-EGM-VAR'!G87+'TX-HPL-VAR '!G87+'WE-VAR'!G87+BUG_VAR!G87</f>
        <v>0</v>
      </c>
      <c r="H87" s="179">
        <f t="shared" si="15"/>
        <v>0</v>
      </c>
      <c r="I87" s="179">
        <f t="shared" si="15"/>
        <v>0</v>
      </c>
    </row>
    <row r="88" spans="1:9" x14ac:dyDescent="0.2">
      <c r="A88" s="177"/>
      <c r="B88" s="3"/>
      <c r="C88" s="10" t="s">
        <v>74</v>
      </c>
      <c r="D88" s="180">
        <f>STG_VAR!D88+ONT_VAR!D88+'CE-VAR'!D88+'EAST-EGM-VAR'!D88+'BGC-EGM-VAR'!D88+'EAST-LRC-VAR'!D88+'TX-EGM-VAR'!D88+'TX-HPL-VAR '!D88+'WE-VAR'!D88+BUG_VAR!D88</f>
        <v>0</v>
      </c>
      <c r="E88" s="180">
        <f>STG_VAR!E88+ONT_VAR!E88+'CE-VAR'!E88+'EAST-EGM-VAR'!E88+'BGC-EGM-VAR'!E88+'EAST-LRC-VAR'!E88+'TX-EGM-VAR'!E88+'TX-HPL-VAR '!E88+'WE-VAR'!E88+BUG_VAR!E88</f>
        <v>-113464</v>
      </c>
      <c r="F88" s="180">
        <f>STG_VAR!F88+ONT_VAR!F88+'CE-VAR'!F88+'EAST-EGM-VAR'!F88+'BGC-EGM-VAR'!F88+'EAST-LRC-VAR'!F88+'TX-EGM-VAR'!F88+'TX-HPL-VAR '!F88+'WE-VAR'!F88+BUG_VAR!F88</f>
        <v>0</v>
      </c>
      <c r="G88" s="180">
        <f>STG_VAR!G88+ONT_VAR!G88+'CE-VAR'!G88+'EAST-EGM-VAR'!G88+'BGC-EGM-VAR'!G88+'EAST-LRC-VAR'!G88+'TX-EGM-VAR'!G88+'TX-HPL-VAR '!G88+'WE-VAR'!G88+BUG_VAR!G88</f>
        <v>-128693</v>
      </c>
      <c r="H88" s="180">
        <f t="shared" si="15"/>
        <v>0</v>
      </c>
      <c r="I88" s="180">
        <f t="shared" si="15"/>
        <v>-15229</v>
      </c>
    </row>
    <row r="89" spans="1:9" s="143" customFormat="1" x14ac:dyDescent="0.2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47239</v>
      </c>
      <c r="F89" s="193">
        <f t="shared" si="16"/>
        <v>0</v>
      </c>
      <c r="G89" s="193">
        <f t="shared" si="16"/>
        <v>47603.630000000121</v>
      </c>
      <c r="H89" s="193">
        <f t="shared" si="16"/>
        <v>0</v>
      </c>
      <c r="I89" s="193">
        <f t="shared" si="16"/>
        <v>364.63000000012107</v>
      </c>
    </row>
    <row r="90" spans="1:9" s="143" customFormat="1" x14ac:dyDescent="0.2">
      <c r="A90" s="195"/>
      <c r="B90" s="192"/>
      <c r="D90" s="196"/>
      <c r="E90" s="196"/>
      <c r="F90" s="196"/>
      <c r="G90" s="196"/>
      <c r="H90" s="196"/>
      <c r="I90" s="196"/>
    </row>
    <row r="91" spans="1:9" s="143" customFormat="1" x14ac:dyDescent="0.2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-1373966.9551172087</v>
      </c>
      <c r="F91" s="193">
        <f t="shared" si="17"/>
        <v>5938</v>
      </c>
      <c r="G91" s="193">
        <f t="shared" si="17"/>
        <v>-68474.16120005527</v>
      </c>
      <c r="H91" s="193">
        <f t="shared" si="17"/>
        <v>5938</v>
      </c>
      <c r="I91" s="193">
        <f t="shared" si="17"/>
        <v>1305492.7939171067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F87" sqref="F87"/>
      <selection pane="topRight" activeCell="F87" sqref="F87"/>
      <selection pane="bottomLeft" activeCell="F87" sqref="F87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'CE-FLSH'!L11</f>
        <v>45194806</v>
      </c>
      <c r="E11" s="66">
        <f>'CE-FLSH'!M11</f>
        <v>84386708</v>
      </c>
      <c r="F11" s="60">
        <f>CE_GL!D11</f>
        <v>46285172</v>
      </c>
      <c r="G11" s="38">
        <f>CE_GL!E11</f>
        <v>96928900.129999995</v>
      </c>
      <c r="H11" s="60">
        <f>F11-D11</f>
        <v>1090366</v>
      </c>
      <c r="I11" s="38">
        <f>G11-E11</f>
        <v>12542192.129999995</v>
      </c>
    </row>
    <row r="12" spans="1:22" x14ac:dyDescent="0.2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-8520140.129999999</v>
      </c>
      <c r="H12" s="60">
        <f>F12-D12</f>
        <v>0</v>
      </c>
      <c r="I12" s="38">
        <f>G12-E12</f>
        <v>-8520140.129999999</v>
      </c>
    </row>
    <row r="13" spans="1:22" x14ac:dyDescent="0.2">
      <c r="A13" s="9">
        <v>3</v>
      </c>
      <c r="B13" s="7"/>
      <c r="C13" s="18" t="s">
        <v>29</v>
      </c>
      <c r="D13" s="65">
        <f>'CE-FLSH'!L13</f>
        <v>20611258</v>
      </c>
      <c r="E13" s="66">
        <f>'CE-FLSH'!M13</f>
        <v>43053097</v>
      </c>
      <c r="F13" s="60">
        <f>CE_GL!D13</f>
        <v>19267397</v>
      </c>
      <c r="G13" s="38">
        <f>CE_GL!E13</f>
        <v>40419816</v>
      </c>
      <c r="H13" s="60">
        <f t="shared" ref="H13:I15" si="0">F13-D13</f>
        <v>-1343861</v>
      </c>
      <c r="I13" s="38">
        <f t="shared" si="0"/>
        <v>-2633281</v>
      </c>
    </row>
    <row r="14" spans="1:22" x14ac:dyDescent="0.2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-2302848</v>
      </c>
      <c r="H15" s="60">
        <f t="shared" si="0"/>
        <v>0</v>
      </c>
      <c r="I15" s="38">
        <f t="shared" si="0"/>
        <v>-2302848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65806064</v>
      </c>
      <c r="E16" s="39">
        <f t="shared" si="1"/>
        <v>127439805</v>
      </c>
      <c r="F16" s="61">
        <f t="shared" si="1"/>
        <v>65552569</v>
      </c>
      <c r="G16" s="39">
        <f t="shared" si="1"/>
        <v>126525728</v>
      </c>
      <c r="H16" s="61">
        <f t="shared" si="1"/>
        <v>-253495</v>
      </c>
      <c r="I16" s="39">
        <f t="shared" si="1"/>
        <v>-914077.00000000373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'CE-FLSH'!L19</f>
        <v>-37082673</v>
      </c>
      <c r="E19" s="66">
        <f>'CE-FLSH'!M19</f>
        <v>-69793193</v>
      </c>
      <c r="F19" s="60">
        <f>CE_GL!D19</f>
        <v>-44465044</v>
      </c>
      <c r="G19" s="38">
        <f>CE_GL!E19</f>
        <v>-83163514.590000004</v>
      </c>
      <c r="H19" s="60">
        <f>F19-D19</f>
        <v>-7382371</v>
      </c>
      <c r="I19" s="38">
        <f>G19-E19</f>
        <v>-13370321.590000004</v>
      </c>
    </row>
    <row r="20" spans="1:9" x14ac:dyDescent="0.2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566995.99</v>
      </c>
      <c r="H20" s="60">
        <f>F20-D20</f>
        <v>0</v>
      </c>
      <c r="I20" s="38">
        <f>G20-E20</f>
        <v>566995.99</v>
      </c>
    </row>
    <row r="21" spans="1:9" x14ac:dyDescent="0.2">
      <c r="A21" s="9">
        <v>8</v>
      </c>
      <c r="B21" s="7"/>
      <c r="C21" s="18" t="s">
        <v>29</v>
      </c>
      <c r="D21" s="65">
        <f>'CE-FLSH'!L21</f>
        <v>-28052522</v>
      </c>
      <c r="E21" s="66">
        <f>'CE-FLSH'!M21</f>
        <v>-56479927</v>
      </c>
      <c r="F21" s="60">
        <f>CE_GL!D21</f>
        <v>-20710869</v>
      </c>
      <c r="G21" s="38">
        <f>CE_GL!E21</f>
        <v>-43021113</v>
      </c>
      <c r="H21" s="60">
        <f t="shared" ref="H21:I23" si="2">F21-D21</f>
        <v>7341653</v>
      </c>
      <c r="I21" s="38">
        <f t="shared" si="2"/>
        <v>13458814</v>
      </c>
    </row>
    <row r="22" spans="1:9" x14ac:dyDescent="0.2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'CE-FLSH'!L23</f>
        <v>282963</v>
      </c>
      <c r="E23" s="66">
        <f>'CE-FLSH'!M23</f>
        <v>576717</v>
      </c>
      <c r="F23" s="60">
        <f>CE_GL!D23</f>
        <v>633355</v>
      </c>
      <c r="G23" s="38">
        <f>CE_GL!E23</f>
        <v>1131805.3859999997</v>
      </c>
      <c r="H23" s="60">
        <f t="shared" si="2"/>
        <v>350392</v>
      </c>
      <c r="I23" s="38">
        <f t="shared" si="2"/>
        <v>555088.38599999971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-64852232</v>
      </c>
      <c r="E24" s="39">
        <f t="shared" si="3"/>
        <v>-125696403</v>
      </c>
      <c r="F24" s="61">
        <f t="shared" si="3"/>
        <v>-64542558</v>
      </c>
      <c r="G24" s="39">
        <f t="shared" si="3"/>
        <v>-124485826.21400002</v>
      </c>
      <c r="H24" s="61">
        <f t="shared" si="3"/>
        <v>309674</v>
      </c>
      <c r="I24" s="39">
        <f t="shared" si="3"/>
        <v>1210576.7859999964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126060</v>
      </c>
      <c r="G27" s="38">
        <f>CE_GL!E27</f>
        <v>268198.36</v>
      </c>
      <c r="H27" s="60">
        <f>F27-D27</f>
        <v>126060</v>
      </c>
      <c r="I27" s="38">
        <f>G27-E27</f>
        <v>268198.36</v>
      </c>
    </row>
    <row r="28" spans="1:9" x14ac:dyDescent="0.2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-18000</v>
      </c>
      <c r="G28" s="38">
        <f>CE_GL!E28</f>
        <v>-32308.2</v>
      </c>
      <c r="H28" s="60">
        <f>F28-D28</f>
        <v>-18000</v>
      </c>
      <c r="I28" s="38">
        <f>G28-E28</f>
        <v>-32308.2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108060</v>
      </c>
      <c r="G29" s="70">
        <f t="shared" si="4"/>
        <v>235890.15999999997</v>
      </c>
      <c r="H29" s="69">
        <f t="shared" si="4"/>
        <v>108060</v>
      </c>
      <c r="I29" s="70">
        <f t="shared" si="4"/>
        <v>235890.15999999997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'CE-FLSH'!L32</f>
        <v>4358962</v>
      </c>
      <c r="E32" s="66">
        <f>'CE-FLSH'!M32</f>
        <v>9374910</v>
      </c>
      <c r="F32" s="60">
        <f>CE_GL!D32</f>
        <v>-590957</v>
      </c>
      <c r="G32" s="38">
        <f>CE_GL!E32</f>
        <v>-1056266.824</v>
      </c>
      <c r="H32" s="60">
        <f>F32-D32</f>
        <v>-4949919</v>
      </c>
      <c r="I32" s="38">
        <f>G32-E32</f>
        <v>-10431176.824000001</v>
      </c>
    </row>
    <row r="33" spans="1:9" x14ac:dyDescent="0.2">
      <c r="A33" s="9">
        <v>14</v>
      </c>
      <c r="B33" s="7"/>
      <c r="C33" s="18" t="s">
        <v>42</v>
      </c>
      <c r="D33" s="65">
        <f>'CE-FLSH'!L33</f>
        <v>-4262794</v>
      </c>
      <c r="E33" s="66">
        <f>'CE-FLSH'!M33</f>
        <v>-9065205.4835439865</v>
      </c>
      <c r="F33" s="60">
        <f>CE_GL!D33</f>
        <v>-8586</v>
      </c>
      <c r="G33" s="38">
        <f>CE_GL!E33</f>
        <v>-18618.55</v>
      </c>
      <c r="H33" s="60">
        <f t="shared" ref="H33:I35" si="5">F33-D33</f>
        <v>4254208</v>
      </c>
      <c r="I33" s="38">
        <f t="shared" si="5"/>
        <v>9046586.9335439857</v>
      </c>
    </row>
    <row r="34" spans="1:9" x14ac:dyDescent="0.2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12862</v>
      </c>
      <c r="G34" s="38">
        <f>CE_GL!E34</f>
        <v>32727.170000000002</v>
      </c>
      <c r="H34" s="60">
        <f t="shared" si="5"/>
        <v>12862</v>
      </c>
      <c r="I34" s="38">
        <f t="shared" si="5"/>
        <v>32727.170000000002</v>
      </c>
    </row>
    <row r="35" spans="1:9" x14ac:dyDescent="0.2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-0.01</v>
      </c>
      <c r="H35" s="60">
        <f t="shared" si="5"/>
        <v>0</v>
      </c>
      <c r="I35" s="38">
        <f t="shared" si="5"/>
        <v>-0.01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96168</v>
      </c>
      <c r="E36" s="39">
        <f t="shared" si="6"/>
        <v>309704.51645601355</v>
      </c>
      <c r="F36" s="61">
        <f t="shared" si="6"/>
        <v>-586681</v>
      </c>
      <c r="G36" s="39">
        <f t="shared" si="6"/>
        <v>-1042158.214</v>
      </c>
      <c r="H36" s="61">
        <f t="shared" si="6"/>
        <v>-682849</v>
      </c>
      <c r="I36" s="39">
        <f t="shared" si="6"/>
        <v>-1351862.7304560153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'CE-FLSH'!L39</f>
        <v>900000</v>
      </c>
      <c r="E39" s="66">
        <f>'CE-FLSH'!M39</f>
        <v>1773000</v>
      </c>
      <c r="F39" s="60">
        <f>CE_GL!D39</f>
        <v>290000</v>
      </c>
      <c r="G39" s="38">
        <f>CE_GL!E39</f>
        <v>518230</v>
      </c>
      <c r="H39" s="60">
        <f t="shared" ref="H39:I41" si="7">F39-D39</f>
        <v>-610000</v>
      </c>
      <c r="I39" s="38">
        <f t="shared" si="7"/>
        <v>-1254770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'CE-FLSH'!L40</f>
        <v>-1950000</v>
      </c>
      <c r="E40" s="66">
        <f>'CE-FLSH'!M40</f>
        <v>-3832200</v>
      </c>
      <c r="F40" s="60">
        <f>CE_GL!D40</f>
        <v>-8</v>
      </c>
      <c r="G40" s="38">
        <f>CE_GL!E40</f>
        <v>-30.759999999996797</v>
      </c>
      <c r="H40" s="60">
        <f t="shared" si="7"/>
        <v>1949992</v>
      </c>
      <c r="I40" s="38">
        <f t="shared" si="7"/>
        <v>3832169.24</v>
      </c>
    </row>
    <row r="41" spans="1:9" x14ac:dyDescent="0.2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-1950000</v>
      </c>
      <c r="E42" s="70">
        <f t="shared" si="8"/>
        <v>-3832200</v>
      </c>
      <c r="F42" s="69">
        <f t="shared" si="8"/>
        <v>-8</v>
      </c>
      <c r="G42" s="70">
        <f t="shared" si="8"/>
        <v>-30.759999999996797</v>
      </c>
      <c r="H42" s="69">
        <f t="shared" si="8"/>
        <v>1949992</v>
      </c>
      <c r="I42" s="70">
        <f t="shared" si="8"/>
        <v>3832169.24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-1050000</v>
      </c>
      <c r="E43" s="39">
        <f t="shared" si="9"/>
        <v>-2059200</v>
      </c>
      <c r="F43" s="61">
        <f t="shared" si="9"/>
        <v>289992</v>
      </c>
      <c r="G43" s="39">
        <f t="shared" si="9"/>
        <v>518199.24</v>
      </c>
      <c r="H43" s="61">
        <f t="shared" si="9"/>
        <v>1339992</v>
      </c>
      <c r="I43" s="39">
        <f t="shared" si="9"/>
        <v>2577399.2400000002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'CE-FLSH'!L49</f>
        <v>0</v>
      </c>
      <c r="E49" s="66">
        <f>'CE-FLSH'!M49</f>
        <v>0</v>
      </c>
      <c r="F49" s="60">
        <f>CE_GL!D49</f>
        <v>-821382</v>
      </c>
      <c r="G49" s="38">
        <f>CE_GL!E49</f>
        <v>-1467809.6340000005</v>
      </c>
      <c r="H49" s="60">
        <f>F49-D49</f>
        <v>-821382</v>
      </c>
      <c r="I49" s="38">
        <f>G49-E49</f>
        <v>-1467809.6340000005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'CE-FLSH'!L51</f>
        <v>-282963</v>
      </c>
      <c r="E51" s="66">
        <f>'CE-FLSH'!M51</f>
        <v>-576717</v>
      </c>
      <c r="F51" s="60">
        <f>CE_GL!D51</f>
        <v>-633355</v>
      </c>
      <c r="G51" s="38">
        <f>CE_GL!E51</f>
        <v>-1131805.3859999997</v>
      </c>
      <c r="H51" s="60">
        <f>F51-D51</f>
        <v>-350392</v>
      </c>
      <c r="I51" s="38">
        <f>G51-E51</f>
        <v>-555088.38599999971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-12786</v>
      </c>
      <c r="F54" s="60">
        <f>CE_GL!D54</f>
        <v>-25297012</v>
      </c>
      <c r="G54" s="38">
        <f>CE_GL!E54</f>
        <v>-2882517.4199999995</v>
      </c>
      <c r="H54" s="60">
        <f>F54-D54</f>
        <v>-25297012</v>
      </c>
      <c r="I54" s="38">
        <f>G54-E54</f>
        <v>-2869731.4199999995</v>
      </c>
    </row>
    <row r="55" spans="1:9" x14ac:dyDescent="0.2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-1930351</v>
      </c>
      <c r="F55" s="60">
        <f>CE_GL!D55</f>
        <v>0</v>
      </c>
      <c r="G55" s="38">
        <f>CE_GL!E55</f>
        <v>970228.41</v>
      </c>
      <c r="H55" s="60">
        <f>F55-D55</f>
        <v>0</v>
      </c>
      <c r="I55" s="38">
        <f>G55-E55</f>
        <v>2900579.41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-1943137</v>
      </c>
      <c r="F56" s="61">
        <f t="shared" si="10"/>
        <v>-25297012</v>
      </c>
      <c r="G56" s="39">
        <f t="shared" si="10"/>
        <v>-1912289.0099999993</v>
      </c>
      <c r="H56" s="61">
        <f t="shared" si="10"/>
        <v>-25297012</v>
      </c>
      <c r="I56" s="39">
        <f t="shared" si="10"/>
        <v>30847.990000000689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1975516.6388235297</v>
      </c>
      <c r="F70" s="60">
        <f>CE_GL!D70</f>
        <v>0</v>
      </c>
      <c r="G70" s="38">
        <f>CE_GL!E70</f>
        <v>1513816.64</v>
      </c>
      <c r="H70" s="60">
        <f>F70-D70</f>
        <v>0</v>
      </c>
      <c r="I70" s="38">
        <f>G70-E70</f>
        <v>-461699.99882352981</v>
      </c>
    </row>
    <row r="71" spans="1:9" x14ac:dyDescent="0.2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91873</v>
      </c>
      <c r="F71" s="60">
        <f>CE_GL!D71</f>
        <v>0</v>
      </c>
      <c r="G71" s="38">
        <f>CE_GL!E71</f>
        <v>91871</v>
      </c>
      <c r="H71" s="60">
        <f>F71-D71</f>
        <v>0</v>
      </c>
      <c r="I71" s="38">
        <f>G71-E71</f>
        <v>-2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2067389.6388235297</v>
      </c>
      <c r="F72" s="69">
        <f t="shared" si="13"/>
        <v>0</v>
      </c>
      <c r="G72" s="70">
        <f t="shared" si="13"/>
        <v>1605687.64</v>
      </c>
      <c r="H72" s="69">
        <f t="shared" si="13"/>
        <v>0</v>
      </c>
      <c r="I72" s="70">
        <f t="shared" si="13"/>
        <v>-461701.99882352981</v>
      </c>
    </row>
    <row r="73" spans="1:9" x14ac:dyDescent="0.2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-1068647</v>
      </c>
      <c r="F74" s="60">
        <f>CE_GL!D74</f>
        <v>0</v>
      </c>
      <c r="G74" s="38">
        <f>CE_GL!E74</f>
        <v>-859609.97</v>
      </c>
      <c r="H74" s="60">
        <f t="shared" ref="H74:I79" si="14">F74-D74</f>
        <v>0</v>
      </c>
      <c r="I74" s="38">
        <f t="shared" si="14"/>
        <v>209037.03000000003</v>
      </c>
    </row>
    <row r="75" spans="1:9" x14ac:dyDescent="0.2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92059</v>
      </c>
      <c r="F75" s="60">
        <f>CE_GL!D75</f>
        <v>0</v>
      </c>
      <c r="G75" s="38">
        <f>CE_GL!E75</f>
        <v>92100</v>
      </c>
      <c r="H75" s="60">
        <f t="shared" si="14"/>
        <v>0</v>
      </c>
      <c r="I75" s="38">
        <f t="shared" si="14"/>
        <v>41</v>
      </c>
    </row>
    <row r="76" spans="1:9" x14ac:dyDescent="0.2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-18252</v>
      </c>
      <c r="F76" s="60">
        <f>CE_GL!D76</f>
        <v>0</v>
      </c>
      <c r="G76" s="38">
        <f>CE_GL!E76</f>
        <v>-18467.439999999999</v>
      </c>
      <c r="H76" s="60">
        <f t="shared" si="14"/>
        <v>0</v>
      </c>
      <c r="I76" s="38">
        <f t="shared" si="14"/>
        <v>-215.43999999999869</v>
      </c>
    </row>
    <row r="77" spans="1:9" x14ac:dyDescent="0.2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24750</v>
      </c>
      <c r="H77" s="60">
        <f t="shared" si="14"/>
        <v>0</v>
      </c>
      <c r="I77" s="38">
        <f t="shared" si="14"/>
        <v>24750</v>
      </c>
    </row>
    <row r="78" spans="1:9" x14ac:dyDescent="0.2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1442186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-1442186</v>
      </c>
    </row>
    <row r="80" spans="1:9" x14ac:dyDescent="0.2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-89689</v>
      </c>
      <c r="F81" s="60">
        <f>CE_GL!D81</f>
        <v>0</v>
      </c>
      <c r="G81" s="38">
        <f>CE_GL!E81</f>
        <v>14063.12</v>
      </c>
      <c r="H81" s="60">
        <f>F81-D81</f>
        <v>0</v>
      </c>
      <c r="I81" s="38">
        <f>G81-E81</f>
        <v>103752.12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-100900.84472046234</v>
      </c>
      <c r="F82" s="71">
        <f>F16+F24+F29+F36+F43+F45+F47+F49</f>
        <v>0</v>
      </c>
      <c r="G82" s="72">
        <f>SUM(G72:G81)+G16+G24+G29+G36+G43+G45+G47+G49+G51+G56+G61+G66</f>
        <v>-1901547.7080000222</v>
      </c>
      <c r="H82" s="71">
        <f>H16+H24+H29+H36+H43+H45+H47+H49</f>
        <v>0</v>
      </c>
      <c r="I82" s="72">
        <f>SUM(I72:I81)+I16+I24+I29+I36+I43+I45+I47+I49+I51+I56+I61+I66</f>
        <v>-1800646.8632795515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68" activePane="bottomRight" state="frozen"/>
      <selection activeCell="H86" sqref="H86"/>
      <selection pane="topRight" activeCell="H86" sqref="H86"/>
      <selection pane="bottomLeft" activeCell="H86" sqref="H86"/>
      <selection pane="bottomRight" activeCell="C78" sqref="C7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8.28515625" customWidth="1"/>
    <col min="8" max="8" width="15.42578125" customWidth="1"/>
    <col min="9" max="9" width="18.28515625" customWidth="1"/>
    <col min="10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'EAST-EGM-FLSH'!L11</f>
        <v>64434638</v>
      </c>
      <c r="E11" s="66">
        <f>'EAST-EGM-FLSH'!M11</f>
        <v>125065023</v>
      </c>
      <c r="F11" s="60">
        <f>'EAST-EGM-GL'!D11</f>
        <v>78538325</v>
      </c>
      <c r="G11" s="38">
        <f>'EAST-EGM-GL'!E11</f>
        <v>161825193.13</v>
      </c>
      <c r="H11" s="60">
        <f>F11-D11</f>
        <v>14103687</v>
      </c>
      <c r="I11" s="38">
        <f>G11-E11</f>
        <v>36760170.129999995</v>
      </c>
    </row>
    <row r="12" spans="1:22" x14ac:dyDescent="0.2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-3730461.0300000003</v>
      </c>
      <c r="H12" s="60">
        <f>F12-D12</f>
        <v>0</v>
      </c>
      <c r="I12" s="38">
        <f>G12-E12</f>
        <v>-3730461.0300000003</v>
      </c>
    </row>
    <row r="13" spans="1:22" x14ac:dyDescent="0.2">
      <c r="A13" s="9">
        <v>3</v>
      </c>
      <c r="B13" s="7"/>
      <c r="C13" s="18" t="s">
        <v>29</v>
      </c>
      <c r="D13" s="65">
        <f>'EAST-EGM-FLSH'!L13</f>
        <v>62829980</v>
      </c>
      <c r="E13" s="66">
        <f>'EAST-EGM-FLSH'!M13</f>
        <v>130019511.88</v>
      </c>
      <c r="F13" s="60">
        <f>'EAST-EGM-GL'!D13</f>
        <v>46521011</v>
      </c>
      <c r="G13" s="38">
        <f>'EAST-EGM-GL'!E13</f>
        <v>97011870</v>
      </c>
      <c r="H13" s="60">
        <f t="shared" ref="H13:I15" si="0">F13-D13</f>
        <v>-16308969</v>
      </c>
      <c r="I13" s="38">
        <f t="shared" si="0"/>
        <v>-33007641.879999995</v>
      </c>
    </row>
    <row r="14" spans="1:22" x14ac:dyDescent="0.2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23988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-23988</v>
      </c>
    </row>
    <row r="15" spans="1:22" x14ac:dyDescent="0.2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127264618</v>
      </c>
      <c r="E16" s="39">
        <f t="shared" si="1"/>
        <v>255108522.88</v>
      </c>
      <c r="F16" s="61">
        <f t="shared" si="1"/>
        <v>125059336</v>
      </c>
      <c r="G16" s="39">
        <f t="shared" si="1"/>
        <v>255106602.09999999</v>
      </c>
      <c r="H16" s="61">
        <f t="shared" si="1"/>
        <v>-2205282</v>
      </c>
      <c r="I16" s="39">
        <f t="shared" si="1"/>
        <v>-1920.7800000011921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'EAST-EGM-FLSH'!L19</f>
        <v>-83832810</v>
      </c>
      <c r="E19" s="66">
        <f>'EAST-EGM-FLSH'!M19</f>
        <v>-162098232</v>
      </c>
      <c r="F19" s="60">
        <f>'EAST-EGM-GL'!D19</f>
        <v>-87370790</v>
      </c>
      <c r="G19" s="38">
        <f>'EAST-EGM-GL'!E19</f>
        <v>-171840781.75000006</v>
      </c>
      <c r="H19" s="60">
        <f>F19-D19</f>
        <v>-3537980</v>
      </c>
      <c r="I19" s="38">
        <f>G19-E19</f>
        <v>-9742549.7500000596</v>
      </c>
    </row>
    <row r="20" spans="1:9" x14ac:dyDescent="0.2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-396992.78</v>
      </c>
      <c r="H20" s="60">
        <f>F20-D20</f>
        <v>0</v>
      </c>
      <c r="I20" s="38">
        <f>G20-E20</f>
        <v>-396992.78</v>
      </c>
    </row>
    <row r="21" spans="1:9" x14ac:dyDescent="0.2">
      <c r="A21" s="9">
        <v>8</v>
      </c>
      <c r="B21" s="7"/>
      <c r="C21" s="18" t="s">
        <v>29</v>
      </c>
      <c r="D21" s="65">
        <f>'EAST-EGM-FLSH'!L21</f>
        <v>-44139634</v>
      </c>
      <c r="E21" s="66">
        <f>'EAST-EGM-FLSH'!M21</f>
        <v>-93887345</v>
      </c>
      <c r="F21" s="60">
        <f>'EAST-EGM-GL'!D21</f>
        <v>-36200601</v>
      </c>
      <c r="G21" s="38">
        <f>'EAST-EGM-GL'!E21</f>
        <v>-77799344</v>
      </c>
      <c r="H21" s="60">
        <f t="shared" ref="H21:I23" si="2">F21-D21</f>
        <v>7939033</v>
      </c>
      <c r="I21" s="38">
        <f t="shared" si="2"/>
        <v>16088001</v>
      </c>
    </row>
    <row r="22" spans="1:9" x14ac:dyDescent="0.2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'EAST-EGM-FLSH'!L23</f>
        <v>216351</v>
      </c>
      <c r="E23" s="66">
        <f>'EAST-EGM-FLSH'!M23</f>
        <v>447093</v>
      </c>
      <c r="F23" s="60">
        <f>'EAST-EGM-GL'!D23</f>
        <v>222567</v>
      </c>
      <c r="G23" s="38">
        <f>'EAST-EGM-GL'!E23</f>
        <v>422432.16800000001</v>
      </c>
      <c r="H23" s="60">
        <f t="shared" si="2"/>
        <v>6216</v>
      </c>
      <c r="I23" s="38">
        <f t="shared" si="2"/>
        <v>-24660.831999999995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-127756093</v>
      </c>
      <c r="E24" s="39">
        <f t="shared" si="3"/>
        <v>-255538484</v>
      </c>
      <c r="F24" s="61">
        <f t="shared" si="3"/>
        <v>-123348824</v>
      </c>
      <c r="G24" s="39">
        <f t="shared" si="3"/>
        <v>-249614686.36200005</v>
      </c>
      <c r="H24" s="61">
        <f t="shared" si="3"/>
        <v>4407269</v>
      </c>
      <c r="I24" s="39">
        <f t="shared" si="3"/>
        <v>5923797.6379999407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'EAST-EGM-FLSH'!L27</f>
        <v>-1048761</v>
      </c>
      <c r="E27" s="66">
        <f>'EAST-EGM-FLSH'!M27</f>
        <v>-2237340</v>
      </c>
      <c r="F27" s="60">
        <f>'EAST-EGM-GL'!D27</f>
        <v>0</v>
      </c>
      <c r="G27" s="38">
        <f>'EAST-EGM-GL'!E27</f>
        <v>-1567.5</v>
      </c>
      <c r="H27" s="60">
        <f>F27-D27</f>
        <v>1048761</v>
      </c>
      <c r="I27" s="38">
        <f>G27-E27</f>
        <v>2235772.5</v>
      </c>
    </row>
    <row r="28" spans="1:9" x14ac:dyDescent="0.2">
      <c r="A28" s="9">
        <v>12</v>
      </c>
      <c r="B28" s="7"/>
      <c r="C28" s="18" t="s">
        <v>38</v>
      </c>
      <c r="D28" s="65">
        <f>'EAST-EGM-FLSH'!L28</f>
        <v>465252</v>
      </c>
      <c r="E28" s="66">
        <f>'EAST-EGM-FLSH'!M28</f>
        <v>1000242</v>
      </c>
      <c r="F28" s="60">
        <f>'EAST-EGM-GL'!D28</f>
        <v>-2326676</v>
      </c>
      <c r="G28" s="38">
        <f>'EAST-EGM-GL'!E28</f>
        <v>-4931433.41</v>
      </c>
      <c r="H28" s="60">
        <f>F28-D28</f>
        <v>-2791928</v>
      </c>
      <c r="I28" s="38">
        <f>G28-E28</f>
        <v>-5931675.4100000001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-583509</v>
      </c>
      <c r="E29" s="70">
        <f t="shared" si="4"/>
        <v>-1237098</v>
      </c>
      <c r="F29" s="69">
        <f t="shared" si="4"/>
        <v>-2326676</v>
      </c>
      <c r="G29" s="70">
        <f t="shared" si="4"/>
        <v>-4933000.91</v>
      </c>
      <c r="H29" s="69">
        <f t="shared" si="4"/>
        <v>-1743167</v>
      </c>
      <c r="I29" s="70">
        <f t="shared" si="4"/>
        <v>-3695902.91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'EAST-EGM-FLSH'!L32</f>
        <v>219015</v>
      </c>
      <c r="E32" s="66">
        <f>'EAST-EGM-FLSH'!M32</f>
        <v>450193</v>
      </c>
      <c r="F32" s="60">
        <f>'EAST-EGM-GL'!D32</f>
        <v>299588</v>
      </c>
      <c r="G32" s="38">
        <f>'EAST-EGM-GL'!E32</f>
        <v>568618.196</v>
      </c>
      <c r="H32" s="60">
        <f>F32-D32</f>
        <v>80573</v>
      </c>
      <c r="I32" s="38">
        <f>G32-E32</f>
        <v>118425.196</v>
      </c>
    </row>
    <row r="33" spans="1:9" x14ac:dyDescent="0.2">
      <c r="A33" s="9">
        <v>14</v>
      </c>
      <c r="B33" s="7"/>
      <c r="C33" s="18" t="s">
        <v>42</v>
      </c>
      <c r="D33" s="65">
        <f>'EAST-EGM-FLSH'!L33</f>
        <v>-90042</v>
      </c>
      <c r="E33" s="66">
        <f>'EAST-EGM-FLSH'!M33</f>
        <v>-210654.13123970717</v>
      </c>
      <c r="F33" s="60">
        <f>'EAST-EGM-GL'!D33</f>
        <v>-529977</v>
      </c>
      <c r="G33" s="38">
        <f>'EAST-EGM-GL'!E33</f>
        <v>-1099530.46</v>
      </c>
      <c r="H33" s="60">
        <f t="shared" ref="H33:I35" si="5">F33-D33</f>
        <v>-439935</v>
      </c>
      <c r="I33" s="38">
        <f t="shared" si="5"/>
        <v>-888876.32876029285</v>
      </c>
    </row>
    <row r="34" spans="1:9" x14ac:dyDescent="0.2">
      <c r="A34" s="9">
        <v>15</v>
      </c>
      <c r="B34" s="7"/>
      <c r="C34" s="18" t="s">
        <v>43</v>
      </c>
      <c r="D34" s="65">
        <f>'EAST-EGM-FLSH'!L34</f>
        <v>312593</v>
      </c>
      <c r="E34" s="66">
        <f>'EAST-EGM-FLSH'!M34</f>
        <v>647665</v>
      </c>
      <c r="F34" s="60">
        <f>'EAST-EGM-GL'!D34</f>
        <v>134471</v>
      </c>
      <c r="G34" s="38">
        <f>'EAST-EGM-GL'!E34</f>
        <v>268946.80000000005</v>
      </c>
      <c r="H34" s="60">
        <f t="shared" si="5"/>
        <v>-178122</v>
      </c>
      <c r="I34" s="38">
        <f t="shared" si="5"/>
        <v>-378718.19999999995</v>
      </c>
    </row>
    <row r="35" spans="1:9" x14ac:dyDescent="0.2">
      <c r="A35" s="9">
        <v>16</v>
      </c>
      <c r="B35" s="7"/>
      <c r="C35" s="18" t="s">
        <v>44</v>
      </c>
      <c r="D35" s="65">
        <f>'EAST-EGM-FLSH'!L35</f>
        <v>-607651</v>
      </c>
      <c r="E35" s="66">
        <f>'EAST-EGM-FLSH'!M35</f>
        <v>-1210618</v>
      </c>
      <c r="F35" s="60">
        <f>'EAST-EGM-GL'!D35</f>
        <v>-10006</v>
      </c>
      <c r="G35" s="38">
        <f>'EAST-EGM-GL'!E35</f>
        <v>18979.990000000002</v>
      </c>
      <c r="H35" s="60">
        <f t="shared" si="5"/>
        <v>597645</v>
      </c>
      <c r="I35" s="38">
        <f t="shared" si="5"/>
        <v>1229597.99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-166085</v>
      </c>
      <c r="E36" s="39">
        <f t="shared" si="6"/>
        <v>-323414.13123970712</v>
      </c>
      <c r="F36" s="61">
        <f t="shared" si="6"/>
        <v>-105924</v>
      </c>
      <c r="G36" s="39">
        <f t="shared" si="6"/>
        <v>-242985.47399999993</v>
      </c>
      <c r="H36" s="61">
        <f t="shared" si="6"/>
        <v>60161</v>
      </c>
      <c r="I36" s="39">
        <f t="shared" si="6"/>
        <v>80428.657239707187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'EAST-EGM-FLSH'!L39</f>
        <v>162406</v>
      </c>
      <c r="E39" s="66">
        <f>'EAST-EGM-FLSH'!M39</f>
        <v>-51817</v>
      </c>
      <c r="F39" s="60">
        <f>'EAST-EGM-GL'!D39</f>
        <v>55703</v>
      </c>
      <c r="G39" s="38">
        <f>'EAST-EGM-GL'!E39</f>
        <v>73947.150000000023</v>
      </c>
      <c r="H39" s="60">
        <f t="shared" ref="H39:I41" si="7">F39-D39</f>
        <v>-106703</v>
      </c>
      <c r="I39" s="38">
        <f t="shared" si="7"/>
        <v>125764.15000000002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'EAST-EGM-FLSH'!L40</f>
        <v>0</v>
      </c>
      <c r="E40" s="66">
        <f>'EAST-EGM-FLSH'!M40</f>
        <v>0</v>
      </c>
      <c r="F40" s="60">
        <f>'EAST-EGM-GL'!D40</f>
        <v>165506</v>
      </c>
      <c r="G40" s="38">
        <f>'EAST-EGM-GL'!E40</f>
        <v>345907.54</v>
      </c>
      <c r="H40" s="60">
        <f t="shared" si="7"/>
        <v>165506</v>
      </c>
      <c r="I40" s="38">
        <f t="shared" si="7"/>
        <v>345907.54</v>
      </c>
    </row>
    <row r="41" spans="1:9" x14ac:dyDescent="0.2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165506</v>
      </c>
      <c r="G42" s="70">
        <f t="shared" si="8"/>
        <v>345907.54</v>
      </c>
      <c r="H42" s="69">
        <f t="shared" si="8"/>
        <v>165506</v>
      </c>
      <c r="I42" s="70">
        <f t="shared" si="8"/>
        <v>345907.54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162406</v>
      </c>
      <c r="E43" s="39">
        <f t="shared" si="9"/>
        <v>-51817</v>
      </c>
      <c r="F43" s="61">
        <f t="shared" si="9"/>
        <v>221209</v>
      </c>
      <c r="G43" s="39">
        <f t="shared" si="9"/>
        <v>419854.69</v>
      </c>
      <c r="H43" s="61">
        <f t="shared" si="9"/>
        <v>58803</v>
      </c>
      <c r="I43" s="39">
        <f t="shared" si="9"/>
        <v>471671.69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'EAST-EGM-FLSH'!L49</f>
        <v>1138663</v>
      </c>
      <c r="E49" s="66">
        <f>'EAST-EGM-FLSH'!M49</f>
        <v>2379012.4176088842</v>
      </c>
      <c r="F49" s="60">
        <f>'EAST-EGM-GL'!D49</f>
        <v>500879</v>
      </c>
      <c r="G49" s="38">
        <f>'EAST-EGM-GL'!E49</f>
        <v>950668.34200000018</v>
      </c>
      <c r="H49" s="60">
        <f>F49-D49</f>
        <v>-637784</v>
      </c>
      <c r="I49" s="38">
        <f>G49-E49</f>
        <v>-1428344.075608884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'EAST-EGM-FLSH'!L51</f>
        <v>-216351</v>
      </c>
      <c r="E51" s="66">
        <f>'EAST-EGM-FLSH'!M51</f>
        <v>-447093</v>
      </c>
      <c r="F51" s="60">
        <f>'EAST-EGM-GL'!D51</f>
        <v>-242758</v>
      </c>
      <c r="G51" s="38">
        <f>'EAST-EGM-GL'!E51</f>
        <v>-422432.16800000001</v>
      </c>
      <c r="H51" s="60">
        <f>F51-D51</f>
        <v>-26407</v>
      </c>
      <c r="I51" s="38">
        <f>G51-E51</f>
        <v>24660.831999999995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-633096</v>
      </c>
      <c r="F54" s="60">
        <f>'EAST-EGM-GL'!D54</f>
        <v>-19316374</v>
      </c>
      <c r="G54" s="38">
        <f>'EAST-EGM-GL'!E54</f>
        <v>-654674.99999999988</v>
      </c>
      <c r="H54" s="60">
        <f>F54-D54</f>
        <v>-19316374</v>
      </c>
      <c r="I54" s="38">
        <f>G54-E54</f>
        <v>-21578.999999999884</v>
      </c>
    </row>
    <row r="55" spans="1:9" x14ac:dyDescent="0.2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-1418498</v>
      </c>
      <c r="F55" s="60">
        <f>'EAST-EGM-GL'!D55</f>
        <v>0</v>
      </c>
      <c r="G55" s="38">
        <f>'EAST-EGM-GL'!E55</f>
        <v>-2099349.65</v>
      </c>
      <c r="H55" s="60">
        <f>F55-D55</f>
        <v>0</v>
      </c>
      <c r="I55" s="38">
        <f>G55-E55</f>
        <v>-680851.64999999991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-2051594</v>
      </c>
      <c r="F56" s="61">
        <f t="shared" si="10"/>
        <v>-19316374</v>
      </c>
      <c r="G56" s="39">
        <f t="shared" si="10"/>
        <v>-2754024.65</v>
      </c>
      <c r="H56" s="61">
        <f t="shared" si="10"/>
        <v>-19316374</v>
      </c>
      <c r="I56" s="39">
        <f t="shared" si="10"/>
        <v>-702430.64999999979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-124631.32105263158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124631.32105263158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-124631.32105263158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124631.32105263158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124631.32105263158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-124631.32105263158</v>
      </c>
    </row>
    <row r="65" spans="1:9" x14ac:dyDescent="0.2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-124631.32105263158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-196194.05499999993</v>
      </c>
      <c r="F70" s="60">
        <f>'EAST-EGM-GL'!D70</f>
        <v>0</v>
      </c>
      <c r="G70" s="38">
        <f>'EAST-EGM-GL'!E70</f>
        <v>7684468.9400000004</v>
      </c>
      <c r="H70" s="60">
        <f>F70-D70</f>
        <v>0</v>
      </c>
      <c r="I70" s="38">
        <f>G70-E70</f>
        <v>7880662.9950000001</v>
      </c>
    </row>
    <row r="71" spans="1:9" x14ac:dyDescent="0.2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1948024.15</v>
      </c>
      <c r="F71" s="60">
        <f>'EAST-EGM-GL'!D71</f>
        <v>0</v>
      </c>
      <c r="G71" s="38">
        <f>'EAST-EGM-GL'!E71</f>
        <v>-6061806</v>
      </c>
      <c r="H71" s="60">
        <f>F71-D71</f>
        <v>0</v>
      </c>
      <c r="I71" s="38">
        <f>G71-E71</f>
        <v>-8009830.1500000004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1751830.095</v>
      </c>
      <c r="F72" s="69">
        <f t="shared" si="13"/>
        <v>0</v>
      </c>
      <c r="G72" s="70">
        <f t="shared" si="13"/>
        <v>1622662.9400000004</v>
      </c>
      <c r="H72" s="69">
        <f t="shared" si="13"/>
        <v>0</v>
      </c>
      <c r="I72" s="70">
        <f t="shared" si="13"/>
        <v>-129167.15500000026</v>
      </c>
    </row>
    <row r="73" spans="1:9" x14ac:dyDescent="0.2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932209</v>
      </c>
      <c r="F74" s="60">
        <f>'EAST-EGM-GL'!D74</f>
        <v>0</v>
      </c>
      <c r="G74" s="38">
        <f>'EAST-EGM-GL'!E74</f>
        <v>758679.64999999991</v>
      </c>
      <c r="H74" s="60">
        <f t="shared" ref="H74:I79" si="14">F74-D74</f>
        <v>0</v>
      </c>
      <c r="I74" s="38">
        <f t="shared" si="14"/>
        <v>-173529.35000000009</v>
      </c>
    </row>
    <row r="75" spans="1:9" x14ac:dyDescent="0.2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388</v>
      </c>
      <c r="F75" s="60">
        <f>'EAST-EGM-GL'!D75</f>
        <v>0</v>
      </c>
      <c r="G75" s="38">
        <f>'EAST-EGM-GL'!E75</f>
        <v>400</v>
      </c>
      <c r="H75" s="60">
        <f t="shared" si="14"/>
        <v>0</v>
      </c>
      <c r="I75" s="38">
        <f t="shared" si="14"/>
        <v>12</v>
      </c>
    </row>
    <row r="76" spans="1:9" x14ac:dyDescent="0.2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-27437</v>
      </c>
      <c r="F76" s="60">
        <f>'EAST-EGM-GL'!D76</f>
        <v>0</v>
      </c>
      <c r="G76" s="38">
        <f>'EAST-EGM-GL'!E76</f>
        <v>-226594.83000000002</v>
      </c>
      <c r="H76" s="60">
        <f t="shared" si="14"/>
        <v>0</v>
      </c>
      <c r="I76" s="38">
        <f t="shared" si="14"/>
        <v>-199157.83000000002</v>
      </c>
    </row>
    <row r="77" spans="1:9" x14ac:dyDescent="0.2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1773191</v>
      </c>
      <c r="F77" s="60">
        <f>'EAST-EGM-GL'!D77</f>
        <v>0</v>
      </c>
      <c r="G77" s="38">
        <f>'EAST-EGM-GL'!E77</f>
        <v>-3036809</v>
      </c>
      <c r="H77" s="60">
        <f t="shared" si="14"/>
        <v>0</v>
      </c>
      <c r="I77" s="38">
        <f t="shared" si="14"/>
        <v>-4810000</v>
      </c>
    </row>
    <row r="78" spans="1:9" x14ac:dyDescent="0.2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23732.85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-23732.85</v>
      </c>
    </row>
    <row r="79" spans="1:9" x14ac:dyDescent="0.2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924052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-924052</v>
      </c>
    </row>
    <row r="80" spans="1:9" x14ac:dyDescent="0.2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-2054264</v>
      </c>
      <c r="F81" s="60">
        <f>'EAST-EGM-GL'!D81</f>
        <v>0</v>
      </c>
      <c r="G81" s="38">
        <f>'EAST-EGM-GL'!E81</f>
        <v>354921.46</v>
      </c>
      <c r="H81" s="60">
        <f>F81-D81</f>
        <v>0</v>
      </c>
      <c r="I81" s="38">
        <f>G81-E81</f>
        <v>2409185.46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1161737.1113691651</v>
      </c>
      <c r="F82" s="71">
        <f>F16+F24+F29+F36+F43+F45+F47+F49</f>
        <v>0</v>
      </c>
      <c r="G82" s="72">
        <f>SUM(G72:G81)+G16+G24+G29+G36+G43+G45+G47+G49+G51+G56+G61+G66</f>
        <v>-2016744.2120000552</v>
      </c>
      <c r="H82" s="71">
        <f>H16+H24+H29+H36+H43+H45+H47+H49</f>
        <v>-60000</v>
      </c>
      <c r="I82" s="72">
        <f>SUM(I72:I81)+I16+I24+I29+I36+I43+I45+I47+I49+I51+I56+I61+I66</f>
        <v>-3178481.3233692371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177</v>
      </c>
      <c r="B85" s="3"/>
      <c r="F85" s="31"/>
      <c r="G85" s="31"/>
      <c r="H85" s="31"/>
      <c r="I85" s="31"/>
    </row>
    <row r="86" spans="1:63" x14ac:dyDescent="0.2">
      <c r="A86" s="177"/>
      <c r="B86" s="3"/>
      <c r="C86" s="10" t="s">
        <v>181</v>
      </c>
      <c r="D86" s="178">
        <f>'EAST-EGM-FLSH'!L86</f>
        <v>0</v>
      </c>
      <c r="E86" s="178">
        <f>'EAST-EGM-FLSH'!M86</f>
        <v>76163</v>
      </c>
      <c r="F86" s="178">
        <f>'EAST-EGM-GL'!D86</f>
        <v>0</v>
      </c>
      <c r="G86" s="178">
        <f>'EAST-EGM-GL'!E86</f>
        <v>76163.37</v>
      </c>
      <c r="H86" s="178">
        <f t="shared" ref="H86:I88" si="15">F86-D86</f>
        <v>0</v>
      </c>
      <c r="I86" s="178">
        <f t="shared" si="15"/>
        <v>0.36999999999534339</v>
      </c>
    </row>
    <row r="87" spans="1:63" x14ac:dyDescent="0.2">
      <c r="A87" s="177"/>
      <c r="B87" s="3"/>
      <c r="C87" s="10" t="s">
        <v>73</v>
      </c>
      <c r="D87" s="179">
        <f>'EAST-EGM-FLSH'!L87</f>
        <v>0</v>
      </c>
      <c r="E87" s="179">
        <f>'EAST-EGM-FLSH'!M87</f>
        <v>0</v>
      </c>
      <c r="F87" s="179">
        <f>'EAST-EGM-GL'!D87</f>
        <v>0</v>
      </c>
      <c r="G87" s="179">
        <f>'EAST-EGM-GL'!E87</f>
        <v>0</v>
      </c>
      <c r="H87" s="179">
        <f t="shared" si="15"/>
        <v>0</v>
      </c>
      <c r="I87" s="179">
        <f t="shared" si="15"/>
        <v>0</v>
      </c>
    </row>
    <row r="88" spans="1:63" x14ac:dyDescent="0.2">
      <c r="A88" s="177"/>
      <c r="B88" s="3"/>
      <c r="C88" s="10" t="s">
        <v>74</v>
      </c>
      <c r="D88" s="180">
        <f>'EAST-EGM-FLSH'!L88</f>
        <v>0</v>
      </c>
      <c r="E88" s="180">
        <f>'EAST-EGM-FLSH'!M88</f>
        <v>0</v>
      </c>
      <c r="F88" s="180">
        <f>'EAST-EGM-GL'!D88</f>
        <v>0</v>
      </c>
      <c r="G88" s="180">
        <f>'EAST-EGM-GL'!E88</f>
        <v>0</v>
      </c>
      <c r="H88" s="180">
        <f t="shared" si="15"/>
        <v>0</v>
      </c>
      <c r="I88" s="180">
        <f t="shared" si="15"/>
        <v>0</v>
      </c>
    </row>
    <row r="89" spans="1:63" s="143" customFormat="1" x14ac:dyDescent="0.2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76163</v>
      </c>
      <c r="F89" s="193">
        <f t="shared" si="16"/>
        <v>0</v>
      </c>
      <c r="G89" s="193">
        <f t="shared" si="16"/>
        <v>76163.37</v>
      </c>
      <c r="H89" s="193">
        <f t="shared" si="16"/>
        <v>0</v>
      </c>
      <c r="I89" s="193">
        <f t="shared" si="16"/>
        <v>0.36999999999534339</v>
      </c>
    </row>
    <row r="90" spans="1:63" s="143" customFormat="1" x14ac:dyDescent="0.2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">
      <c r="A91" s="191"/>
      <c r="B91" s="192"/>
      <c r="C91" s="190" t="s">
        <v>187</v>
      </c>
      <c r="D91" s="193">
        <f t="shared" ref="D91:I91" si="17">+D82+D89</f>
        <v>60000</v>
      </c>
      <c r="E91" s="193">
        <f t="shared" si="17"/>
        <v>1237900.1113691651</v>
      </c>
      <c r="F91" s="193">
        <f t="shared" si="17"/>
        <v>0</v>
      </c>
      <c r="G91" s="193">
        <f t="shared" si="17"/>
        <v>-1940580.8420000551</v>
      </c>
      <c r="H91" s="193">
        <f t="shared" si="17"/>
        <v>-60000</v>
      </c>
      <c r="I91" s="193">
        <f t="shared" si="17"/>
        <v>-3178480.953369237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33" activePane="bottomRight" state="frozen"/>
      <selection activeCell="D10" sqref="D10"/>
      <selection pane="topRight" activeCell="D10" sqref="D10"/>
      <selection pane="bottomLeft" activeCell="D10" sqref="D10"/>
      <selection pane="bottomRight" activeCell="C33" sqref="C3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'EAST-LRC-FLSH'!L11</f>
        <v>7716384</v>
      </c>
      <c r="E11" s="66">
        <f>'EAST-LRC-FLSH'!M11</f>
        <v>14963892</v>
      </c>
      <c r="F11" s="60">
        <f>'EAST-LRC-GL'!D11</f>
        <v>7068123</v>
      </c>
      <c r="G11" s="38">
        <f>'EAST-LRC-GL'!E11</f>
        <v>13761635.889999999</v>
      </c>
      <c r="H11" s="60">
        <f>F11-D11</f>
        <v>-648261</v>
      </c>
      <c r="I11" s="38">
        <f>G11-E11</f>
        <v>-1202256.1100000013</v>
      </c>
    </row>
    <row r="12" spans="1:22" x14ac:dyDescent="0.2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154134.26999999999</v>
      </c>
      <c r="H12" s="60">
        <f>F12-D12</f>
        <v>0</v>
      </c>
      <c r="I12" s="38">
        <f>G12-E12</f>
        <v>154134.26999999999</v>
      </c>
    </row>
    <row r="13" spans="1:22" x14ac:dyDescent="0.2">
      <c r="A13" s="9">
        <v>3</v>
      </c>
      <c r="B13" s="7"/>
      <c r="C13" s="18" t="s">
        <v>29</v>
      </c>
      <c r="D13" s="65">
        <f>'EAST-LRC-FLSH'!L13</f>
        <v>2158387</v>
      </c>
      <c r="E13" s="66">
        <f>'EAST-LRC-FLSH'!M13</f>
        <v>4539991.12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-2158387</v>
      </c>
      <c r="I13" s="38">
        <f t="shared" si="0"/>
        <v>-4539991.12</v>
      </c>
    </row>
    <row r="14" spans="1:22" x14ac:dyDescent="0.2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9874771</v>
      </c>
      <c r="E16" s="39">
        <f t="shared" si="1"/>
        <v>19503883.120000001</v>
      </c>
      <c r="F16" s="61">
        <f t="shared" si="1"/>
        <v>7068123</v>
      </c>
      <c r="G16" s="39">
        <f t="shared" si="1"/>
        <v>13915770.159999998</v>
      </c>
      <c r="H16" s="61">
        <f t="shared" si="1"/>
        <v>-2806648</v>
      </c>
      <c r="I16" s="39">
        <f t="shared" si="1"/>
        <v>-5588112.9600000009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'EAST-LRC-FLSH'!L19</f>
        <v>-1739616</v>
      </c>
      <c r="E19" s="66">
        <f>'EAST-LRC-FLSH'!M19</f>
        <v>-3368400</v>
      </c>
      <c r="F19" s="60">
        <f>'EAST-LRC-GL'!D19</f>
        <v>-1856613</v>
      </c>
      <c r="G19" s="38">
        <f>'EAST-LRC-GL'!E19</f>
        <v>-3655956.44</v>
      </c>
      <c r="H19" s="60">
        <f>F19-D19</f>
        <v>-116997</v>
      </c>
      <c r="I19" s="38">
        <f>G19-E19</f>
        <v>-287556.43999999994</v>
      </c>
    </row>
    <row r="20" spans="1:9" x14ac:dyDescent="0.2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-259669.53</v>
      </c>
      <c r="H20" s="60">
        <f>F20-D20</f>
        <v>0</v>
      </c>
      <c r="I20" s="38">
        <f>G20-E20</f>
        <v>-259669.53</v>
      </c>
    </row>
    <row r="21" spans="1:9" x14ac:dyDescent="0.2">
      <c r="A21" s="9">
        <v>8</v>
      </c>
      <c r="B21" s="7"/>
      <c r="C21" s="18" t="s">
        <v>29</v>
      </c>
      <c r="D21" s="65">
        <f>'EAST-LRC-FLSH'!L21</f>
        <v>-8560662</v>
      </c>
      <c r="E21" s="66">
        <f>'EAST-LRC-FLSH'!M21</f>
        <v>-18252995</v>
      </c>
      <c r="F21" s="60">
        <f>'EAST-LRC-GL'!D21</f>
        <v>0</v>
      </c>
      <c r="G21" s="38">
        <f>'EAST-LRC-GL'!E21</f>
        <v>0</v>
      </c>
      <c r="H21" s="60">
        <f t="shared" ref="H21:I23" si="2">F21-D21</f>
        <v>8560662</v>
      </c>
      <c r="I21" s="38">
        <f t="shared" si="2"/>
        <v>18252995</v>
      </c>
    </row>
    <row r="22" spans="1:9" x14ac:dyDescent="0.2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22461</v>
      </c>
      <c r="G23" s="38">
        <f>'EAST-LRC-GL'!E23</f>
        <v>48168.82</v>
      </c>
      <c r="H23" s="60">
        <f t="shared" si="2"/>
        <v>22461</v>
      </c>
      <c r="I23" s="38">
        <f t="shared" si="2"/>
        <v>48168.82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-10300278</v>
      </c>
      <c r="E24" s="39">
        <f t="shared" si="3"/>
        <v>-21621395</v>
      </c>
      <c r="F24" s="61">
        <f t="shared" si="3"/>
        <v>-1834152</v>
      </c>
      <c r="G24" s="39">
        <f t="shared" si="3"/>
        <v>-3867457.15</v>
      </c>
      <c r="H24" s="61">
        <f t="shared" si="3"/>
        <v>8466126</v>
      </c>
      <c r="I24" s="39">
        <f t="shared" si="3"/>
        <v>17753937.850000001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'EAST-LRC-FLSH'!L27</f>
        <v>1048761</v>
      </c>
      <c r="E27" s="66">
        <f>'EAST-LRC-FLSH'!M27</f>
        <v>2237340</v>
      </c>
      <c r="F27" s="60">
        <f>'EAST-LRC-GL'!D27</f>
        <v>2374919</v>
      </c>
      <c r="G27" s="38">
        <f>'EAST-LRC-GL'!E27</f>
        <v>5030088.0900000017</v>
      </c>
      <c r="H27" s="60">
        <f>F27-D27</f>
        <v>1326158</v>
      </c>
      <c r="I27" s="38">
        <f>G27-E27</f>
        <v>2792748.0900000017</v>
      </c>
    </row>
    <row r="28" spans="1:9" x14ac:dyDescent="0.2">
      <c r="A28" s="9">
        <v>12</v>
      </c>
      <c r="B28" s="7"/>
      <c r="C28" s="18" t="s">
        <v>38</v>
      </c>
      <c r="D28" s="65">
        <f>'EAST-LRC-FLSH'!L28</f>
        <v>-465252</v>
      </c>
      <c r="E28" s="66">
        <f>'EAST-LRC-FLSH'!M28</f>
        <v>-1000242</v>
      </c>
      <c r="F28" s="60">
        <f>'EAST-LRC-GL'!D28</f>
        <v>-8603422</v>
      </c>
      <c r="G28" s="38">
        <f>'EAST-LRC-GL'!E28</f>
        <v>-18354390.280000001</v>
      </c>
      <c r="H28" s="60">
        <f>F28-D28</f>
        <v>-8138170</v>
      </c>
      <c r="I28" s="38">
        <f>G28-E28</f>
        <v>-17354148.280000001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583509</v>
      </c>
      <c r="E29" s="70">
        <f t="shared" si="4"/>
        <v>1237098</v>
      </c>
      <c r="F29" s="69">
        <f t="shared" si="4"/>
        <v>-6228503</v>
      </c>
      <c r="G29" s="70">
        <f t="shared" si="4"/>
        <v>-13324302.189999999</v>
      </c>
      <c r="H29" s="69">
        <f t="shared" si="4"/>
        <v>-6812012</v>
      </c>
      <c r="I29" s="70">
        <f t="shared" si="4"/>
        <v>-14561400.189999999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-10921</v>
      </c>
      <c r="G32" s="38">
        <f>'EAST-LRC-GL'!E32</f>
        <v>-20728.053000000044</v>
      </c>
      <c r="H32" s="60">
        <f>F32-D32</f>
        <v>-10921</v>
      </c>
      <c r="I32" s="38">
        <f>G32-E32</f>
        <v>-20728.053000000044</v>
      </c>
    </row>
    <row r="33" spans="1:9" x14ac:dyDescent="0.2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-10921</v>
      </c>
      <c r="G36" s="39">
        <f t="shared" si="6"/>
        <v>-20728.053000000044</v>
      </c>
      <c r="H36" s="61">
        <f t="shared" si="6"/>
        <v>-10921</v>
      </c>
      <c r="I36" s="39">
        <f t="shared" si="6"/>
        <v>-20728.053000000044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'EAST-LRC-FLSH'!L39</f>
        <v>1537851</v>
      </c>
      <c r="E39" s="66">
        <f>'EAST-LRC-FLSH'!M39</f>
        <v>2891161</v>
      </c>
      <c r="F39" s="60">
        <f>'EAST-LRC-GL'!D39</f>
        <v>1714388</v>
      </c>
      <c r="G39" s="38">
        <f>'EAST-LRC-GL'!E39</f>
        <v>3223049.4399999995</v>
      </c>
      <c r="H39" s="60">
        <f t="shared" ref="H39:I41" si="7">F39-D39</f>
        <v>176537</v>
      </c>
      <c r="I39" s="38">
        <f t="shared" si="7"/>
        <v>331888.43999999948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'EAST-LRC-FLSH'!L40</f>
        <v>-617190</v>
      </c>
      <c r="E40" s="66">
        <f>'EAST-LRC-FLSH'!M40</f>
        <v>-1160318</v>
      </c>
      <c r="F40" s="60">
        <f>'EAST-LRC-GL'!D40</f>
        <v>-709556</v>
      </c>
      <c r="G40" s="38">
        <f>'EAST-LRC-GL'!E40</f>
        <v>-1333965.28</v>
      </c>
      <c r="H40" s="60">
        <f t="shared" si="7"/>
        <v>-92366</v>
      </c>
      <c r="I40" s="38">
        <f t="shared" si="7"/>
        <v>-173647.28000000003</v>
      </c>
    </row>
    <row r="41" spans="1:9" x14ac:dyDescent="0.2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-617190</v>
      </c>
      <c r="E42" s="70">
        <f t="shared" si="8"/>
        <v>-1160318</v>
      </c>
      <c r="F42" s="69">
        <f t="shared" si="8"/>
        <v>-709556</v>
      </c>
      <c r="G42" s="70">
        <f t="shared" si="8"/>
        <v>-1333965.28</v>
      </c>
      <c r="H42" s="69">
        <f t="shared" si="8"/>
        <v>-92366</v>
      </c>
      <c r="I42" s="70">
        <f t="shared" si="8"/>
        <v>-173647.28000000003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920661</v>
      </c>
      <c r="E43" s="39">
        <f t="shared" si="9"/>
        <v>1730843</v>
      </c>
      <c r="F43" s="61">
        <f t="shared" si="9"/>
        <v>1004832</v>
      </c>
      <c r="G43" s="39">
        <f t="shared" si="9"/>
        <v>1889084.1599999995</v>
      </c>
      <c r="H43" s="61">
        <f t="shared" si="9"/>
        <v>84171</v>
      </c>
      <c r="I43" s="39">
        <f t="shared" si="9"/>
        <v>158241.15999999945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-2985</v>
      </c>
      <c r="G45" s="38">
        <f>'EAST-LRC-GL'!E45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'EAST-LRC-FLSH'!L49</f>
        <v>-1138663</v>
      </c>
      <c r="E49" s="66">
        <f>'EAST-LRC-FLSH'!M49</f>
        <v>-2379012.4176088842</v>
      </c>
      <c r="F49" s="60">
        <f>'EAST-LRC-GL'!D49</f>
        <v>9534</v>
      </c>
      <c r="G49" s="38">
        <f>'EAST-LRC-GL'!E49</f>
        <v>18095.526999999987</v>
      </c>
      <c r="H49" s="60">
        <f>F49-D49</f>
        <v>1148197</v>
      </c>
      <c r="I49" s="38">
        <f>G49-E49</f>
        <v>2397107.9446088839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-22353</v>
      </c>
      <c r="G51" s="38">
        <f>'EAST-LRC-GL'!E51</f>
        <v>-63628.82</v>
      </c>
      <c r="H51" s="60">
        <f>F51-D51</f>
        <v>-22353</v>
      </c>
      <c r="I51" s="38">
        <f>G51-E51</f>
        <v>-63628.82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4993.28</v>
      </c>
      <c r="H54" s="60">
        <f>F54-D54</f>
        <v>0</v>
      </c>
      <c r="I54" s="38">
        <f>G54-E54</f>
        <v>4993.28</v>
      </c>
    </row>
    <row r="55" spans="1:9" x14ac:dyDescent="0.2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450000</v>
      </c>
      <c r="H55" s="60">
        <f>F55-D55</f>
        <v>0</v>
      </c>
      <c r="I55" s="38">
        <f>G55-E55</f>
        <v>450000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454993.28</v>
      </c>
      <c r="H56" s="61">
        <f t="shared" si="10"/>
        <v>0</v>
      </c>
      <c r="I56" s="39">
        <f t="shared" si="10"/>
        <v>454993.28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3914648</v>
      </c>
      <c r="G59" s="38">
        <f>'EAST-LRC-GL'!E59</f>
        <v>68674.12</v>
      </c>
      <c r="H59" s="60">
        <f>F59-D59</f>
        <v>3914648</v>
      </c>
      <c r="I59" s="38">
        <f>G59-E59</f>
        <v>68674.12</v>
      </c>
    </row>
    <row r="60" spans="1:9" x14ac:dyDescent="0.2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124631.32105263158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-124631.32105263158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124631.32105263158</v>
      </c>
      <c r="F61" s="69">
        <f t="shared" si="11"/>
        <v>3914648</v>
      </c>
      <c r="G61" s="70">
        <f t="shared" si="11"/>
        <v>68674.12</v>
      </c>
      <c r="H61" s="69">
        <f t="shared" si="11"/>
        <v>3914648</v>
      </c>
      <c r="I61" s="70">
        <f t="shared" si="11"/>
        <v>-55957.201052631586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-18959370</v>
      </c>
      <c r="G64" s="38">
        <f>'EAST-LRC-GL'!E64</f>
        <v>-1969820.2100000002</v>
      </c>
      <c r="H64" s="60">
        <f>F64-D64</f>
        <v>-18959370</v>
      </c>
      <c r="I64" s="38">
        <f>G64-E64</f>
        <v>-1969820.2100000002</v>
      </c>
    </row>
    <row r="65" spans="1:9" x14ac:dyDescent="0.2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17244982</v>
      </c>
      <c r="G65" s="38">
        <f>'EAST-LRC-GL'!E65</f>
        <v>1689820.2</v>
      </c>
      <c r="H65" s="60">
        <f>F65-D65</f>
        <v>17244982</v>
      </c>
      <c r="I65" s="38">
        <f>G65-E65</f>
        <v>1689820.2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-1714388</v>
      </c>
      <c r="G66" s="39">
        <f t="shared" si="12"/>
        <v>-280000.01000000024</v>
      </c>
      <c r="H66" s="61">
        <f t="shared" si="12"/>
        <v>-1714388</v>
      </c>
      <c r="I66" s="39">
        <f t="shared" si="12"/>
        <v>-280000.01000000024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-3000000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-4403951.9765562518</v>
      </c>
      <c r="F82" s="71">
        <f>F16+F24+F29+F36+F43+F45+F47+F49</f>
        <v>5928</v>
      </c>
      <c r="G82" s="72">
        <f>SUM(G72:G81)+G16+G24+G29+G36+G43+G45+G47+G49+G51+G56+G61+G66</f>
        <v>-1214601.5360000022</v>
      </c>
      <c r="H82" s="71">
        <f>H16+H24+H29+H36+H43+H45+H47+H49</f>
        <v>65928</v>
      </c>
      <c r="I82" s="72">
        <f>SUM(I72:I81)+I16+I24+I29+I36+I43+I45+I47+I49+I51+I56+I61+I66</f>
        <v>3189350.4405562524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I83" sqref="I8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'EAST-CON-FLSH'!L11</f>
        <v>72151022</v>
      </c>
      <c r="E11" s="66">
        <f>'EAST-CON-FLSH'!M11</f>
        <v>140028915</v>
      </c>
      <c r="F11" s="60">
        <f>'EAST-CON-GL '!D11</f>
        <v>85606448</v>
      </c>
      <c r="G11" s="38">
        <f>'EAST-CON-GL '!E11</f>
        <v>175586829.01999998</v>
      </c>
      <c r="H11" s="60">
        <f>F11-D11</f>
        <v>13455426</v>
      </c>
      <c r="I11" s="38">
        <f>G11-E11</f>
        <v>35557914.019999981</v>
      </c>
    </row>
    <row r="12" spans="1:22" x14ac:dyDescent="0.2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-3576326.7600000002</v>
      </c>
      <c r="H12" s="60">
        <f>F12-D12</f>
        <v>0</v>
      </c>
      <c r="I12" s="38">
        <f>G12-E12</f>
        <v>-3576326.7600000002</v>
      </c>
    </row>
    <row r="13" spans="1:22" x14ac:dyDescent="0.2">
      <c r="A13" s="9">
        <v>3</v>
      </c>
      <c r="B13" s="7"/>
      <c r="C13" s="18" t="s">
        <v>29</v>
      </c>
      <c r="D13" s="65">
        <f>'EAST-CON-FLSH'!L13</f>
        <v>64988367</v>
      </c>
      <c r="E13" s="66">
        <f>'EAST-CON-FLSH'!M13</f>
        <v>134559503</v>
      </c>
      <c r="F13" s="60">
        <f>'EAST-CON-GL '!D13</f>
        <v>46521011</v>
      </c>
      <c r="G13" s="38">
        <f>'EAST-CON-GL '!E13</f>
        <v>97011870</v>
      </c>
      <c r="H13" s="60">
        <f t="shared" ref="H13:I15" si="0">F13-D13</f>
        <v>-18467356</v>
      </c>
      <c r="I13" s="38">
        <f t="shared" si="0"/>
        <v>-37547633</v>
      </c>
    </row>
    <row r="14" spans="1:22" x14ac:dyDescent="0.2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23988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-23988</v>
      </c>
    </row>
    <row r="15" spans="1:22" x14ac:dyDescent="0.2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137139389</v>
      </c>
      <c r="E16" s="39">
        <f t="shared" si="1"/>
        <v>274612406</v>
      </c>
      <c r="F16" s="61">
        <f t="shared" si="1"/>
        <v>132127459</v>
      </c>
      <c r="G16" s="39">
        <f t="shared" si="1"/>
        <v>269022372.25999999</v>
      </c>
      <c r="H16" s="61">
        <f t="shared" si="1"/>
        <v>-5011930</v>
      </c>
      <c r="I16" s="39">
        <f t="shared" si="1"/>
        <v>-5590033.7400000207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'EAST-CON-FLSH'!L19</f>
        <v>-85572426</v>
      </c>
      <c r="E19" s="66">
        <f>'EAST-CON-FLSH'!M19</f>
        <v>-165466632</v>
      </c>
      <c r="F19" s="60">
        <f>'EAST-CON-GL '!D19</f>
        <v>-89227403</v>
      </c>
      <c r="G19" s="38">
        <f>'EAST-CON-GL '!E19</f>
        <v>-175496738.19000006</v>
      </c>
      <c r="H19" s="60">
        <f>F19-D19</f>
        <v>-3654977</v>
      </c>
      <c r="I19" s="38">
        <f>G19-E19</f>
        <v>-10030106.190000057</v>
      </c>
    </row>
    <row r="20" spans="1:9" x14ac:dyDescent="0.2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-656662.31000000006</v>
      </c>
      <c r="H20" s="60">
        <f>F20-D20</f>
        <v>0</v>
      </c>
      <c r="I20" s="38">
        <f>G20-E20</f>
        <v>-656662.31000000006</v>
      </c>
    </row>
    <row r="21" spans="1:9" x14ac:dyDescent="0.2">
      <c r="A21" s="9">
        <v>8</v>
      </c>
      <c r="B21" s="7"/>
      <c r="C21" s="18" t="s">
        <v>29</v>
      </c>
      <c r="D21" s="65">
        <f>'EAST-CON-FLSH'!L21</f>
        <v>-52700296</v>
      </c>
      <c r="E21" s="66">
        <f>'EAST-CON-FLSH'!M21</f>
        <v>-112140340</v>
      </c>
      <c r="F21" s="60">
        <f>'EAST-CON-GL '!D21</f>
        <v>-36200601</v>
      </c>
      <c r="G21" s="38">
        <f>'EAST-CON-GL '!E21</f>
        <v>-77799344</v>
      </c>
      <c r="H21" s="60">
        <f t="shared" ref="H21:I23" si="2">F21-D21</f>
        <v>16499695</v>
      </c>
      <c r="I21" s="38">
        <f t="shared" si="2"/>
        <v>34340996</v>
      </c>
    </row>
    <row r="22" spans="1:9" x14ac:dyDescent="0.2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'EAST-CON-FLSH'!L23</f>
        <v>216351</v>
      </c>
      <c r="E23" s="66">
        <f>'EAST-CON-FLSH'!M23</f>
        <v>447093</v>
      </c>
      <c r="F23" s="60">
        <f>'EAST-CON-GL '!D23</f>
        <v>245028</v>
      </c>
      <c r="G23" s="38">
        <f>'EAST-CON-GL '!E23</f>
        <v>470600.98800000001</v>
      </c>
      <c r="H23" s="60">
        <f t="shared" si="2"/>
        <v>28677</v>
      </c>
      <c r="I23" s="38">
        <f t="shared" si="2"/>
        <v>23507.988000000012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-138056371</v>
      </c>
      <c r="E24" s="39">
        <f t="shared" si="3"/>
        <v>-277159879</v>
      </c>
      <c r="F24" s="61">
        <f t="shared" si="3"/>
        <v>-125182976</v>
      </c>
      <c r="G24" s="39">
        <f t="shared" si="3"/>
        <v>-253482143.51200005</v>
      </c>
      <c r="H24" s="61">
        <f t="shared" si="3"/>
        <v>12873395</v>
      </c>
      <c r="I24" s="39">
        <f t="shared" si="3"/>
        <v>23677735.487999942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2374919</v>
      </c>
      <c r="G27" s="38">
        <f>'EAST-CON-GL '!E27</f>
        <v>5028520.5900000017</v>
      </c>
      <c r="H27" s="60">
        <f>F27-D27</f>
        <v>2374919</v>
      </c>
      <c r="I27" s="38">
        <f>G27-E27</f>
        <v>5028520.5900000017</v>
      </c>
    </row>
    <row r="28" spans="1:9" x14ac:dyDescent="0.2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-10930098</v>
      </c>
      <c r="G28" s="38">
        <f>'EAST-CON-GL '!E28</f>
        <v>-23285823.689999998</v>
      </c>
      <c r="H28" s="60">
        <f>F28-D28</f>
        <v>-10930098</v>
      </c>
      <c r="I28" s="38">
        <f>G28-E28</f>
        <v>-23285823.689999998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-8555179</v>
      </c>
      <c r="G29" s="70">
        <f t="shared" si="4"/>
        <v>-18257303.099999994</v>
      </c>
      <c r="H29" s="69">
        <f t="shared" si="4"/>
        <v>-8555179</v>
      </c>
      <c r="I29" s="70">
        <f t="shared" si="4"/>
        <v>-18257303.099999994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'EAST-CON-FLSH'!L32</f>
        <v>219015</v>
      </c>
      <c r="E32" s="66">
        <f>'EAST-CON-FLSH'!M32</f>
        <v>450193</v>
      </c>
      <c r="F32" s="60">
        <f>'EAST-CON-GL '!D32</f>
        <v>288667</v>
      </c>
      <c r="G32" s="38">
        <f>'EAST-CON-GL '!E32</f>
        <v>547890.14300000004</v>
      </c>
      <c r="H32" s="60">
        <f>F32-D32</f>
        <v>69652</v>
      </c>
      <c r="I32" s="38">
        <f>G32-E32</f>
        <v>97697.14300000004</v>
      </c>
    </row>
    <row r="33" spans="1:9" x14ac:dyDescent="0.2">
      <c r="A33" s="9">
        <v>14</v>
      </c>
      <c r="B33" s="7"/>
      <c r="C33" s="18" t="s">
        <v>42</v>
      </c>
      <c r="D33" s="65">
        <f>'EAST-CON-FLSH'!L33</f>
        <v>-90042</v>
      </c>
      <c r="E33" s="66">
        <f>'EAST-CON-FLSH'!M33</f>
        <v>-210654.13123970717</v>
      </c>
      <c r="F33" s="60">
        <f>'EAST-CON-GL '!D33</f>
        <v>-529977</v>
      </c>
      <c r="G33" s="38">
        <f>'EAST-CON-GL '!E33</f>
        <v>-1099530.46</v>
      </c>
      <c r="H33" s="60">
        <f t="shared" ref="H33:I35" si="5">F33-D33</f>
        <v>-439935</v>
      </c>
      <c r="I33" s="38">
        <f t="shared" si="5"/>
        <v>-888876.32876029285</v>
      </c>
    </row>
    <row r="34" spans="1:9" x14ac:dyDescent="0.2">
      <c r="A34" s="9">
        <v>15</v>
      </c>
      <c r="B34" s="7"/>
      <c r="C34" s="18" t="s">
        <v>43</v>
      </c>
      <c r="D34" s="65">
        <f>'EAST-CON-FLSH'!L34</f>
        <v>312593</v>
      </c>
      <c r="E34" s="66">
        <f>'EAST-CON-FLSH'!M34</f>
        <v>647665</v>
      </c>
      <c r="F34" s="60">
        <f>'EAST-CON-GL '!D34</f>
        <v>134471</v>
      </c>
      <c r="G34" s="38">
        <f>'EAST-CON-GL '!E34</f>
        <v>268946.80000000005</v>
      </c>
      <c r="H34" s="60">
        <f t="shared" si="5"/>
        <v>-178122</v>
      </c>
      <c r="I34" s="38">
        <f t="shared" si="5"/>
        <v>-378718.19999999995</v>
      </c>
    </row>
    <row r="35" spans="1:9" x14ac:dyDescent="0.2">
      <c r="A35" s="9">
        <v>16</v>
      </c>
      <c r="B35" s="7"/>
      <c r="C35" s="18" t="s">
        <v>44</v>
      </c>
      <c r="D35" s="65">
        <f>'EAST-CON-FLSH'!L35</f>
        <v>-607651</v>
      </c>
      <c r="E35" s="66">
        <f>'EAST-CON-FLSH'!M35</f>
        <v>-1210618</v>
      </c>
      <c r="F35" s="60">
        <f>'EAST-CON-GL '!D35</f>
        <v>-10006</v>
      </c>
      <c r="G35" s="38">
        <f>'EAST-CON-GL '!E35</f>
        <v>18979.990000000002</v>
      </c>
      <c r="H35" s="60">
        <f t="shared" si="5"/>
        <v>597645</v>
      </c>
      <c r="I35" s="38">
        <f t="shared" si="5"/>
        <v>1229597.99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-166085</v>
      </c>
      <c r="E36" s="39">
        <f t="shared" si="6"/>
        <v>-323414.13123970712</v>
      </c>
      <c r="F36" s="61">
        <f t="shared" si="6"/>
        <v>-116845</v>
      </c>
      <c r="G36" s="39">
        <f t="shared" si="6"/>
        <v>-263713.52699999989</v>
      </c>
      <c r="H36" s="61">
        <f t="shared" si="6"/>
        <v>49240</v>
      </c>
      <c r="I36" s="39">
        <f t="shared" si="6"/>
        <v>59700.604239707114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'EAST-CON-FLSH'!L39</f>
        <v>1700257</v>
      </c>
      <c r="E39" s="66">
        <f>'EAST-CON-FLSH'!M39</f>
        <v>2839344</v>
      </c>
      <c r="F39" s="60">
        <f>'EAST-CON-GL '!D39</f>
        <v>1770091</v>
      </c>
      <c r="G39" s="38">
        <f>'EAST-CON-GL '!E39</f>
        <v>3296996.59</v>
      </c>
      <c r="H39" s="60">
        <f t="shared" ref="H39:I41" si="7">F39-D39</f>
        <v>69834</v>
      </c>
      <c r="I39" s="38">
        <f t="shared" si="7"/>
        <v>457652.58999999985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'EAST-CON-FLSH'!L40</f>
        <v>-617190</v>
      </c>
      <c r="E40" s="66">
        <f>'EAST-CON-FLSH'!M40</f>
        <v>-1160318</v>
      </c>
      <c r="F40" s="60">
        <f>'EAST-CON-GL '!D40</f>
        <v>-544050</v>
      </c>
      <c r="G40" s="38">
        <f>'EAST-CON-GL '!E40</f>
        <v>-988057.74</v>
      </c>
      <c r="H40" s="60">
        <f t="shared" si="7"/>
        <v>73140</v>
      </c>
      <c r="I40" s="38">
        <f t="shared" si="7"/>
        <v>172260.26</v>
      </c>
    </row>
    <row r="41" spans="1:9" x14ac:dyDescent="0.2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-617190</v>
      </c>
      <c r="E42" s="70">
        <f t="shared" si="8"/>
        <v>-1160318</v>
      </c>
      <c r="F42" s="69">
        <f t="shared" si="8"/>
        <v>-544050</v>
      </c>
      <c r="G42" s="70">
        <f t="shared" si="8"/>
        <v>-988057.74</v>
      </c>
      <c r="H42" s="69">
        <f t="shared" si="8"/>
        <v>73140</v>
      </c>
      <c r="I42" s="70">
        <f t="shared" si="8"/>
        <v>172260.26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1083067</v>
      </c>
      <c r="E43" s="39">
        <f t="shared" si="9"/>
        <v>1679026</v>
      </c>
      <c r="F43" s="61">
        <f t="shared" si="9"/>
        <v>1226041</v>
      </c>
      <c r="G43" s="39">
        <f t="shared" si="9"/>
        <v>2308938.8499999996</v>
      </c>
      <c r="H43" s="61">
        <f t="shared" si="9"/>
        <v>142974</v>
      </c>
      <c r="I43" s="39">
        <f t="shared" si="9"/>
        <v>629912.84999999986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-2985</v>
      </c>
      <c r="G45" s="38">
        <f>'EAST-CON-GL '!E45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510413</v>
      </c>
      <c r="G49" s="38">
        <f>'EAST-CON-GL '!E49</f>
        <v>968763.86900000041</v>
      </c>
      <c r="H49" s="60">
        <f>F49-D49</f>
        <v>510413</v>
      </c>
      <c r="I49" s="38">
        <f>G49-E49</f>
        <v>968763.86900000041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'EAST-CON-FLSH'!L51</f>
        <v>-216351</v>
      </c>
      <c r="E51" s="66">
        <f>'EAST-CON-FLSH'!M51</f>
        <v>-447093</v>
      </c>
      <c r="F51" s="60">
        <f>'EAST-CON-GL '!D51</f>
        <v>-265111</v>
      </c>
      <c r="G51" s="38">
        <f>'EAST-CON-GL '!E51</f>
        <v>-486060.98799999995</v>
      </c>
      <c r="H51" s="60">
        <f>F51-D51</f>
        <v>-48760</v>
      </c>
      <c r="I51" s="38">
        <f>G51-E51</f>
        <v>-38967.987999999954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-633096</v>
      </c>
      <c r="F54" s="60">
        <f>'EAST-CON-GL '!D54</f>
        <v>-19316374</v>
      </c>
      <c r="G54" s="38">
        <f>'EAST-CON-GL '!E54</f>
        <v>-649681.71999999986</v>
      </c>
      <c r="H54" s="60">
        <f>F54-D54</f>
        <v>-19316374</v>
      </c>
      <c r="I54" s="38">
        <f>G54-E54</f>
        <v>-16585.719999999856</v>
      </c>
    </row>
    <row r="55" spans="1:9" x14ac:dyDescent="0.2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-1418498</v>
      </c>
      <c r="F55" s="60">
        <f>'EAST-CON-GL '!D55</f>
        <v>0</v>
      </c>
      <c r="G55" s="38">
        <f>'EAST-CON-GL '!E55</f>
        <v>-1649349.6500000001</v>
      </c>
      <c r="H55" s="60">
        <f>F55-D55</f>
        <v>0</v>
      </c>
      <c r="I55" s="38">
        <f>G55-E55</f>
        <v>-230851.65000000014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-2051594</v>
      </c>
      <c r="F56" s="61">
        <f t="shared" si="10"/>
        <v>-19316374</v>
      </c>
      <c r="G56" s="39">
        <f t="shared" si="10"/>
        <v>-2299031.37</v>
      </c>
      <c r="H56" s="61">
        <f t="shared" si="10"/>
        <v>-19316374</v>
      </c>
      <c r="I56" s="39">
        <f t="shared" si="10"/>
        <v>-247437.37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3914648</v>
      </c>
      <c r="G59" s="38">
        <f>'EAST-CON-GL '!E59</f>
        <v>68674.12</v>
      </c>
      <c r="H59" s="60">
        <f>F59-D59</f>
        <v>3914648</v>
      </c>
      <c r="I59" s="38">
        <f>G59-E59</f>
        <v>68674.12</v>
      </c>
    </row>
    <row r="60" spans="1:9" x14ac:dyDescent="0.2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3914648</v>
      </c>
      <c r="G61" s="70">
        <f t="shared" si="11"/>
        <v>68674.12</v>
      </c>
      <c r="H61" s="69">
        <f t="shared" si="11"/>
        <v>3914648</v>
      </c>
      <c r="I61" s="70">
        <f t="shared" si="11"/>
        <v>68674.12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124631.32105263158</v>
      </c>
      <c r="F64" s="60">
        <f>'EAST-CON-GL '!D64</f>
        <v>-18859077</v>
      </c>
      <c r="G64" s="38">
        <f>'EAST-CON-GL '!E64</f>
        <v>-1959791</v>
      </c>
      <c r="H64" s="60">
        <f>F64-D64</f>
        <v>-18859077</v>
      </c>
      <c r="I64" s="38">
        <f>G64-E64</f>
        <v>-2084422.3210526316</v>
      </c>
    </row>
    <row r="65" spans="1:9" x14ac:dyDescent="0.2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17144690</v>
      </c>
      <c r="G65" s="38">
        <f>'EAST-CON-GL '!E65</f>
        <v>1679791.01</v>
      </c>
      <c r="H65" s="60">
        <f>F65-D65</f>
        <v>17144690</v>
      </c>
      <c r="I65" s="38">
        <f>G65-E65</f>
        <v>1679791.01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-1714387</v>
      </c>
      <c r="G66" s="39">
        <f t="shared" si="12"/>
        <v>-279999.99</v>
      </c>
      <c r="H66" s="61">
        <f t="shared" si="12"/>
        <v>-1714387</v>
      </c>
      <c r="I66" s="39">
        <f t="shared" si="12"/>
        <v>-404631.31105263159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-196194.05499999993</v>
      </c>
      <c r="F70" s="60">
        <f>'EAST-CON-GL '!D70</f>
        <v>0</v>
      </c>
      <c r="G70" s="38">
        <f>'EAST-CON-GL '!E70</f>
        <v>7684468.9400000004</v>
      </c>
      <c r="H70" s="60">
        <f>F70-D70</f>
        <v>0</v>
      </c>
      <c r="I70" s="38">
        <f>G70-E70</f>
        <v>7880662.9950000001</v>
      </c>
    </row>
    <row r="71" spans="1:9" x14ac:dyDescent="0.2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1948024.15</v>
      </c>
      <c r="F71" s="60">
        <f>'EAST-CON-GL '!D71</f>
        <v>0</v>
      </c>
      <c r="G71" s="38">
        <f>'EAST-CON-GL '!E71</f>
        <v>-6061806</v>
      </c>
      <c r="H71" s="60">
        <f>F71-D71</f>
        <v>0</v>
      </c>
      <c r="I71" s="38">
        <f>G71-E71</f>
        <v>-8009830.1500000004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1751830.095</v>
      </c>
      <c r="F72" s="69">
        <f t="shared" si="13"/>
        <v>0</v>
      </c>
      <c r="G72" s="70">
        <f t="shared" si="13"/>
        <v>1622662.9400000004</v>
      </c>
      <c r="H72" s="69">
        <f t="shared" si="13"/>
        <v>0</v>
      </c>
      <c r="I72" s="70">
        <f t="shared" si="13"/>
        <v>-129167.15500000026</v>
      </c>
    </row>
    <row r="73" spans="1:9" x14ac:dyDescent="0.2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932209</v>
      </c>
      <c r="F74" s="60">
        <f>'EAST-CON-GL '!D74</f>
        <v>0</v>
      </c>
      <c r="G74" s="38">
        <f>'EAST-CON-GL '!E74</f>
        <v>758679.64999999991</v>
      </c>
      <c r="H74" s="60">
        <f t="shared" ref="H74:I79" si="14">F74-D74</f>
        <v>0</v>
      </c>
      <c r="I74" s="38">
        <f t="shared" si="14"/>
        <v>-173529.35000000009</v>
      </c>
    </row>
    <row r="75" spans="1:9" x14ac:dyDescent="0.2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388</v>
      </c>
      <c r="F75" s="60">
        <f>'EAST-CON-GL '!D75</f>
        <v>0</v>
      </c>
      <c r="G75" s="38">
        <f>'EAST-CON-GL '!E75</f>
        <v>400</v>
      </c>
      <c r="H75" s="60">
        <f t="shared" si="14"/>
        <v>0</v>
      </c>
      <c r="I75" s="38">
        <f t="shared" si="14"/>
        <v>12</v>
      </c>
    </row>
    <row r="76" spans="1:9" x14ac:dyDescent="0.2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-27437</v>
      </c>
      <c r="F76" s="60">
        <f>'EAST-CON-GL '!D76</f>
        <v>0</v>
      </c>
      <c r="G76" s="38">
        <f>'EAST-CON-GL '!E76</f>
        <v>-226594.83000000002</v>
      </c>
      <c r="H76" s="60">
        <f t="shared" si="14"/>
        <v>0</v>
      </c>
      <c r="I76" s="38">
        <f t="shared" si="14"/>
        <v>-199157.83000000002</v>
      </c>
    </row>
    <row r="77" spans="1:9" x14ac:dyDescent="0.2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-3036809</v>
      </c>
      <c r="H77" s="60">
        <f t="shared" si="14"/>
        <v>0</v>
      </c>
      <c r="I77" s="38">
        <f t="shared" si="14"/>
        <v>-1810000</v>
      </c>
    </row>
    <row r="78" spans="1:9" x14ac:dyDescent="0.2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23732.85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-23732.85</v>
      </c>
    </row>
    <row r="79" spans="1:9" x14ac:dyDescent="0.2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924052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-924052</v>
      </c>
    </row>
    <row r="80" spans="1:9" x14ac:dyDescent="0.2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-2054264</v>
      </c>
      <c r="F81" s="60">
        <f>'EAST-CON-GL '!D81</f>
        <v>0</v>
      </c>
      <c r="G81" s="38">
        <f>'EAST-CON-GL '!E81</f>
        <v>354921.46</v>
      </c>
      <c r="H81" s="60">
        <f>F81-D81</f>
        <v>0</v>
      </c>
      <c r="I81" s="38">
        <f>G81-E81</f>
        <v>2409185.46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-3242214.8651870829</v>
      </c>
      <c r="F82" s="111">
        <f>F16+F24+F29+F36+F43+F45+F47+F49</f>
        <v>5928</v>
      </c>
      <c r="G82" s="112">
        <f>SUM(G72:G81)+G16+G24+G29+G36+G43+G45+G47+G49+G51+G56+G61+G66</f>
        <v>-3231345.728000029</v>
      </c>
      <c r="H82" s="111">
        <f>H16+H24+H29+H36+H43+H45+H47+H49</f>
        <v>5928</v>
      </c>
      <c r="I82" s="112">
        <f>SUM(I72:I81)+I16+I24+I29+I36+I43+I45+I47+I49+I51+I56+I61+I66</f>
        <v>10869.137187001761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177</v>
      </c>
      <c r="B85" s="3"/>
      <c r="F85" s="31"/>
      <c r="G85" s="31"/>
      <c r="H85" s="31"/>
      <c r="I85" s="31"/>
    </row>
    <row r="86" spans="1:63" x14ac:dyDescent="0.2">
      <c r="A86" s="177"/>
      <c r="B86" s="3"/>
      <c r="C86" s="10" t="s">
        <v>181</v>
      </c>
      <c r="D86" s="178">
        <f>'EAST-CON-FLSH'!L86</f>
        <v>0</v>
      </c>
      <c r="E86" s="178">
        <f>'EAST-CON-FLSH'!M86</f>
        <v>76163</v>
      </c>
      <c r="F86" s="178">
        <f>'EAST-CON-GL '!D86</f>
        <v>0</v>
      </c>
      <c r="G86" s="178">
        <f>'EAST-CON-GL '!E86</f>
        <v>76163.37</v>
      </c>
      <c r="H86" s="178">
        <f t="shared" ref="H86:I88" si="15">F86-D86</f>
        <v>0</v>
      </c>
      <c r="I86" s="178">
        <f t="shared" si="15"/>
        <v>0.36999999999534339</v>
      </c>
    </row>
    <row r="87" spans="1:63" x14ac:dyDescent="0.2">
      <c r="A87" s="177"/>
      <c r="B87" s="3"/>
      <c r="C87" s="10" t="s">
        <v>73</v>
      </c>
      <c r="D87" s="179">
        <f>'EAST-CON-FLSH'!L87</f>
        <v>0</v>
      </c>
      <c r="E87" s="179">
        <f>'EAST-CON-FLSH'!M87</f>
        <v>0</v>
      </c>
      <c r="F87" s="179">
        <f>'EAST-CON-GL '!D87</f>
        <v>0</v>
      </c>
      <c r="G87" s="179">
        <f>'EAST-CON-GL '!E87</f>
        <v>0</v>
      </c>
      <c r="H87" s="179">
        <f t="shared" si="15"/>
        <v>0</v>
      </c>
      <c r="I87" s="179">
        <f t="shared" si="15"/>
        <v>0</v>
      </c>
    </row>
    <row r="88" spans="1:63" x14ac:dyDescent="0.2">
      <c r="A88" s="177"/>
      <c r="B88" s="3"/>
      <c r="C88" s="10" t="s">
        <v>74</v>
      </c>
      <c r="D88" s="180">
        <f>'EAST-CON-FLSH'!L88</f>
        <v>0</v>
      </c>
      <c r="E88" s="180">
        <f>'EAST-CON-FLSH'!M88</f>
        <v>0</v>
      </c>
      <c r="F88" s="180">
        <f>'EAST-CON-GL '!D88</f>
        <v>0</v>
      </c>
      <c r="G88" s="180">
        <f>'EAST-CON-GL '!E88</f>
        <v>0</v>
      </c>
      <c r="H88" s="180">
        <f t="shared" si="15"/>
        <v>0</v>
      </c>
      <c r="I88" s="180">
        <f t="shared" si="15"/>
        <v>0</v>
      </c>
    </row>
    <row r="89" spans="1:63" ht="15" x14ac:dyDescent="0.2">
      <c r="A89" s="184"/>
      <c r="B89" s="185"/>
      <c r="C89" s="190" t="s">
        <v>184</v>
      </c>
      <c r="D89" s="188">
        <f t="shared" ref="D89:I89" si="16">SUM(D86:D88)</f>
        <v>0</v>
      </c>
      <c r="E89" s="188">
        <f t="shared" si="16"/>
        <v>76163</v>
      </c>
      <c r="F89" s="188">
        <f t="shared" si="16"/>
        <v>0</v>
      </c>
      <c r="G89" s="188">
        <f t="shared" si="16"/>
        <v>76163.37</v>
      </c>
      <c r="H89" s="188">
        <f t="shared" si="16"/>
        <v>0</v>
      </c>
      <c r="I89" s="188">
        <f t="shared" si="16"/>
        <v>0.36999999999534339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-3166051.8651870829</v>
      </c>
      <c r="F91" s="193">
        <f t="shared" si="17"/>
        <v>5928</v>
      </c>
      <c r="G91" s="193">
        <f t="shared" si="17"/>
        <v>-3155182.3580000289</v>
      </c>
      <c r="H91" s="193">
        <f t="shared" si="17"/>
        <v>5928</v>
      </c>
      <c r="I91" s="193">
        <f t="shared" si="17"/>
        <v>10869.507187001756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7"/>
      <c r="B94" s="198"/>
      <c r="D94" s="31"/>
      <c r="E94" s="14">
        <f>+'EAST-EGM-VAR'!E91+'EAST-LRC-VAR'!E82</f>
        <v>-3166051.8651870866</v>
      </c>
      <c r="G94" s="14">
        <f>+'EAST-EGM-VAR'!G91+'EAST-LRC-VAR'!G82</f>
        <v>-3155182.3780000573</v>
      </c>
      <c r="I94" s="14">
        <f>+'EAST-EGM-VAR'!I91+'EAST-LRC-VAR'!I82</f>
        <v>10869.487187015358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'TX-EGM-FLSH'!L11</f>
        <v>53372064</v>
      </c>
      <c r="E11" s="66">
        <f>'TX-EGM-FLSH'!M11</f>
        <v>99510884.609999999</v>
      </c>
      <c r="F11" s="60">
        <f>'TX-EGM-GL'!D11</f>
        <v>51829042</v>
      </c>
      <c r="G11" s="38">
        <f>'TX-EGM-GL'!E11</f>
        <v>102507575.84399998</v>
      </c>
      <c r="H11" s="60">
        <f>F11-D11</f>
        <v>-1543022</v>
      </c>
      <c r="I11" s="38">
        <f>G11-E11</f>
        <v>2996691.2339999825</v>
      </c>
    </row>
    <row r="12" spans="1:22" x14ac:dyDescent="0.2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-5455684.8300000001</v>
      </c>
      <c r="H12" s="60">
        <f>F12-D12</f>
        <v>0</v>
      </c>
      <c r="I12" s="38">
        <f>G12-E12</f>
        <v>-5455684.8300000001</v>
      </c>
    </row>
    <row r="13" spans="1:22" x14ac:dyDescent="0.2">
      <c r="A13" s="9">
        <v>3</v>
      </c>
      <c r="B13" s="7"/>
      <c r="C13" s="18" t="s">
        <v>29</v>
      </c>
      <c r="D13" s="65">
        <f>'TX-EGM-FLSH'!L13</f>
        <v>514697</v>
      </c>
      <c r="E13" s="66">
        <f>'TX-EGM-FLSH'!M13</f>
        <v>984713.35</v>
      </c>
      <c r="F13" s="60">
        <f>'TX-EGM-GL'!D13</f>
        <v>31422383</v>
      </c>
      <c r="G13" s="38">
        <f>'TX-EGM-GL'!E13</f>
        <v>66166091</v>
      </c>
      <c r="H13" s="60">
        <f t="shared" ref="H13:I15" si="0">F13-D13</f>
        <v>30907686</v>
      </c>
      <c r="I13" s="38">
        <f t="shared" si="0"/>
        <v>65181377.649999999</v>
      </c>
    </row>
    <row r="14" spans="1:22" x14ac:dyDescent="0.2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53886761</v>
      </c>
      <c r="E16" s="39">
        <f t="shared" si="1"/>
        <v>100495597.95999999</v>
      </c>
      <c r="F16" s="61">
        <f t="shared" si="1"/>
        <v>83251425</v>
      </c>
      <c r="G16" s="39">
        <f t="shared" si="1"/>
        <v>163217982.014</v>
      </c>
      <c r="H16" s="61">
        <f t="shared" si="1"/>
        <v>29364664</v>
      </c>
      <c r="I16" s="39">
        <f t="shared" si="1"/>
        <v>62722384.053999983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'TX-EGM-FLSH'!L19</f>
        <v>-53004340</v>
      </c>
      <c r="E19" s="66">
        <f>'TX-EGM-FLSH'!M19</f>
        <v>-98347722.459999993</v>
      </c>
      <c r="F19" s="60">
        <f>'TX-EGM-GL'!D19</f>
        <v>-38926257</v>
      </c>
      <c r="G19" s="38">
        <f>'TX-EGM-GL'!E19</f>
        <v>-72098293.590000018</v>
      </c>
      <c r="H19" s="60">
        <f>F19-D19</f>
        <v>14078083</v>
      </c>
      <c r="I19" s="38">
        <f>G19-E19</f>
        <v>26249428.869999975</v>
      </c>
    </row>
    <row r="20" spans="1:9" x14ac:dyDescent="0.2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290556.40999999997</v>
      </c>
      <c r="H20" s="60">
        <f>F20-D20</f>
        <v>0</v>
      </c>
      <c r="I20" s="38">
        <f>G20-E20</f>
        <v>290556.40999999997</v>
      </c>
    </row>
    <row r="21" spans="1:9" x14ac:dyDescent="0.2">
      <c r="A21" s="9">
        <v>8</v>
      </c>
      <c r="B21" s="7"/>
      <c r="C21" s="18" t="s">
        <v>29</v>
      </c>
      <c r="D21" s="65">
        <f>'TX-EGM-FLSH'!L21</f>
        <v>-2711686</v>
      </c>
      <c r="E21" s="66">
        <f>'TX-EGM-FLSH'!M21</f>
        <v>-5239910.5</v>
      </c>
      <c r="F21" s="60">
        <f>'TX-EGM-GL'!D21</f>
        <v>-33619372</v>
      </c>
      <c r="G21" s="38">
        <f>'TX-EGM-GL'!E21</f>
        <v>-70421291</v>
      </c>
      <c r="H21" s="60">
        <f t="shared" ref="H21:I23" si="2">F21-D21</f>
        <v>-30907686</v>
      </c>
      <c r="I21" s="38">
        <f t="shared" si="2"/>
        <v>-65181380.5</v>
      </c>
    </row>
    <row r="22" spans="1:9" x14ac:dyDescent="0.2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5738</v>
      </c>
      <c r="G23" s="38">
        <f>'TX-EGM-GL'!E23</f>
        <v>10431.678</v>
      </c>
      <c r="H23" s="60">
        <f t="shared" si="2"/>
        <v>5738</v>
      </c>
      <c r="I23" s="38">
        <f t="shared" si="2"/>
        <v>10431.678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-55716026</v>
      </c>
      <c r="E24" s="39">
        <f t="shared" si="3"/>
        <v>-103587632.95999999</v>
      </c>
      <c r="F24" s="61">
        <f t="shared" si="3"/>
        <v>-72539891</v>
      </c>
      <c r="G24" s="39">
        <f t="shared" si="3"/>
        <v>-142218596.502</v>
      </c>
      <c r="H24" s="61">
        <f t="shared" si="3"/>
        <v>-16823865</v>
      </c>
      <c r="I24" s="39">
        <f t="shared" si="3"/>
        <v>-38630963.542000026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'TX-EGM-FLSH'!L27</f>
        <v>33282477</v>
      </c>
      <c r="E27" s="66">
        <f>'TX-EGM-FLSH'!M27</f>
        <v>70150974.940000013</v>
      </c>
      <c r="F27" s="60">
        <f>'TX-EGM-GL'!D27</f>
        <v>226773</v>
      </c>
      <c r="G27" s="38">
        <f>'TX-EGM-GL'!E27</f>
        <v>421798.42000000004</v>
      </c>
      <c r="H27" s="60">
        <f>F27-D27</f>
        <v>-33055704</v>
      </c>
      <c r="I27" s="38">
        <f>G27-E27</f>
        <v>-69729176.520000011</v>
      </c>
    </row>
    <row r="28" spans="1:9" x14ac:dyDescent="0.2">
      <c r="A28" s="9">
        <v>12</v>
      </c>
      <c r="B28" s="7"/>
      <c r="C28" s="18" t="s">
        <v>38</v>
      </c>
      <c r="D28" s="65">
        <f>'TX-EGM-FLSH'!L28</f>
        <v>-33509812</v>
      </c>
      <c r="E28" s="66">
        <f>'TX-EGM-FLSH'!M28</f>
        <v>-70573818.040000007</v>
      </c>
      <c r="F28" s="60">
        <f>'TX-EGM-GL'!D28</f>
        <v>-13493264</v>
      </c>
      <c r="G28" s="38">
        <f>'TX-EGM-GL'!E28</f>
        <v>-25138905.080000006</v>
      </c>
      <c r="H28" s="60">
        <f>F28-D28</f>
        <v>20016548</v>
      </c>
      <c r="I28" s="38">
        <f>G28-E28</f>
        <v>45434912.960000001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-227335</v>
      </c>
      <c r="E29" s="70">
        <f t="shared" si="4"/>
        <v>-422843.09999999404</v>
      </c>
      <c r="F29" s="69">
        <f t="shared" si="4"/>
        <v>-13266491</v>
      </c>
      <c r="G29" s="70">
        <f t="shared" si="4"/>
        <v>-24717106.660000004</v>
      </c>
      <c r="H29" s="69">
        <f t="shared" si="4"/>
        <v>-13039156</v>
      </c>
      <c r="I29" s="70">
        <f t="shared" si="4"/>
        <v>-24294263.56000001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-55587</v>
      </c>
      <c r="G32" s="38">
        <f>'TX-EGM-GL'!E32</f>
        <v>-101057.92300000023</v>
      </c>
      <c r="H32" s="60">
        <f>F32-D32</f>
        <v>-55587</v>
      </c>
      <c r="I32" s="38">
        <f>G32-E32</f>
        <v>-101057.92300000023</v>
      </c>
    </row>
    <row r="33" spans="1:9" x14ac:dyDescent="0.2">
      <c r="A33" s="9">
        <v>14</v>
      </c>
      <c r="B33" s="7"/>
      <c r="C33" s="18" t="s">
        <v>42</v>
      </c>
      <c r="D33" s="65">
        <f>'TX-EGM-FLSH'!L33</f>
        <v>-497811</v>
      </c>
      <c r="E33" s="66">
        <f>'TX-EGM-FLSH'!M33</f>
        <v>-904662.39787830831</v>
      </c>
      <c r="F33" s="60">
        <f>'TX-EGM-GL'!D33</f>
        <v>0</v>
      </c>
      <c r="G33" s="38">
        <f>'TX-EGM-GL'!E33</f>
        <v>0</v>
      </c>
      <c r="H33" s="60">
        <f t="shared" ref="H33:I35" si="5">F33-D33</f>
        <v>497811</v>
      </c>
      <c r="I33" s="38">
        <f t="shared" si="5"/>
        <v>904662.39787830831</v>
      </c>
    </row>
    <row r="34" spans="1:9" x14ac:dyDescent="0.2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-497811</v>
      </c>
      <c r="E36" s="39">
        <f t="shared" si="6"/>
        <v>-904662.39787830831</v>
      </c>
      <c r="F36" s="61">
        <f t="shared" si="6"/>
        <v>-55587</v>
      </c>
      <c r="G36" s="39">
        <f t="shared" si="6"/>
        <v>-101057.92300000023</v>
      </c>
      <c r="H36" s="61">
        <f t="shared" si="6"/>
        <v>442224</v>
      </c>
      <c r="I36" s="39">
        <f t="shared" si="6"/>
        <v>803604.47487830813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'TX-EGM-FLSH'!L39</f>
        <v>4532382</v>
      </c>
      <c r="E39" s="66">
        <f>'TX-EGM-FLSH'!M39</f>
        <v>7102748</v>
      </c>
      <c r="F39" s="60">
        <f>'TX-EGM-GL'!D39</f>
        <v>3017845</v>
      </c>
      <c r="G39" s="38">
        <f>'TX-EGM-GL'!E39</f>
        <v>4802462.04</v>
      </c>
      <c r="H39" s="60">
        <f t="shared" ref="H39:I41" si="7">F39-D39</f>
        <v>-1514537</v>
      </c>
      <c r="I39" s="38">
        <f t="shared" si="7"/>
        <v>-2300285.96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'TX-EGM-FLSH'!L40</f>
        <v>-1977971</v>
      </c>
      <c r="E40" s="66">
        <f>'TX-EGM-FLSH'!M40</f>
        <v>-3080609</v>
      </c>
      <c r="F40" s="60">
        <f>'TX-EGM-GL'!D40</f>
        <v>0</v>
      </c>
      <c r="G40" s="38">
        <f>'TX-EGM-GL'!E40</f>
        <v>0</v>
      </c>
      <c r="H40" s="60">
        <f t="shared" si="7"/>
        <v>1977971</v>
      </c>
      <c r="I40" s="38">
        <f t="shared" si="7"/>
        <v>3080609</v>
      </c>
    </row>
    <row r="41" spans="1:9" x14ac:dyDescent="0.2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-3763</v>
      </c>
      <c r="H41" s="60">
        <f t="shared" si="7"/>
        <v>0</v>
      </c>
      <c r="I41" s="38">
        <f t="shared" si="7"/>
        <v>-3763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-1977971</v>
      </c>
      <c r="E42" s="70">
        <f t="shared" si="8"/>
        <v>-3080609</v>
      </c>
      <c r="F42" s="69">
        <f t="shared" si="8"/>
        <v>0</v>
      </c>
      <c r="G42" s="70">
        <f t="shared" si="8"/>
        <v>-3763</v>
      </c>
      <c r="H42" s="69">
        <f t="shared" si="8"/>
        <v>1977971</v>
      </c>
      <c r="I42" s="70">
        <f t="shared" si="8"/>
        <v>3076846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2554411</v>
      </c>
      <c r="E43" s="39">
        <f t="shared" si="9"/>
        <v>4022139</v>
      </c>
      <c r="F43" s="61">
        <f t="shared" si="9"/>
        <v>3017845</v>
      </c>
      <c r="G43" s="39">
        <f t="shared" si="9"/>
        <v>4798699.04</v>
      </c>
      <c r="H43" s="61">
        <f t="shared" si="9"/>
        <v>463434</v>
      </c>
      <c r="I43" s="39">
        <f t="shared" si="9"/>
        <v>776560.04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-407301</v>
      </c>
      <c r="G49" s="38">
        <f>'TX-EGM-GL'!E49</f>
        <v>-740473.21799999999</v>
      </c>
      <c r="H49" s="60">
        <f>F49-D49</f>
        <v>-407301</v>
      </c>
      <c r="I49" s="38">
        <f>G49-E49</f>
        <v>-740473.21799999999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-5738</v>
      </c>
      <c r="G51" s="38">
        <f>'TX-EGM-GL'!E51</f>
        <v>-10431.678</v>
      </c>
      <c r="H51" s="60">
        <f>F51-D51</f>
        <v>-5738</v>
      </c>
      <c r="I51" s="38">
        <f>G51-E51</f>
        <v>14568.322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-904705</v>
      </c>
      <c r="F54" s="60">
        <f>'TX-EGM-GL'!D54</f>
        <v>-5186275</v>
      </c>
      <c r="G54" s="38">
        <f>'TX-EGM-GL'!E54</f>
        <v>-301767.21000000008</v>
      </c>
      <c r="H54" s="60">
        <f>F54-D54</f>
        <v>-5186275</v>
      </c>
      <c r="I54" s="38">
        <f>G54-E54</f>
        <v>602937.78999999992</v>
      </c>
    </row>
    <row r="55" spans="1:9" x14ac:dyDescent="0.2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-904705</v>
      </c>
      <c r="F56" s="61">
        <f t="shared" si="10"/>
        <v>-5186275</v>
      </c>
      <c r="G56" s="39">
        <f t="shared" si="10"/>
        <v>-301767.21000000008</v>
      </c>
      <c r="H56" s="61">
        <f t="shared" si="10"/>
        <v>-5186275</v>
      </c>
      <c r="I56" s="39">
        <f t="shared" si="10"/>
        <v>602937.78999999992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785.9</v>
      </c>
      <c r="H59" s="60">
        <f>F59-D59</f>
        <v>0</v>
      </c>
      <c r="I59" s="38">
        <f>G59-E59</f>
        <v>785.9</v>
      </c>
    </row>
    <row r="60" spans="1:9" x14ac:dyDescent="0.2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785.9</v>
      </c>
      <c r="H61" s="69">
        <f t="shared" si="11"/>
        <v>0</v>
      </c>
      <c r="I61" s="70">
        <f t="shared" si="11"/>
        <v>785.9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-54887350</v>
      </c>
      <c r="G64" s="38">
        <f>'TX-EGM-GL'!E64</f>
        <v>-1089675.98</v>
      </c>
      <c r="H64" s="60">
        <f>F64-D64</f>
        <v>-54887350</v>
      </c>
      <c r="I64" s="38">
        <f>G64-E64</f>
        <v>-1089675.98</v>
      </c>
    </row>
    <row r="65" spans="1:9" x14ac:dyDescent="0.2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1110490</v>
      </c>
      <c r="H65" s="60">
        <f>F65-D65</f>
        <v>0</v>
      </c>
      <c r="I65" s="38">
        <f>G65-E65</f>
        <v>1110490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-54887350</v>
      </c>
      <c r="G66" s="39">
        <f t="shared" si="12"/>
        <v>20814.020000000019</v>
      </c>
      <c r="H66" s="61">
        <f t="shared" si="12"/>
        <v>-54887350</v>
      </c>
      <c r="I66" s="39">
        <f t="shared" si="12"/>
        <v>20814.020000000019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1054678.81</v>
      </c>
      <c r="F70" s="60">
        <f>'TX-EGM-GL'!D70</f>
        <v>0</v>
      </c>
      <c r="G70" s="38">
        <f>'TX-EGM-GL'!E70</f>
        <v>1054678.81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-468909</v>
      </c>
      <c r="F71" s="60">
        <f>'TX-EGM-GL'!D71</f>
        <v>0</v>
      </c>
      <c r="G71" s="38">
        <f>'TX-EGM-GL'!E71</f>
        <v>-300496</v>
      </c>
      <c r="H71" s="60">
        <f>F71-D71</f>
        <v>0</v>
      </c>
      <c r="I71" s="38">
        <f>G71-E71</f>
        <v>168413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585769.81000000006</v>
      </c>
      <c r="F72" s="69">
        <f t="shared" si="13"/>
        <v>0</v>
      </c>
      <c r="G72" s="70">
        <f t="shared" si="13"/>
        <v>754182.81</v>
      </c>
      <c r="H72" s="69">
        <f t="shared" si="13"/>
        <v>0</v>
      </c>
      <c r="I72" s="70">
        <f t="shared" si="13"/>
        <v>168413</v>
      </c>
    </row>
    <row r="73" spans="1:9" x14ac:dyDescent="0.2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1279584</v>
      </c>
      <c r="F74" s="60">
        <f>'TX-EGM-GL'!D74</f>
        <v>0</v>
      </c>
      <c r="G74" s="38">
        <f>'TX-EGM-GL'!E74</f>
        <v>1198666.1299999999</v>
      </c>
      <c r="H74" s="60">
        <f t="shared" ref="H74:I79" si="14">F74-D74</f>
        <v>0</v>
      </c>
      <c r="I74" s="38">
        <f t="shared" si="14"/>
        <v>-80917.870000000112</v>
      </c>
    </row>
    <row r="75" spans="1:9" x14ac:dyDescent="0.2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118667</v>
      </c>
      <c r="F75" s="60">
        <f>'TX-EGM-GL'!D75</f>
        <v>0</v>
      </c>
      <c r="G75" s="38">
        <f>'TX-EGM-GL'!E75</f>
        <v>118700</v>
      </c>
      <c r="H75" s="60">
        <f t="shared" si="14"/>
        <v>0</v>
      </c>
      <c r="I75" s="38">
        <f t="shared" si="14"/>
        <v>33</v>
      </c>
    </row>
    <row r="76" spans="1:9" x14ac:dyDescent="0.2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-14678</v>
      </c>
      <c r="F76" s="60">
        <f>'TX-EGM-GL'!D76</f>
        <v>0</v>
      </c>
      <c r="G76" s="38">
        <f>'TX-EGM-GL'!E76</f>
        <v>-14227.5</v>
      </c>
      <c r="H76" s="60">
        <f t="shared" si="14"/>
        <v>0</v>
      </c>
      <c r="I76" s="38">
        <f t="shared" si="14"/>
        <v>450.5</v>
      </c>
    </row>
    <row r="77" spans="1:9" x14ac:dyDescent="0.2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-10000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10000</v>
      </c>
    </row>
    <row r="78" spans="1:9" x14ac:dyDescent="0.2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269286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-269286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901522.31212170003</v>
      </c>
      <c r="F82" s="111">
        <f>F16+F24+F29+F36+F43+F45+F47+F49</f>
        <v>0</v>
      </c>
      <c r="G82" s="112">
        <f>SUM(G72:G81)+G16+G24+G29+G36+G43+G45+G47+G49+G51+G56+G61+G66</f>
        <v>2006169.2229999881</v>
      </c>
      <c r="H82" s="111">
        <f>H16+H24+H29+H36+H43+H45+H47+H49</f>
        <v>0</v>
      </c>
      <c r="I82" s="112">
        <f>SUM(I72:I81)+I16+I24+I29+I36+I43+I45+I47+I49+I51+I56+I61+I66</f>
        <v>1104646.9108782581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177</v>
      </c>
      <c r="B85" s="3"/>
      <c r="F85" s="31"/>
      <c r="G85" s="31"/>
      <c r="H85" s="31"/>
      <c r="I85" s="31"/>
    </row>
    <row r="86" spans="1:63" x14ac:dyDescent="0.2">
      <c r="A86" s="177"/>
      <c r="B86" s="3"/>
      <c r="C86" s="10" t="s">
        <v>181</v>
      </c>
      <c r="D86" s="178">
        <f>'TX-EGM-FLSH'!L86</f>
        <v>0</v>
      </c>
      <c r="E86" s="178">
        <f>'TX-EGM-FLSH'!M86</f>
        <v>114066</v>
      </c>
      <c r="F86" s="178">
        <f>'TX-EGM-GL'!D86</f>
        <v>0</v>
      </c>
      <c r="G86" s="178">
        <f>'TX-EGM-GL'!E86</f>
        <v>114066.14000000013</v>
      </c>
      <c r="H86" s="178">
        <f t="shared" ref="H86:I88" si="15">F86-D86</f>
        <v>0</v>
      </c>
      <c r="I86" s="178">
        <f t="shared" si="15"/>
        <v>0.14000000013038516</v>
      </c>
    </row>
    <row r="87" spans="1:63" x14ac:dyDescent="0.2">
      <c r="A87" s="177"/>
      <c r="B87" s="3"/>
      <c r="C87" s="10" t="s">
        <v>73</v>
      </c>
      <c r="D87" s="179">
        <f>'TX-EGM-FLSH'!L87</f>
        <v>0</v>
      </c>
      <c r="E87" s="179">
        <f>'TX-EGM-FLSH'!M87</f>
        <v>0</v>
      </c>
      <c r="F87" s="179">
        <f>'TX-EGM-GL'!D87</f>
        <v>0</v>
      </c>
      <c r="G87" s="179">
        <f>'TX-EGM-GL'!E87</f>
        <v>0</v>
      </c>
      <c r="H87" s="179">
        <f t="shared" si="15"/>
        <v>0</v>
      </c>
      <c r="I87" s="179">
        <f t="shared" si="15"/>
        <v>0</v>
      </c>
    </row>
    <row r="88" spans="1:63" x14ac:dyDescent="0.2">
      <c r="A88" s="177"/>
      <c r="B88" s="3"/>
      <c r="C88" s="10" t="s">
        <v>74</v>
      </c>
      <c r="D88" s="180">
        <f>'TX-EGM-FLSH'!L88</f>
        <v>0</v>
      </c>
      <c r="E88" s="180">
        <f>'TX-EGM-FLSH'!M88</f>
        <v>-113464</v>
      </c>
      <c r="F88" s="180">
        <f>'TX-EGM-GL'!D88</f>
        <v>0</v>
      </c>
      <c r="G88" s="180">
        <f>'TX-EGM-GL'!E88</f>
        <v>-113100</v>
      </c>
      <c r="H88" s="180">
        <f t="shared" si="15"/>
        <v>0</v>
      </c>
      <c r="I88" s="180">
        <f t="shared" si="15"/>
        <v>364</v>
      </c>
    </row>
    <row r="89" spans="1:63" s="143" customFormat="1" x14ac:dyDescent="0.2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602</v>
      </c>
      <c r="F89" s="193">
        <f t="shared" si="16"/>
        <v>0</v>
      </c>
      <c r="G89" s="193">
        <f t="shared" si="16"/>
        <v>966.14000000013039</v>
      </c>
      <c r="H89" s="193">
        <f t="shared" si="16"/>
        <v>0</v>
      </c>
      <c r="I89" s="193">
        <f t="shared" si="16"/>
        <v>364.14000000013039</v>
      </c>
    </row>
    <row r="90" spans="1:63" s="143" customFormat="1" x14ac:dyDescent="0.2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902124.31212170003</v>
      </c>
      <c r="F91" s="193">
        <f t="shared" si="17"/>
        <v>0</v>
      </c>
      <c r="G91" s="193">
        <f t="shared" si="17"/>
        <v>2007135.3629999883</v>
      </c>
      <c r="H91" s="193">
        <f t="shared" si="17"/>
        <v>0</v>
      </c>
      <c r="I91" s="193">
        <f t="shared" si="17"/>
        <v>1105011.0508782582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'TX-HPL-FLSH'!L11</f>
        <v>943584</v>
      </c>
      <c r="E11" s="66">
        <f>'TX-HPL-FLSH'!M11</f>
        <v>1738028.39</v>
      </c>
      <c r="F11" s="60">
        <f>'TX-HPL-GL '!D11</f>
        <v>935241</v>
      </c>
      <c r="G11" s="38">
        <f>'TX-HPL-GL '!E11</f>
        <v>1864991.48</v>
      </c>
      <c r="H11" s="60">
        <f>F11-D11</f>
        <v>-8343</v>
      </c>
      <c r="I11" s="38">
        <f>G11-E11</f>
        <v>126963.09000000008</v>
      </c>
    </row>
    <row r="12" spans="1:22" x14ac:dyDescent="0.2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-736020.91999999993</v>
      </c>
      <c r="H12" s="60">
        <f>F12-D12</f>
        <v>0</v>
      </c>
      <c r="I12" s="38">
        <f>G12-E12</f>
        <v>-736020.91999999993</v>
      </c>
    </row>
    <row r="13" spans="1:22" x14ac:dyDescent="0.2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-0.34999999997671694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0.34999999997671694</v>
      </c>
    </row>
    <row r="14" spans="1:22" x14ac:dyDescent="0.2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943584</v>
      </c>
      <c r="E16" s="39">
        <f t="shared" si="1"/>
        <v>1738028.04</v>
      </c>
      <c r="F16" s="61">
        <f t="shared" si="1"/>
        <v>935241</v>
      </c>
      <c r="G16" s="39">
        <f t="shared" si="1"/>
        <v>1128970.56</v>
      </c>
      <c r="H16" s="61">
        <f t="shared" si="1"/>
        <v>-8343</v>
      </c>
      <c r="I16" s="39">
        <f t="shared" si="1"/>
        <v>-609057.47999999986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'TX-HPL-FLSH'!L19</f>
        <v>-1164627</v>
      </c>
      <c r="E19" s="66">
        <f>'TX-HPL-FLSH'!M19</f>
        <v>-2120376.5400000066</v>
      </c>
      <c r="F19" s="60">
        <f>'TX-HPL-GL '!D19</f>
        <v>-1207478</v>
      </c>
      <c r="G19" s="38">
        <f>'TX-HPL-GL '!E19</f>
        <v>-2174847.5699999998</v>
      </c>
      <c r="H19" s="60">
        <f>F19-D19</f>
        <v>-42851</v>
      </c>
      <c r="I19" s="38">
        <f>G19-E19</f>
        <v>-54471.029999993276</v>
      </c>
    </row>
    <row r="20" spans="1:9" x14ac:dyDescent="0.2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-39357.299999999996</v>
      </c>
      <c r="H20" s="60">
        <f>F20-D20</f>
        <v>0</v>
      </c>
      <c r="I20" s="38">
        <f>G20-E20</f>
        <v>-39357.299999999996</v>
      </c>
    </row>
    <row r="21" spans="1:9" x14ac:dyDescent="0.2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-2.5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2.5</v>
      </c>
    </row>
    <row r="22" spans="1:9" x14ac:dyDescent="0.2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'TX-HPL-FLSH'!L23</f>
        <v>295</v>
      </c>
      <c r="E23" s="66">
        <f>'TX-HPL-FLSH'!M23</f>
        <v>574</v>
      </c>
      <c r="F23" s="60">
        <f>'TX-HPL-GL '!D23</f>
        <v>0</v>
      </c>
      <c r="G23" s="38">
        <f>'TX-HPL-GL '!E23</f>
        <v>0</v>
      </c>
      <c r="H23" s="60">
        <f t="shared" si="2"/>
        <v>-295</v>
      </c>
      <c r="I23" s="38">
        <f t="shared" si="2"/>
        <v>-574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-1164332</v>
      </c>
      <c r="E24" s="39">
        <f t="shared" si="3"/>
        <v>-2119805.0400000066</v>
      </c>
      <c r="F24" s="61">
        <f t="shared" si="3"/>
        <v>-1207478</v>
      </c>
      <c r="G24" s="39">
        <f t="shared" si="3"/>
        <v>-2214204.8699999996</v>
      </c>
      <c r="H24" s="61">
        <f t="shared" si="3"/>
        <v>-43146</v>
      </c>
      <c r="I24" s="39">
        <f t="shared" si="3"/>
        <v>-94399.829999993264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'TX-HPL-FLSH'!L27</f>
        <v>246774</v>
      </c>
      <c r="E27" s="66">
        <f>'TX-HPL-FLSH'!M27</f>
        <v>459013.05999998748</v>
      </c>
      <c r="F27" s="60">
        <f>'TX-HPL-GL '!D27</f>
        <v>348097</v>
      </c>
      <c r="G27" s="38">
        <f>'TX-HPL-GL '!E27</f>
        <v>643490.45979999995</v>
      </c>
      <c r="H27" s="60">
        <f>F27-D27</f>
        <v>101323</v>
      </c>
      <c r="I27" s="38">
        <f>G27-E27</f>
        <v>184477.39980001247</v>
      </c>
    </row>
    <row r="28" spans="1:9" x14ac:dyDescent="0.2">
      <c r="A28" s="9">
        <v>12</v>
      </c>
      <c r="B28" s="7"/>
      <c r="C28" s="18" t="s">
        <v>38</v>
      </c>
      <c r="D28" s="65">
        <f>'TX-HPL-FLSH'!L28</f>
        <v>-19439</v>
      </c>
      <c r="E28" s="66">
        <f>'TX-HPL-FLSH'!M28</f>
        <v>-36170.959999993443</v>
      </c>
      <c r="F28" s="60">
        <f>'TX-HPL-GL '!D28</f>
        <v>-10080</v>
      </c>
      <c r="G28" s="38">
        <f>'TX-HPL-GL '!E28</f>
        <v>-22912.16</v>
      </c>
      <c r="H28" s="60">
        <f>F28-D28</f>
        <v>9359</v>
      </c>
      <c r="I28" s="38">
        <f>G28-E28</f>
        <v>13258.799999993444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227335</v>
      </c>
      <c r="E29" s="70">
        <f t="shared" si="4"/>
        <v>422842.09999999404</v>
      </c>
      <c r="F29" s="69">
        <f t="shared" si="4"/>
        <v>338017</v>
      </c>
      <c r="G29" s="70">
        <f t="shared" si="4"/>
        <v>620578.29979999992</v>
      </c>
      <c r="H29" s="69">
        <f t="shared" si="4"/>
        <v>110682</v>
      </c>
      <c r="I29" s="70">
        <f t="shared" si="4"/>
        <v>197736.19980000591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-65780</v>
      </c>
      <c r="G32" s="38">
        <f>'TX-HPL-GL '!E32</f>
        <v>-119588.04200000002</v>
      </c>
      <c r="H32" s="60">
        <f>F32-D32</f>
        <v>-65780</v>
      </c>
      <c r="I32" s="38">
        <f>G32-E32</f>
        <v>-119588.04200000002</v>
      </c>
    </row>
    <row r="33" spans="1:9" x14ac:dyDescent="0.2">
      <c r="A33" s="9">
        <v>14</v>
      </c>
      <c r="B33" s="7"/>
      <c r="C33" s="18" t="s">
        <v>42</v>
      </c>
      <c r="D33" s="65">
        <f>'TX-HPL-FLSH'!L33</f>
        <v>-6587</v>
      </c>
      <c r="E33" s="66">
        <f>'TX-HPL-FLSH'!M33</f>
        <v>-12283.109887822648</v>
      </c>
      <c r="F33" s="60">
        <f>'TX-HPL-GL '!D33</f>
        <v>0</v>
      </c>
      <c r="G33" s="38">
        <f>'TX-HPL-GL '!E33</f>
        <v>0</v>
      </c>
      <c r="H33" s="60">
        <f t="shared" ref="H33:I35" si="5">F33-D33</f>
        <v>6587</v>
      </c>
      <c r="I33" s="38">
        <f t="shared" si="5"/>
        <v>12283.109887822648</v>
      </c>
    </row>
    <row r="34" spans="1:9" x14ac:dyDescent="0.2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-6587</v>
      </c>
      <c r="E36" s="39">
        <f t="shared" si="6"/>
        <v>-12283.109887822648</v>
      </c>
      <c r="F36" s="61">
        <f t="shared" si="6"/>
        <v>-65780</v>
      </c>
      <c r="G36" s="39">
        <f t="shared" si="6"/>
        <v>-119588.04200000002</v>
      </c>
      <c r="H36" s="61">
        <f t="shared" si="6"/>
        <v>-59193</v>
      </c>
      <c r="I36" s="39">
        <f t="shared" si="6"/>
        <v>-107304.93211217737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-1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1</v>
      </c>
    </row>
    <row r="41" spans="1:9" x14ac:dyDescent="0.2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-1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1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350</v>
      </c>
      <c r="H54" s="60">
        <f>F54-D54</f>
        <v>0</v>
      </c>
      <c r="I54" s="38">
        <f>G54-E54</f>
        <v>350</v>
      </c>
    </row>
    <row r="55" spans="1:9" x14ac:dyDescent="0.2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-677185</v>
      </c>
      <c r="H55" s="60">
        <f>F55-D55</f>
        <v>0</v>
      </c>
      <c r="I55" s="38">
        <f>G55-E55</f>
        <v>-677185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-676835</v>
      </c>
      <c r="H56" s="61">
        <f t="shared" si="10"/>
        <v>0</v>
      </c>
      <c r="I56" s="39">
        <f t="shared" si="10"/>
        <v>-676835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20475.079999999998</v>
      </c>
      <c r="H59" s="60">
        <f>F59-D59</f>
        <v>0</v>
      </c>
      <c r="I59" s="38">
        <f>G59-E59</f>
        <v>20475.079999999998</v>
      </c>
    </row>
    <row r="60" spans="1:9" x14ac:dyDescent="0.2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20475.079999999998</v>
      </c>
      <c r="H61" s="69">
        <f t="shared" si="11"/>
        <v>0</v>
      </c>
      <c r="I61" s="70">
        <f t="shared" si="11"/>
        <v>20475.079999999998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-1513643</v>
      </c>
      <c r="G64" s="38">
        <f>'TX-HPL-GL '!E64</f>
        <v>-94951.959999999992</v>
      </c>
      <c r="H64" s="60">
        <f>F64-D64</f>
        <v>-1513643</v>
      </c>
      <c r="I64" s="38">
        <f>G64-E64</f>
        <v>-94951.959999999992</v>
      </c>
    </row>
    <row r="65" spans="1:9" x14ac:dyDescent="0.2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71516</v>
      </c>
      <c r="H65" s="60">
        <f>F65-D65</f>
        <v>0</v>
      </c>
      <c r="I65" s="38">
        <f>G65-E65</f>
        <v>71516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-1513643</v>
      </c>
      <c r="G66" s="39">
        <f t="shared" si="12"/>
        <v>-23435.959999999992</v>
      </c>
      <c r="H66" s="61">
        <f t="shared" si="12"/>
        <v>-1513643</v>
      </c>
      <c r="I66" s="39">
        <f t="shared" si="12"/>
        <v>-23435.959999999992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89700</v>
      </c>
      <c r="H74" s="60">
        <f t="shared" ref="H74:I79" si="14">F74-D74</f>
        <v>0</v>
      </c>
      <c r="I74" s="38">
        <f t="shared" si="14"/>
        <v>89700</v>
      </c>
    </row>
    <row r="75" spans="1:9" x14ac:dyDescent="0.2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53778.990112164873</v>
      </c>
      <c r="F82" s="111">
        <f>F16+F24+F29+F36+F43+F45+F47+F49</f>
        <v>0</v>
      </c>
      <c r="G82" s="112">
        <f>SUM(G72:G81)+G16+G24+G29+G36+G43+G45+G47+G49+G51+G56+G61+G66</f>
        <v>-1184057.9321999997</v>
      </c>
      <c r="H82" s="111">
        <f>H16+H24+H29+H36+H43+H45+H47+H49</f>
        <v>0</v>
      </c>
      <c r="I82" s="112">
        <f>SUM(I72:I81)+I16+I24+I29+I36+I43+I45+I47+I49+I51+I56+I61+I66</f>
        <v>-1237836.9223121644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'TX-CON-FLSH'!L11</f>
        <v>54315648</v>
      </c>
      <c r="E11" s="66">
        <f>'TX-CON-FLSH'!M11</f>
        <v>101248913</v>
      </c>
      <c r="F11" s="60">
        <f>'TX-CON-GL '!D11</f>
        <v>52764283</v>
      </c>
      <c r="G11" s="38">
        <f>'TX-CON-GL '!E11</f>
        <v>104372567.32399999</v>
      </c>
      <c r="H11" s="60">
        <f>F11-D11</f>
        <v>-1551365</v>
      </c>
      <c r="I11" s="38">
        <f>G11-E11</f>
        <v>3123654.3239999861</v>
      </c>
    </row>
    <row r="12" spans="1:22" x14ac:dyDescent="0.2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-6191705.75</v>
      </c>
      <c r="H12" s="60">
        <f>F12-D12</f>
        <v>0</v>
      </c>
      <c r="I12" s="38">
        <f>G12-E12</f>
        <v>-6191705.75</v>
      </c>
    </row>
    <row r="13" spans="1:22" x14ac:dyDescent="0.2">
      <c r="A13" s="9">
        <v>3</v>
      </c>
      <c r="B13" s="7"/>
      <c r="C13" s="18" t="s">
        <v>29</v>
      </c>
      <c r="D13" s="65">
        <f>'TX-CON-FLSH'!L13</f>
        <v>514697</v>
      </c>
      <c r="E13" s="66">
        <f>'TX-CON-FLSH'!M13</f>
        <v>984713</v>
      </c>
      <c r="F13" s="60">
        <f>'TX-CON-GL '!D13</f>
        <v>31422383</v>
      </c>
      <c r="G13" s="38">
        <f>'TX-CON-GL '!E13</f>
        <v>66166091</v>
      </c>
      <c r="H13" s="60">
        <f t="shared" ref="H13:I15" si="0">F13-D13</f>
        <v>30907686</v>
      </c>
      <c r="I13" s="38">
        <f t="shared" si="0"/>
        <v>65181378</v>
      </c>
    </row>
    <row r="14" spans="1:22" x14ac:dyDescent="0.2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54830345</v>
      </c>
      <c r="E16" s="39">
        <f t="shared" si="1"/>
        <v>102233626</v>
      </c>
      <c r="F16" s="61">
        <f t="shared" si="1"/>
        <v>84186666</v>
      </c>
      <c r="G16" s="39">
        <f t="shared" si="1"/>
        <v>164346952.574</v>
      </c>
      <c r="H16" s="61">
        <f t="shared" si="1"/>
        <v>29356321</v>
      </c>
      <c r="I16" s="39">
        <f t="shared" si="1"/>
        <v>62113326.573999986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'TX-CON-FLSH'!L19</f>
        <v>-54168967</v>
      </c>
      <c r="E19" s="66">
        <f>'TX-CON-FLSH'!M19</f>
        <v>-100468099</v>
      </c>
      <c r="F19" s="60">
        <f>'TX-CON-GL '!D19</f>
        <v>-40133735</v>
      </c>
      <c r="G19" s="38">
        <f>'TX-CON-GL '!E19</f>
        <v>-74273141.160000011</v>
      </c>
      <c r="H19" s="60">
        <f>F19-D19</f>
        <v>14035232</v>
      </c>
      <c r="I19" s="38">
        <f>G19-E19</f>
        <v>26194957.839999989</v>
      </c>
    </row>
    <row r="20" spans="1:9" x14ac:dyDescent="0.2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251199.11</v>
      </c>
      <c r="H20" s="60">
        <f>F20-D20</f>
        <v>0</v>
      </c>
      <c r="I20" s="38">
        <f>G20-E20</f>
        <v>251199.11</v>
      </c>
    </row>
    <row r="21" spans="1:9" x14ac:dyDescent="0.2">
      <c r="A21" s="9">
        <v>8</v>
      </c>
      <c r="B21" s="7"/>
      <c r="C21" s="18" t="s">
        <v>29</v>
      </c>
      <c r="D21" s="65">
        <f>'TX-CON-FLSH'!L21</f>
        <v>-2711686</v>
      </c>
      <c r="E21" s="66">
        <f>'TX-CON-FLSH'!M21</f>
        <v>-5239913</v>
      </c>
      <c r="F21" s="60">
        <f>'TX-CON-GL '!D21</f>
        <v>-33619372</v>
      </c>
      <c r="G21" s="38">
        <f>'TX-CON-GL '!E21</f>
        <v>-70421291</v>
      </c>
      <c r="H21" s="60">
        <f t="shared" ref="H21:I23" si="2">F21-D21</f>
        <v>-30907686</v>
      </c>
      <c r="I21" s="38">
        <f t="shared" si="2"/>
        <v>-65181378</v>
      </c>
    </row>
    <row r="22" spans="1:9" x14ac:dyDescent="0.2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'TX-CON-FLSH'!L23</f>
        <v>295</v>
      </c>
      <c r="E23" s="66">
        <f>'TX-CON-FLSH'!M23</f>
        <v>574</v>
      </c>
      <c r="F23" s="60">
        <f>'TX-CON-GL '!D23</f>
        <v>5738</v>
      </c>
      <c r="G23" s="38">
        <f>'TX-CON-GL '!E23</f>
        <v>10431.678</v>
      </c>
      <c r="H23" s="60">
        <f t="shared" si="2"/>
        <v>5443</v>
      </c>
      <c r="I23" s="38">
        <f t="shared" si="2"/>
        <v>9857.6779999999999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-56880358</v>
      </c>
      <c r="E24" s="39">
        <f t="shared" si="3"/>
        <v>-105707438</v>
      </c>
      <c r="F24" s="61">
        <f t="shared" si="3"/>
        <v>-73747369</v>
      </c>
      <c r="G24" s="39">
        <f t="shared" si="3"/>
        <v>-144432801.37200001</v>
      </c>
      <c r="H24" s="61">
        <f t="shared" si="3"/>
        <v>-16867011</v>
      </c>
      <c r="I24" s="39">
        <f t="shared" si="3"/>
        <v>-38725363.372000009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'TX-CON-FLSH'!L27</f>
        <v>33529251</v>
      </c>
      <c r="E27" s="66">
        <f>'TX-CON-FLSH'!M27</f>
        <v>70609988</v>
      </c>
      <c r="F27" s="60">
        <f>'TX-CON-GL '!D27</f>
        <v>574870</v>
      </c>
      <c r="G27" s="38">
        <f>'TX-CON-GL '!E27</f>
        <v>1065288.8798</v>
      </c>
      <c r="H27" s="60">
        <f>F27-D27</f>
        <v>-32954381</v>
      </c>
      <c r="I27" s="38">
        <f>G27-E27</f>
        <v>-69544699.120199993</v>
      </c>
    </row>
    <row r="28" spans="1:9" x14ac:dyDescent="0.2">
      <c r="A28" s="9">
        <v>12</v>
      </c>
      <c r="B28" s="7"/>
      <c r="C28" s="18" t="s">
        <v>38</v>
      </c>
      <c r="D28" s="65">
        <f>'TX-CON-FLSH'!L28</f>
        <v>-33529251</v>
      </c>
      <c r="E28" s="66">
        <f>'TX-CON-FLSH'!M28</f>
        <v>-70609989</v>
      </c>
      <c r="F28" s="60">
        <f>'TX-CON-GL '!D28</f>
        <v>-13503344</v>
      </c>
      <c r="G28" s="38">
        <f>'TX-CON-GL '!E28</f>
        <v>-25161817.240000006</v>
      </c>
      <c r="H28" s="60">
        <f>F28-D28</f>
        <v>20025907</v>
      </c>
      <c r="I28" s="38">
        <f>G28-E28</f>
        <v>45448171.75999999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-1</v>
      </c>
      <c r="F29" s="69">
        <f t="shared" si="4"/>
        <v>-12928474</v>
      </c>
      <c r="G29" s="70">
        <f t="shared" si="4"/>
        <v>-24096528.360200007</v>
      </c>
      <c r="H29" s="69">
        <f t="shared" si="4"/>
        <v>-12928474</v>
      </c>
      <c r="I29" s="70">
        <f t="shared" si="4"/>
        <v>-24096527.360200003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-121367</v>
      </c>
      <c r="G32" s="38">
        <f>'TX-CON-GL '!E32</f>
        <v>-220645.96499999994</v>
      </c>
      <c r="H32" s="60">
        <f>F32-D32</f>
        <v>-121367</v>
      </c>
      <c r="I32" s="38">
        <f>G32-E32</f>
        <v>-220645.96499999994</v>
      </c>
    </row>
    <row r="33" spans="1:9" x14ac:dyDescent="0.2">
      <c r="A33" s="9">
        <v>14</v>
      </c>
      <c r="B33" s="7"/>
      <c r="C33" s="18" t="s">
        <v>42</v>
      </c>
      <c r="D33" s="65">
        <f>'TX-CON-FLSH'!L33</f>
        <v>-504398</v>
      </c>
      <c r="E33" s="66">
        <f>'TX-CON-FLSH'!M33</f>
        <v>-916945.50776613096</v>
      </c>
      <c r="F33" s="60">
        <f>'TX-CON-GL '!D33</f>
        <v>0</v>
      </c>
      <c r="G33" s="38">
        <f>'TX-CON-GL '!E33</f>
        <v>0</v>
      </c>
      <c r="H33" s="60">
        <f t="shared" ref="H33:I35" si="5">F33-D33</f>
        <v>504398</v>
      </c>
      <c r="I33" s="38">
        <f t="shared" si="5"/>
        <v>916945.50776613096</v>
      </c>
    </row>
    <row r="34" spans="1:9" x14ac:dyDescent="0.2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-504398</v>
      </c>
      <c r="E36" s="39">
        <f t="shared" si="6"/>
        <v>-916945.50776613096</v>
      </c>
      <c r="F36" s="61">
        <f t="shared" si="6"/>
        <v>-121367</v>
      </c>
      <c r="G36" s="39">
        <f t="shared" si="6"/>
        <v>-220645.96499999994</v>
      </c>
      <c r="H36" s="61">
        <f t="shared" si="6"/>
        <v>383031</v>
      </c>
      <c r="I36" s="39">
        <f t="shared" si="6"/>
        <v>696299.542766131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'TX-CON-FLSH'!L39</f>
        <v>4532382</v>
      </c>
      <c r="E39" s="66">
        <f>'TX-CON-FLSH'!M39</f>
        <v>7102746</v>
      </c>
      <c r="F39" s="60">
        <f>'TX-CON-GL '!D39</f>
        <v>3017845</v>
      </c>
      <c r="G39" s="38">
        <f>'TX-CON-GL '!E39</f>
        <v>4802462.04</v>
      </c>
      <c r="H39" s="60">
        <f t="shared" ref="H39:I41" si="7">F39-D39</f>
        <v>-1514537</v>
      </c>
      <c r="I39" s="38">
        <f t="shared" si="7"/>
        <v>-2300283.96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'TX-CON-FLSH'!L40</f>
        <v>-1977971</v>
      </c>
      <c r="E40" s="66">
        <f>'TX-CON-FLSH'!M40</f>
        <v>-3080610</v>
      </c>
      <c r="F40" s="60">
        <f>'TX-CON-GL '!D40</f>
        <v>0</v>
      </c>
      <c r="G40" s="38">
        <f>'TX-CON-GL '!E40</f>
        <v>0</v>
      </c>
      <c r="H40" s="60">
        <f t="shared" si="7"/>
        <v>1977971</v>
      </c>
      <c r="I40" s="38">
        <f t="shared" si="7"/>
        <v>3080610</v>
      </c>
    </row>
    <row r="41" spans="1:9" x14ac:dyDescent="0.2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-3763</v>
      </c>
      <c r="H41" s="60">
        <f t="shared" si="7"/>
        <v>0</v>
      </c>
      <c r="I41" s="38">
        <f t="shared" si="7"/>
        <v>-3763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-1977971</v>
      </c>
      <c r="E42" s="70">
        <f t="shared" si="8"/>
        <v>-3080610</v>
      </c>
      <c r="F42" s="69">
        <f t="shared" si="8"/>
        <v>0</v>
      </c>
      <c r="G42" s="70">
        <f t="shared" si="8"/>
        <v>-3763</v>
      </c>
      <c r="H42" s="69">
        <f t="shared" si="8"/>
        <v>1977971</v>
      </c>
      <c r="I42" s="70">
        <f t="shared" si="8"/>
        <v>3076847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2554411</v>
      </c>
      <c r="E43" s="39">
        <f t="shared" si="9"/>
        <v>4022136</v>
      </c>
      <c r="F43" s="61">
        <f t="shared" si="9"/>
        <v>3017845</v>
      </c>
      <c r="G43" s="39">
        <f t="shared" si="9"/>
        <v>4798699.04</v>
      </c>
      <c r="H43" s="61">
        <f t="shared" si="9"/>
        <v>463434</v>
      </c>
      <c r="I43" s="39">
        <f t="shared" si="9"/>
        <v>776563.04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-407301</v>
      </c>
      <c r="G49" s="38">
        <f>'TX-CON-GL '!E49</f>
        <v>-740473.21799999999</v>
      </c>
      <c r="H49" s="60">
        <f>F49-D49</f>
        <v>-407301</v>
      </c>
      <c r="I49" s="38">
        <f>G49-E49</f>
        <v>-740473.21799999999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-5738</v>
      </c>
      <c r="G51" s="38">
        <f>'TX-CON-GL '!E51</f>
        <v>-10431.678</v>
      </c>
      <c r="H51" s="60">
        <f>F51-D51</f>
        <v>-5738</v>
      </c>
      <c r="I51" s="38">
        <f>G51-E51</f>
        <v>-10431.678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-904705</v>
      </c>
      <c r="F54" s="60">
        <f>'TX-CON-GL '!D54</f>
        <v>-5186275</v>
      </c>
      <c r="G54" s="38">
        <f>'TX-CON-GL '!E54</f>
        <v>-301417.21000000008</v>
      </c>
      <c r="H54" s="60">
        <f>F54-D54</f>
        <v>-5186275</v>
      </c>
      <c r="I54" s="38">
        <f>G54-E54</f>
        <v>603287.78999999992</v>
      </c>
    </row>
    <row r="55" spans="1:9" x14ac:dyDescent="0.2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-677185</v>
      </c>
      <c r="H55" s="60">
        <f>F55-D55</f>
        <v>0</v>
      </c>
      <c r="I55" s="38">
        <f>G55-E55</f>
        <v>-677185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-904705</v>
      </c>
      <c r="F56" s="61">
        <f t="shared" si="10"/>
        <v>-5186275</v>
      </c>
      <c r="G56" s="39">
        <f t="shared" si="10"/>
        <v>-978602.21000000008</v>
      </c>
      <c r="H56" s="61">
        <f t="shared" si="10"/>
        <v>-5186275</v>
      </c>
      <c r="I56" s="39">
        <f t="shared" si="10"/>
        <v>-73897.210000000079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21260.98</v>
      </c>
      <c r="H59" s="60">
        <f>F59-D59</f>
        <v>0</v>
      </c>
      <c r="I59" s="38">
        <f>G59-E59</f>
        <v>21260.98</v>
      </c>
    </row>
    <row r="60" spans="1:9" x14ac:dyDescent="0.2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21260.98</v>
      </c>
      <c r="H61" s="69">
        <f t="shared" si="11"/>
        <v>0</v>
      </c>
      <c r="I61" s="70">
        <f t="shared" si="11"/>
        <v>21260.98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-56400993</v>
      </c>
      <c r="G64" s="38">
        <f>'TX-CON-GL '!E64</f>
        <v>-1184627.9399999997</v>
      </c>
      <c r="H64" s="60">
        <f>F64-D64</f>
        <v>-56400993</v>
      </c>
      <c r="I64" s="38">
        <f>G64-E64</f>
        <v>-1184627.9399999997</v>
      </c>
    </row>
    <row r="65" spans="1:9" x14ac:dyDescent="0.2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1182006</v>
      </c>
      <c r="H65" s="60">
        <f>F65-D65</f>
        <v>0</v>
      </c>
      <c r="I65" s="38">
        <f>G65-E65</f>
        <v>1182006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-56400993</v>
      </c>
      <c r="G66" s="39">
        <f t="shared" si="12"/>
        <v>-2621.9399999997113</v>
      </c>
      <c r="H66" s="61">
        <f t="shared" si="12"/>
        <v>-56400993</v>
      </c>
      <c r="I66" s="39">
        <f t="shared" si="12"/>
        <v>-2621.9399999997113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1054678.81</v>
      </c>
      <c r="F70" s="60">
        <f>'TX-CON-GL '!D70</f>
        <v>0</v>
      </c>
      <c r="G70" s="38">
        <f>'TX-CON-GL '!E70</f>
        <v>1054678.81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-468909</v>
      </c>
      <c r="F71" s="60">
        <f>'TX-CON-GL '!D71</f>
        <v>0</v>
      </c>
      <c r="G71" s="38">
        <f>'TX-CON-GL '!E71</f>
        <v>-300496</v>
      </c>
      <c r="H71" s="60">
        <f>F71-D71</f>
        <v>0</v>
      </c>
      <c r="I71" s="38">
        <f>G71-E71</f>
        <v>168413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585769.81000000006</v>
      </c>
      <c r="F72" s="69">
        <f t="shared" si="13"/>
        <v>0</v>
      </c>
      <c r="G72" s="70">
        <f t="shared" si="13"/>
        <v>754182.81</v>
      </c>
      <c r="H72" s="69">
        <f t="shared" si="13"/>
        <v>0</v>
      </c>
      <c r="I72" s="70">
        <f t="shared" si="13"/>
        <v>168413</v>
      </c>
    </row>
    <row r="73" spans="1:9" x14ac:dyDescent="0.2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1279584</v>
      </c>
      <c r="F74" s="60">
        <f>'TX-CON-GL '!D74</f>
        <v>0</v>
      </c>
      <c r="G74" s="38">
        <f>'TX-CON-GL '!E74</f>
        <v>1288366.1299999999</v>
      </c>
      <c r="H74" s="60">
        <f t="shared" ref="H74:I79" si="14">F74-D74</f>
        <v>0</v>
      </c>
      <c r="I74" s="38">
        <f t="shared" si="14"/>
        <v>8782.1299999998882</v>
      </c>
    </row>
    <row r="75" spans="1:9" x14ac:dyDescent="0.2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118667</v>
      </c>
      <c r="F75" s="60">
        <f>'TX-CON-GL '!D75</f>
        <v>0</v>
      </c>
      <c r="G75" s="38">
        <f>'TX-CON-GL '!E75</f>
        <v>118700</v>
      </c>
      <c r="H75" s="60">
        <f t="shared" si="14"/>
        <v>0</v>
      </c>
      <c r="I75" s="38">
        <f t="shared" si="14"/>
        <v>33</v>
      </c>
    </row>
    <row r="76" spans="1:9" x14ac:dyDescent="0.2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-14678</v>
      </c>
      <c r="F76" s="60">
        <f>'TX-CON-GL '!D76</f>
        <v>0</v>
      </c>
      <c r="G76" s="38">
        <f>'TX-CON-GL '!E76</f>
        <v>-14227.5</v>
      </c>
      <c r="H76" s="60">
        <f t="shared" si="14"/>
        <v>0</v>
      </c>
      <c r="I76" s="38">
        <f t="shared" si="14"/>
        <v>450.5</v>
      </c>
    </row>
    <row r="77" spans="1:9" x14ac:dyDescent="0.2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-10000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10000</v>
      </c>
    </row>
    <row r="78" spans="1:9" x14ac:dyDescent="0.2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269286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-269286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955301.30223387154</v>
      </c>
      <c r="F82" s="111">
        <f>F16+F24+F29+F36+F43+F45+F47+F49</f>
        <v>0</v>
      </c>
      <c r="G82" s="112">
        <f>SUM(G72:G81)+G16+G24+G29+G36+G43+G45+G47+G49+G51+G56+G61+G66</f>
        <v>822111.29079998366</v>
      </c>
      <c r="H82" s="111">
        <f>H16+H24+H29+H36+H43+H45+H47+H49</f>
        <v>0</v>
      </c>
      <c r="I82" s="112">
        <f>SUM(I72:I81)+I16+I24+I29+I36+I43+I45+I47+I49+I51+I56+I61+I66</f>
        <v>-133190.01143389166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177</v>
      </c>
      <c r="B85" s="3"/>
      <c r="F85" s="31"/>
      <c r="G85" s="31"/>
      <c r="H85" s="31"/>
      <c r="I85" s="31"/>
    </row>
    <row r="86" spans="1:63" x14ac:dyDescent="0.2">
      <c r="A86" s="177"/>
      <c r="B86" s="3"/>
      <c r="C86" s="10" t="s">
        <v>181</v>
      </c>
      <c r="D86" s="178">
        <f>'TX-CON-FLSH'!L86</f>
        <v>0</v>
      </c>
      <c r="E86" s="178">
        <f>'TX-CON-FLSH'!M86</f>
        <v>114066</v>
      </c>
      <c r="F86" s="178">
        <f>'TX-CON-GL '!D86</f>
        <v>0</v>
      </c>
      <c r="G86" s="178">
        <f>'TX-CON-GL '!E86</f>
        <v>114066.14000000013</v>
      </c>
      <c r="H86" s="178">
        <f t="shared" ref="H86:I88" si="15">F86-D86</f>
        <v>0</v>
      </c>
      <c r="I86" s="178">
        <f t="shared" si="15"/>
        <v>0.14000000013038516</v>
      </c>
    </row>
    <row r="87" spans="1:63" x14ac:dyDescent="0.2">
      <c r="A87" s="177"/>
      <c r="B87" s="3"/>
      <c r="C87" s="10" t="s">
        <v>73</v>
      </c>
      <c r="D87" s="179">
        <f>'TX-CON-FLSH'!L87</f>
        <v>0</v>
      </c>
      <c r="E87" s="179">
        <f>'TX-CON-FLSH'!M87</f>
        <v>0</v>
      </c>
      <c r="F87" s="179">
        <f>'TX-CON-GL '!D87</f>
        <v>0</v>
      </c>
      <c r="G87" s="179">
        <f>'TX-CON-GL '!E87</f>
        <v>0</v>
      </c>
      <c r="H87" s="179">
        <f t="shared" si="15"/>
        <v>0</v>
      </c>
      <c r="I87" s="179">
        <f t="shared" si="15"/>
        <v>0</v>
      </c>
    </row>
    <row r="88" spans="1:63" x14ac:dyDescent="0.2">
      <c r="A88" s="177"/>
      <c r="B88" s="3"/>
      <c r="C88" s="10" t="s">
        <v>74</v>
      </c>
      <c r="D88" s="180">
        <f>'TX-CON-FLSH'!L88</f>
        <v>0</v>
      </c>
      <c r="E88" s="180">
        <f>'TX-CON-FLSH'!M88</f>
        <v>-113464</v>
      </c>
      <c r="F88" s="180">
        <f>'TX-CON-GL '!D88</f>
        <v>0</v>
      </c>
      <c r="G88" s="180">
        <f>'TX-CON-GL '!E88</f>
        <v>-113100</v>
      </c>
      <c r="H88" s="180">
        <f t="shared" si="15"/>
        <v>0</v>
      </c>
      <c r="I88" s="180">
        <f t="shared" si="15"/>
        <v>364</v>
      </c>
    </row>
    <row r="89" spans="1:63" ht="15" x14ac:dyDescent="0.2">
      <c r="A89" s="184"/>
      <c r="B89" s="185"/>
      <c r="C89" s="190" t="s">
        <v>184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966.14000000013039</v>
      </c>
      <c r="H89" s="188">
        <f t="shared" si="16"/>
        <v>0</v>
      </c>
      <c r="I89" s="188">
        <f t="shared" si="16"/>
        <v>364.14000000013039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84"/>
      <c r="B91" s="185"/>
      <c r="C91" s="190" t="s">
        <v>187</v>
      </c>
      <c r="D91" s="188">
        <f t="shared" ref="D91:I91" si="17">+D82+D89</f>
        <v>0</v>
      </c>
      <c r="E91" s="188">
        <f t="shared" si="17"/>
        <v>955903.30223387154</v>
      </c>
      <c r="F91" s="188">
        <f t="shared" si="17"/>
        <v>0</v>
      </c>
      <c r="G91" s="188">
        <f t="shared" si="17"/>
        <v>823077.43079998379</v>
      </c>
      <c r="H91" s="188">
        <f t="shared" si="17"/>
        <v>0</v>
      </c>
      <c r="I91" s="188">
        <f t="shared" si="17"/>
        <v>-132825.87143389153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'WE-FLSH'!L11</f>
        <v>29379354</v>
      </c>
      <c r="E11" s="66">
        <f>'WE-FLSH'!M11</f>
        <v>50169656</v>
      </c>
      <c r="F11" s="60">
        <f>'WE-GL '!D11</f>
        <v>29181479</v>
      </c>
      <c r="G11" s="38">
        <f>'WE-GL '!E11</f>
        <v>51242424.249999993</v>
      </c>
      <c r="H11" s="60">
        <f>F11-D11</f>
        <v>-197875</v>
      </c>
      <c r="I11" s="38">
        <f>G11-E11</f>
        <v>1072768.2499999925</v>
      </c>
    </row>
    <row r="12" spans="1:22" x14ac:dyDescent="0.2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-797020.06</v>
      </c>
      <c r="H12" s="60">
        <f>F12-D12</f>
        <v>0</v>
      </c>
      <c r="I12" s="38">
        <f>G12-E12</f>
        <v>-797020.06</v>
      </c>
    </row>
    <row r="13" spans="1:22" x14ac:dyDescent="0.2">
      <c r="A13" s="9">
        <v>3</v>
      </c>
      <c r="B13" s="7"/>
      <c r="C13" s="18" t="s">
        <v>29</v>
      </c>
      <c r="D13" s="65">
        <f>'WE-FLSH'!L13</f>
        <v>21792466</v>
      </c>
      <c r="E13" s="66">
        <f>'WE-FLSH'!M13</f>
        <v>42929236</v>
      </c>
      <c r="F13" s="60">
        <f>'WE-GL '!D13</f>
        <v>21559511</v>
      </c>
      <c r="G13" s="38">
        <f>'WE-GL '!E13</f>
        <v>42427816</v>
      </c>
      <c r="H13" s="60">
        <f t="shared" ref="H13:I15" si="0">F13-D13</f>
        <v>-232955</v>
      </c>
      <c r="I13" s="38">
        <f t="shared" si="0"/>
        <v>-501420</v>
      </c>
    </row>
    <row r="14" spans="1:22" x14ac:dyDescent="0.2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51171820</v>
      </c>
      <c r="E16" s="39">
        <f t="shared" si="1"/>
        <v>93098892</v>
      </c>
      <c r="F16" s="61">
        <f t="shared" si="1"/>
        <v>50740990</v>
      </c>
      <c r="G16" s="39">
        <f t="shared" si="1"/>
        <v>92873220.189999998</v>
      </c>
      <c r="H16" s="61">
        <f t="shared" si="1"/>
        <v>-430830</v>
      </c>
      <c r="I16" s="39">
        <f t="shared" si="1"/>
        <v>-225671.81000000751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'WE-FLSH'!L19</f>
        <v>-29069146</v>
      </c>
      <c r="E19" s="66">
        <f>'WE-FLSH'!M19</f>
        <v>-48176271</v>
      </c>
      <c r="F19" s="60">
        <f>'WE-GL '!D19</f>
        <v>-31775545</v>
      </c>
      <c r="G19" s="38">
        <f>'WE-GL '!E19</f>
        <v>-52284625.449999996</v>
      </c>
      <c r="H19" s="60">
        <f>F19-D19</f>
        <v>-2706399</v>
      </c>
      <c r="I19" s="38">
        <f>G19-E19</f>
        <v>-4108354.4499999955</v>
      </c>
    </row>
    <row r="20" spans="1:9" x14ac:dyDescent="0.2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-180226.52</v>
      </c>
      <c r="H20" s="60">
        <f>F20-D20</f>
        <v>0</v>
      </c>
      <c r="I20" s="38">
        <f>G20-E20</f>
        <v>-180226.52</v>
      </c>
    </row>
    <row r="21" spans="1:9" x14ac:dyDescent="0.2">
      <c r="A21" s="9">
        <v>8</v>
      </c>
      <c r="B21" s="7"/>
      <c r="C21" s="18" t="s">
        <v>29</v>
      </c>
      <c r="D21" s="65">
        <f>'WE-FLSH'!L21</f>
        <v>-22392691</v>
      </c>
      <c r="E21" s="66">
        <f>'WE-FLSH'!M21</f>
        <v>-43431002</v>
      </c>
      <c r="F21" s="60">
        <f>'WE-GL '!D21</f>
        <v>-18975687</v>
      </c>
      <c r="G21" s="38">
        <f>'WE-GL '!E21</f>
        <v>-37786132</v>
      </c>
      <c r="H21" s="60">
        <f t="shared" ref="H21:I23" si="2">F21-D21</f>
        <v>3417004</v>
      </c>
      <c r="I21" s="38">
        <f t="shared" si="2"/>
        <v>5644870</v>
      </c>
    </row>
    <row r="22" spans="1:9" x14ac:dyDescent="0.2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'WE-FLSH'!L23</f>
        <v>283220</v>
      </c>
      <c r="E23" s="66">
        <f>'WE-FLSH'!M23</f>
        <v>535027</v>
      </c>
      <c r="F23" s="60">
        <f>'WE-GL '!D23</f>
        <v>278175</v>
      </c>
      <c r="G23" s="38">
        <f>'WE-GL '!E23</f>
        <v>444245.47799999994</v>
      </c>
      <c r="H23" s="60">
        <f t="shared" si="2"/>
        <v>-5045</v>
      </c>
      <c r="I23" s="38">
        <f t="shared" si="2"/>
        <v>-90781.522000000055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-51178617</v>
      </c>
      <c r="E24" s="39">
        <f t="shared" si="3"/>
        <v>-91072246</v>
      </c>
      <c r="F24" s="61">
        <f t="shared" si="3"/>
        <v>-50473057</v>
      </c>
      <c r="G24" s="39">
        <f t="shared" si="3"/>
        <v>-89806738.491999999</v>
      </c>
      <c r="H24" s="61">
        <f t="shared" si="3"/>
        <v>705560</v>
      </c>
      <c r="I24" s="39">
        <f t="shared" si="3"/>
        <v>1265507.5080000048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'WE-FLSH'!L32</f>
        <v>46688</v>
      </c>
      <c r="E32" s="66">
        <f>'WE-FLSH'!M32</f>
        <v>80075</v>
      </c>
      <c r="F32" s="60">
        <f>'WE-GL '!D32</f>
        <v>212828</v>
      </c>
      <c r="G32" s="38">
        <f>'WE-GL '!E32</f>
        <v>434169.2699999999</v>
      </c>
      <c r="H32" s="60">
        <f>F32-D32</f>
        <v>166140</v>
      </c>
      <c r="I32" s="38">
        <f>G32-E32</f>
        <v>354094.2699999999</v>
      </c>
    </row>
    <row r="33" spans="1:9" x14ac:dyDescent="0.2">
      <c r="A33" s="9">
        <v>14</v>
      </c>
      <c r="B33" s="7"/>
      <c r="C33" s="18" t="s">
        <v>42</v>
      </c>
      <c r="D33" s="65">
        <f>'WE-FLSH'!L33</f>
        <v>-111150</v>
      </c>
      <c r="E33" s="66">
        <f>'WE-FLSH'!M33</f>
        <v>-197921.45838518758</v>
      </c>
      <c r="F33" s="60">
        <f>'WE-GL '!D33</f>
        <v>-140161</v>
      </c>
      <c r="G33" s="38">
        <f>'WE-GL '!E33</f>
        <v>-251315</v>
      </c>
      <c r="H33" s="60">
        <f t="shared" ref="H33:I35" si="5">F33-D33</f>
        <v>-29011</v>
      </c>
      <c r="I33" s="38">
        <f t="shared" si="5"/>
        <v>-53393.54161481242</v>
      </c>
    </row>
    <row r="34" spans="1:9" x14ac:dyDescent="0.2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9910</v>
      </c>
      <c r="G34" s="38">
        <f>'WE-GL '!E34</f>
        <v>9023.630000000001</v>
      </c>
      <c r="H34" s="60">
        <f t="shared" si="5"/>
        <v>9910</v>
      </c>
      <c r="I34" s="38">
        <f t="shared" si="5"/>
        <v>9023.630000000001</v>
      </c>
    </row>
    <row r="35" spans="1:9" x14ac:dyDescent="0.2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-314562</v>
      </c>
      <c r="G35" s="38">
        <f>'WE-GL '!E35</f>
        <v>43858.010000000009</v>
      </c>
      <c r="H35" s="60">
        <f t="shared" si="5"/>
        <v>-314562</v>
      </c>
      <c r="I35" s="38">
        <f t="shared" si="5"/>
        <v>43858.010000000009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-64462</v>
      </c>
      <c r="E36" s="39">
        <f t="shared" si="6"/>
        <v>-117846.45838518758</v>
      </c>
      <c r="F36" s="61">
        <f t="shared" si="6"/>
        <v>-231985</v>
      </c>
      <c r="G36" s="39">
        <f t="shared" si="6"/>
        <v>235735.90999999992</v>
      </c>
      <c r="H36" s="61">
        <f t="shared" si="6"/>
        <v>-167523</v>
      </c>
      <c r="I36" s="39">
        <f t="shared" si="6"/>
        <v>353582.36838518747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'WE-FLSH'!L39</f>
        <v>108106</v>
      </c>
      <c r="E39" s="66">
        <f>'WE-FLSH'!M39</f>
        <v>207883</v>
      </c>
      <c r="F39" s="60">
        <f>'WE-GL '!D39</f>
        <v>0</v>
      </c>
      <c r="G39" s="38">
        <f>'WE-GL '!E39</f>
        <v>0</v>
      </c>
      <c r="H39" s="60">
        <f t="shared" ref="H39:I41" si="7">F39-D39</f>
        <v>-108106</v>
      </c>
      <c r="I39" s="38">
        <f t="shared" si="7"/>
        <v>-207883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'WE-FLSH'!L40</f>
        <v>-36847</v>
      </c>
      <c r="E40" s="66">
        <f>'WE-FLSH'!M40</f>
        <v>-69472</v>
      </c>
      <c r="F40" s="60">
        <f>'WE-GL '!D40</f>
        <v>-11094</v>
      </c>
      <c r="G40" s="38">
        <f>'WE-GL '!E40</f>
        <v>-18534.63</v>
      </c>
      <c r="H40" s="60">
        <f t="shared" si="7"/>
        <v>25753</v>
      </c>
      <c r="I40" s="38">
        <f t="shared" si="7"/>
        <v>50937.369999999995</v>
      </c>
    </row>
    <row r="41" spans="1:9" x14ac:dyDescent="0.2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1">
        <f t="shared" ref="D42:I42" si="8">SUM(D40:D41)</f>
        <v>-36847</v>
      </c>
      <c r="E42" s="39">
        <f t="shared" si="8"/>
        <v>-69472</v>
      </c>
      <c r="F42" s="61">
        <f t="shared" si="8"/>
        <v>-11094</v>
      </c>
      <c r="G42" s="39">
        <f t="shared" si="8"/>
        <v>-18534.63</v>
      </c>
      <c r="H42" s="61">
        <f t="shared" si="8"/>
        <v>25753</v>
      </c>
      <c r="I42" s="39">
        <f t="shared" si="8"/>
        <v>50937.369999999995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71259</v>
      </c>
      <c r="E43" s="39">
        <f t="shared" si="9"/>
        <v>138411</v>
      </c>
      <c r="F43" s="61">
        <f t="shared" si="9"/>
        <v>-11094</v>
      </c>
      <c r="G43" s="39">
        <f t="shared" si="9"/>
        <v>-18534.63</v>
      </c>
      <c r="H43" s="61">
        <f t="shared" si="9"/>
        <v>-82353</v>
      </c>
      <c r="I43" s="39">
        <f t="shared" si="9"/>
        <v>-156945.63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-24854</v>
      </c>
      <c r="G49" s="38">
        <f>'WE-GL '!E49</f>
        <v>-39691.837999999989</v>
      </c>
      <c r="H49" s="60">
        <f>F49-D49</f>
        <v>-24854</v>
      </c>
      <c r="I49" s="38">
        <f>G49-E49</f>
        <v>-39691.837999999989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'WE-FLSH'!L51</f>
        <v>-283220</v>
      </c>
      <c r="E51" s="66">
        <f>'WE-FLSH'!M51</f>
        <v>-535027</v>
      </c>
      <c r="F51" s="60">
        <f>'WE-GL '!D51</f>
        <v>-278175</v>
      </c>
      <c r="G51" s="38">
        <f>'WE-GL '!E51</f>
        <v>-444245.47799999994</v>
      </c>
      <c r="H51" s="60">
        <f>F51-D51</f>
        <v>5045</v>
      </c>
      <c r="I51" s="38">
        <f>G51-E51</f>
        <v>90781.522000000055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-290641</v>
      </c>
      <c r="F54" s="60">
        <f>'WE-GL '!D54</f>
        <v>-14160611</v>
      </c>
      <c r="G54" s="38">
        <f>'WE-GL '!E54</f>
        <v>-230277.55000000005</v>
      </c>
      <c r="H54" s="60">
        <f>F54-D54</f>
        <v>-14160611</v>
      </c>
      <c r="I54" s="38">
        <f>G54-E54</f>
        <v>60363.449999999953</v>
      </c>
    </row>
    <row r="55" spans="1:9" x14ac:dyDescent="0.2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-2803921</v>
      </c>
      <c r="F55" s="60">
        <f>'WE-GL '!D55</f>
        <v>0</v>
      </c>
      <c r="G55" s="38">
        <f>'WE-GL '!E55</f>
        <v>-1864659.36</v>
      </c>
      <c r="H55" s="60">
        <f>F55-D55</f>
        <v>0</v>
      </c>
      <c r="I55" s="38">
        <f>G55-E55</f>
        <v>939261.6399999999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-3094562</v>
      </c>
      <c r="F56" s="61">
        <f t="shared" si="10"/>
        <v>-14160611</v>
      </c>
      <c r="G56" s="39">
        <f t="shared" si="10"/>
        <v>-2094936.9100000001</v>
      </c>
      <c r="H56" s="61">
        <f t="shared" si="10"/>
        <v>-14160611</v>
      </c>
      <c r="I56" s="39">
        <f t="shared" si="10"/>
        <v>999625.08999999985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709561.76</v>
      </c>
      <c r="F70" s="60">
        <f>'WE-GL '!D70</f>
        <v>0</v>
      </c>
      <c r="G70" s="38">
        <f>'WE-GL '!E70</f>
        <v>709561.76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-559245</v>
      </c>
      <c r="F71" s="60">
        <f>'WE-GL '!D71</f>
        <v>0</v>
      </c>
      <c r="G71" s="38">
        <f>'WE-GL '!E71</f>
        <v>-559245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150316.76</v>
      </c>
      <c r="F72" s="61">
        <f t="shared" si="13"/>
        <v>0</v>
      </c>
      <c r="G72" s="39">
        <f t="shared" si="13"/>
        <v>150316.76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758727</v>
      </c>
      <c r="F74" s="60">
        <f>'WE-GL '!D74</f>
        <v>0</v>
      </c>
      <c r="G74" s="38">
        <f>'WE-GL '!E74</f>
        <v>283975.67999999993</v>
      </c>
      <c r="H74" s="60">
        <f t="shared" ref="H74:I79" si="14">F74-D74</f>
        <v>0</v>
      </c>
      <c r="I74" s="38">
        <f t="shared" si="14"/>
        <v>-474751.32000000007</v>
      </c>
    </row>
    <row r="75" spans="1:9" x14ac:dyDescent="0.2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13255</v>
      </c>
      <c r="F75" s="60">
        <f>'WE-GL '!D75</f>
        <v>0</v>
      </c>
      <c r="G75" s="38">
        <f>'WE-GL '!E75</f>
        <v>13200</v>
      </c>
      <c r="H75" s="60">
        <f t="shared" si="14"/>
        <v>0</v>
      </c>
      <c r="I75" s="38">
        <f t="shared" si="14"/>
        <v>-55</v>
      </c>
    </row>
    <row r="76" spans="1:9" x14ac:dyDescent="0.2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-10585</v>
      </c>
      <c r="F76" s="60">
        <f>'WE-GL '!D76</f>
        <v>0</v>
      </c>
      <c r="G76" s="38">
        <f>'WE-GL '!E76</f>
        <v>-12014.53</v>
      </c>
      <c r="H76" s="60">
        <f t="shared" si="14"/>
        <v>0</v>
      </c>
      <c r="I76" s="38">
        <f t="shared" si="14"/>
        <v>-1429.5300000000007</v>
      </c>
    </row>
    <row r="77" spans="1:9" x14ac:dyDescent="0.2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1527767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-1527767</v>
      </c>
    </row>
    <row r="80" spans="1:9" x14ac:dyDescent="0.2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10564</v>
      </c>
      <c r="F81" s="60">
        <f>'WE-GL '!D81</f>
        <v>0</v>
      </c>
      <c r="G81" s="38">
        <f>'WE-GL '!E81</f>
        <v>56362.86</v>
      </c>
      <c r="H81" s="60">
        <f>F81-D81</f>
        <v>0</v>
      </c>
      <c r="I81" s="38">
        <f>G81-E81</f>
        <v>45798.86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867666.30161481816</v>
      </c>
      <c r="F82" s="111">
        <f>F16+F24+F29+F36+F43+F45+F47+F49</f>
        <v>0</v>
      </c>
      <c r="G82" s="112">
        <f>SUM(G72:G81)+G16+G24+G29+G36+G43+G45+G47+G49+G51+G56+G61+G66</f>
        <v>1196649.5219999948</v>
      </c>
      <c r="H82" s="111">
        <f>H16+H24+H29+H36+H43+H45+H47+H49</f>
        <v>0</v>
      </c>
      <c r="I82" s="112">
        <f>SUM(I72:I81)+I16+I24+I29+I36+I43+I45+I47+I49+I51+I56+I61+I66</f>
        <v>328983.22038518498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-111833</v>
      </c>
      <c r="H11" s="60">
        <f>F11-D11</f>
        <v>0</v>
      </c>
      <c r="I11" s="38">
        <f>G11-E11</f>
        <v>-111833</v>
      </c>
    </row>
    <row r="12" spans="1:22" x14ac:dyDescent="0.2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-32495</v>
      </c>
      <c r="H12" s="60">
        <f>F12-D12</f>
        <v>0</v>
      </c>
      <c r="I12" s="38">
        <f>G12-E12</f>
        <v>-32495</v>
      </c>
    </row>
    <row r="13" spans="1:22" x14ac:dyDescent="0.2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-4231234</v>
      </c>
      <c r="H13" s="60">
        <f t="shared" ref="H13:I15" si="0">F13-D13</f>
        <v>0</v>
      </c>
      <c r="I13" s="38">
        <f t="shared" si="0"/>
        <v>-4231234</v>
      </c>
    </row>
    <row r="14" spans="1:22" x14ac:dyDescent="0.2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-4375562</v>
      </c>
      <c r="H16" s="61">
        <f t="shared" si="1"/>
        <v>0</v>
      </c>
      <c r="I16" s="39">
        <f t="shared" si="1"/>
        <v>-4375562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161471</v>
      </c>
      <c r="H41" s="60">
        <f t="shared" si="7"/>
        <v>0</v>
      </c>
      <c r="I41" s="38">
        <f t="shared" si="7"/>
        <v>161471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161471</v>
      </c>
      <c r="H42" s="69">
        <f t="shared" si="8"/>
        <v>0</v>
      </c>
      <c r="I42" s="70">
        <f t="shared" si="8"/>
        <v>161471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161471</v>
      </c>
      <c r="H43" s="61">
        <f t="shared" si="9"/>
        <v>0</v>
      </c>
      <c r="I43" s="39">
        <f t="shared" si="9"/>
        <v>161471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-108122</v>
      </c>
      <c r="H51" s="60">
        <f>F51-D51</f>
        <v>0</v>
      </c>
      <c r="I51" s="38">
        <f>G51-E51</f>
        <v>-108122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208666</v>
      </c>
      <c r="H60" s="60">
        <f>F60-D60</f>
        <v>0</v>
      </c>
      <c r="I60" s="38">
        <f>G60-E60</f>
        <v>208666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208666</v>
      </c>
      <c r="H61" s="69">
        <f t="shared" si="11"/>
        <v>0</v>
      </c>
      <c r="I61" s="70">
        <f t="shared" si="11"/>
        <v>208666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2908601</v>
      </c>
      <c r="F70" s="60">
        <f>STG_GL!D70</f>
        <v>0</v>
      </c>
      <c r="G70" s="38">
        <f>STG_GL!E70</f>
        <v>6584379</v>
      </c>
      <c r="H70" s="60">
        <f>F70-D70</f>
        <v>0</v>
      </c>
      <c r="I70" s="38">
        <f>G70-E70</f>
        <v>3675778</v>
      </c>
    </row>
    <row r="71" spans="1:9" x14ac:dyDescent="0.2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2908601</v>
      </c>
      <c r="F72" s="69">
        <f t="shared" si="13"/>
        <v>0</v>
      </c>
      <c r="G72" s="70">
        <f t="shared" si="13"/>
        <v>6584379</v>
      </c>
      <c r="H72" s="69">
        <f t="shared" si="13"/>
        <v>0</v>
      </c>
      <c r="I72" s="70">
        <f t="shared" si="13"/>
        <v>3675778</v>
      </c>
    </row>
    <row r="73" spans="1:9" x14ac:dyDescent="0.2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1210329.6800000002</v>
      </c>
      <c r="H74" s="60">
        <f t="shared" ref="H74:I79" si="14">F74-D74</f>
        <v>0</v>
      </c>
      <c r="I74" s="38">
        <f t="shared" si="14"/>
        <v>1210329.6800000002</v>
      </c>
    </row>
    <row r="75" spans="1:9" x14ac:dyDescent="0.2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-4573</v>
      </c>
      <c r="H76" s="60">
        <f t="shared" si="14"/>
        <v>0</v>
      </c>
      <c r="I76" s="38">
        <f t="shared" si="14"/>
        <v>-4573</v>
      </c>
    </row>
    <row r="77" spans="1:9" x14ac:dyDescent="0.2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-1273583</v>
      </c>
      <c r="H77" s="60">
        <f t="shared" si="14"/>
        <v>0</v>
      </c>
      <c r="I77" s="38">
        <f t="shared" si="14"/>
        <v>-1273583</v>
      </c>
    </row>
    <row r="78" spans="1:9" x14ac:dyDescent="0.2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-2603601</v>
      </c>
      <c r="F81" s="60">
        <f>STG_GL!D81</f>
        <v>0</v>
      </c>
      <c r="G81" s="38">
        <f>STG_GL!E81</f>
        <v>107089</v>
      </c>
      <c r="H81" s="60">
        <f>F81-D81</f>
        <v>0</v>
      </c>
      <c r="I81" s="38">
        <f>G81-E81</f>
        <v>2710690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305000</v>
      </c>
      <c r="F82" s="111">
        <f>F16+F24+F29+F36+F43+F45+F47+F49</f>
        <v>0</v>
      </c>
      <c r="G82" s="112">
        <f>SUM(G72:G81)+G16+G24+G29+G36+G43+G45+G47+G49+G51+G56+G61+G66</f>
        <v>2510094.6799999997</v>
      </c>
      <c r="H82" s="111">
        <f>H16+H24+H29+H36+H43+H45+H47+H49</f>
        <v>0</v>
      </c>
      <c r="I82" s="112">
        <f>SUM(I72:I81)+I16+I24+I29+I36+I43+I45+I47+I49+I51+I56+I61+I66</f>
        <v>2205094.6799999997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R58" activePane="bottomRight" state="frozen"/>
      <selection activeCell="D10" sqref="D10"/>
      <selection pane="topRight" activeCell="D10" sqref="D10"/>
      <selection pane="bottomLeft" activeCell="D10" sqref="D10"/>
      <selection pane="bottomRight" activeCell="U74" sqref="U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9904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167</v>
      </c>
      <c r="W8" s="27"/>
      <c r="X8" s="26" t="s">
        <v>116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>
        <f>-1455110+1455110</f>
        <v>0</v>
      </c>
      <c r="H11" s="60"/>
      <c r="I11" s="38"/>
      <c r="J11" s="60"/>
      <c r="K11" s="38"/>
      <c r="L11" s="60"/>
      <c r="M11" s="38"/>
      <c r="N11" s="60"/>
      <c r="O11" s="38">
        <v>-1455110</v>
      </c>
      <c r="P11" s="60"/>
      <c r="Q11" s="38"/>
      <c r="R11" s="60"/>
      <c r="S11" s="38">
        <v>1455110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-1881187</v>
      </c>
      <c r="F12" s="60"/>
      <c r="G12" s="38">
        <f>15750+33000+36000</f>
        <v>84750</v>
      </c>
      <c r="H12" s="60"/>
      <c r="I12" s="38">
        <f>-15750-33000-36000-393582</f>
        <v>-478332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-1455110</v>
      </c>
      <c r="T12" s="60"/>
      <c r="U12" s="38">
        <f>-50000+17505</f>
        <v>-32495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-2302848</v>
      </c>
      <c r="F15" s="60"/>
      <c r="G15" s="38">
        <f>-879386-642852-780610</f>
        <v>-2302848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-4184035</v>
      </c>
      <c r="F16" s="61">
        <f t="shared" si="1"/>
        <v>0</v>
      </c>
      <c r="G16" s="39">
        <f t="shared" si="1"/>
        <v>-2218098</v>
      </c>
      <c r="H16" s="61">
        <f t="shared" si="1"/>
        <v>0</v>
      </c>
      <c r="I16" s="39">
        <f t="shared" si="1"/>
        <v>-478332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-1455110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-32495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19344</v>
      </c>
      <c r="H19" s="60"/>
      <c r="I19" s="38">
        <v>-19344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19344</v>
      </c>
      <c r="H24" s="61">
        <f t="shared" si="4"/>
        <v>0</v>
      </c>
      <c r="I24" s="39">
        <f t="shared" si="4"/>
        <v>-19344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2302848</v>
      </c>
      <c r="F55" s="60"/>
      <c r="G55" s="38">
        <f>879386+16511+1196217</f>
        <v>2092114</v>
      </c>
      <c r="H55" s="60"/>
      <c r="I55" s="38">
        <v>642852</v>
      </c>
      <c r="J55" s="60"/>
      <c r="K55" s="38"/>
      <c r="L55" s="60"/>
      <c r="M55" s="38"/>
      <c r="N55" s="60"/>
      <c r="O55" s="38">
        <v>780610</v>
      </c>
      <c r="P55" s="60"/>
      <c r="Q55" s="38"/>
      <c r="R55" s="60"/>
      <c r="S55" s="38"/>
      <c r="T55" s="60"/>
      <c r="U55" s="38"/>
      <c r="V55" s="60"/>
      <c r="W55" s="38">
        <f>-16511-1196217</f>
        <v>-1212728</v>
      </c>
      <c r="X55" s="60"/>
      <c r="Y55" s="38"/>
    </row>
    <row r="56" spans="1:25" x14ac:dyDescent="0.2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2302848</v>
      </c>
      <c r="F56" s="61">
        <f t="shared" si="16"/>
        <v>0</v>
      </c>
      <c r="G56" s="39">
        <f t="shared" si="16"/>
        <v>2092114</v>
      </c>
      <c r="H56" s="61">
        <f t="shared" si="16"/>
        <v>0</v>
      </c>
      <c r="I56" s="39">
        <f t="shared" si="16"/>
        <v>642852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780610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-1212728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7880663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-7880663</v>
      </c>
    </row>
    <row r="71" spans="1:25" x14ac:dyDescent="0.2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7880663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-7880663</v>
      </c>
    </row>
    <row r="73" spans="1:25" x14ac:dyDescent="0.2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1856437</v>
      </c>
      <c r="F74" s="60"/>
      <c r="G74" s="38">
        <f>-238076-100000</f>
        <v>-338076</v>
      </c>
      <c r="H74" s="60"/>
      <c r="I74" s="38">
        <f>-190000+393582-52800</f>
        <v>150782</v>
      </c>
      <c r="J74" s="60"/>
      <c r="K74" s="38"/>
      <c r="L74" s="60"/>
      <c r="M74" s="38"/>
      <c r="N74" s="60"/>
      <c r="O74" s="38">
        <v>-3000</v>
      </c>
      <c r="P74" s="60"/>
      <c r="Q74" s="38">
        <v>89700</v>
      </c>
      <c r="R74" s="60"/>
      <c r="S74" s="38">
        <f>1455110-5000</f>
        <v>1450110</v>
      </c>
      <c r="T74" s="60"/>
      <c r="U74" s="38">
        <f>190000+52800+50000-24750-17505+3000-89700+100000+5000</f>
        <v>268845</v>
      </c>
      <c r="V74" s="60"/>
      <c r="W74" s="38">
        <v>238076</v>
      </c>
      <c r="X74" s="60"/>
      <c r="Y74" s="38"/>
    </row>
    <row r="75" spans="1:25" x14ac:dyDescent="0.2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24750</v>
      </c>
      <c r="F77" s="60"/>
      <c r="G77" s="38">
        <v>24750</v>
      </c>
      <c r="H77" s="60"/>
      <c r="I77" s="38"/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f>-27084-170000</f>
        <v>-197084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f>27084+170000</f>
        <v>197084</v>
      </c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-419966</v>
      </c>
      <c r="H82" s="92">
        <f>H16+H24+H29+H36+H43+H45+H47+H49</f>
        <v>0</v>
      </c>
      <c r="I82" s="93">
        <f>SUM(I72:I81)+I16+I24+I29+I36+I43+I45+I47+I49+I51+I56+I61+I66</f>
        <v>7979537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-677500</v>
      </c>
      <c r="P82" s="92">
        <f>P16+P24+P29+P36+P43+P45+P47+P49</f>
        <v>0</v>
      </c>
      <c r="Q82" s="93">
        <f>SUM(Q72:Q81)+Q16+Q24+Q29+Q36+Q43+Q45+Q47+Q49+Q51+Q56+Q61+Q66</f>
        <v>89700</v>
      </c>
      <c r="R82" s="92">
        <f>R16+R24+R29+R36+R43+R45+R47+R49</f>
        <v>0</v>
      </c>
      <c r="S82" s="93">
        <f>SUM(S72:S81)+S16+S24+S29+S36+S43+S45+S47+S49+S51+S56+S61+S66</f>
        <v>1450110</v>
      </c>
      <c r="T82" s="92">
        <f>T16+T24+T29+T36+T43+T45+T47+T49</f>
        <v>0</v>
      </c>
      <c r="U82" s="93">
        <f>SUM(U72:U81)+U16+U24+U29+U36+U43+U45+U47+U49+U51+U56+U61+U66</f>
        <v>433434</v>
      </c>
      <c r="V82" s="92">
        <f>V16+V24+V29+V36+V43+V45+V47+V49</f>
        <v>0</v>
      </c>
      <c r="W82" s="93">
        <f>SUM(W72:W81)+W16+W24+W29+W36+W43+W45+W47+W49+W51+W56+W61+W66</f>
        <v>-974652</v>
      </c>
      <c r="X82" s="92">
        <f>X16+X24+X29+X36+X43+X45+X47+X49</f>
        <v>0</v>
      </c>
      <c r="Y82" s="93">
        <f>SUM(Y72:Y81)+Y16+Y24+Y29+Y36+Y43+Y45+Y47+Y49+Y51+Y56+Y61+Y66</f>
        <v>-7880663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0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ONT_FLSH!L11</f>
        <v>14138075</v>
      </c>
      <c r="E11" s="66">
        <f>ONT_FLSH!M11</f>
        <v>29111855</v>
      </c>
      <c r="F11" s="60">
        <f>'ONT_GL '!D11</f>
        <v>13719650</v>
      </c>
      <c r="G11" s="38">
        <f>'ONT_GL '!E11</f>
        <v>27563000</v>
      </c>
      <c r="H11" s="60">
        <f>F11-D11</f>
        <v>-418425</v>
      </c>
      <c r="I11" s="38">
        <f>G11-E11</f>
        <v>-1548855</v>
      </c>
    </row>
    <row r="12" spans="1:22" x14ac:dyDescent="0.2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303795.11</v>
      </c>
      <c r="H12" s="60">
        <f>F12-D12</f>
        <v>0</v>
      </c>
      <c r="I12" s="38">
        <f>G12-E12</f>
        <v>303795.11</v>
      </c>
    </row>
    <row r="13" spans="1:22" x14ac:dyDescent="0.2">
      <c r="A13" s="9">
        <v>3</v>
      </c>
      <c r="B13" s="7"/>
      <c r="C13" s="18" t="s">
        <v>29</v>
      </c>
      <c r="D13" s="65">
        <f>ONT_FLSH!L13</f>
        <v>3853953</v>
      </c>
      <c r="E13" s="66">
        <f>ONT_FLSH!M13</f>
        <v>7878186</v>
      </c>
      <c r="F13" s="60">
        <f>'ONT_GL '!D13</f>
        <v>1110543</v>
      </c>
      <c r="G13" s="38">
        <f>'ONT_GL '!E13</f>
        <v>2342662</v>
      </c>
      <c r="H13" s="60">
        <f t="shared" ref="H13:I15" si="0">F13-D13</f>
        <v>-2743410</v>
      </c>
      <c r="I13" s="38">
        <f t="shared" si="0"/>
        <v>-5535524</v>
      </c>
    </row>
    <row r="14" spans="1:22" x14ac:dyDescent="0.2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17992028</v>
      </c>
      <c r="E16" s="39">
        <f t="shared" si="1"/>
        <v>36990041</v>
      </c>
      <c r="F16" s="61">
        <f t="shared" si="1"/>
        <v>14830193</v>
      </c>
      <c r="G16" s="39">
        <f t="shared" si="1"/>
        <v>30209457.109999999</v>
      </c>
      <c r="H16" s="61">
        <f t="shared" si="1"/>
        <v>-3161835</v>
      </c>
      <c r="I16" s="39">
        <f t="shared" si="1"/>
        <v>-6780583.8900000006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ONT_FLSH!L19</f>
        <v>-15378931</v>
      </c>
      <c r="E19" s="66">
        <f>ONT_FLSH!M19</f>
        <v>-31433692</v>
      </c>
      <c r="F19" s="60">
        <f>'ONT_GL '!D19</f>
        <v>-16824273</v>
      </c>
      <c r="G19" s="38">
        <f>'ONT_GL '!E19</f>
        <v>-33524981</v>
      </c>
      <c r="H19" s="60">
        <f>F19-D19</f>
        <v>-1445342</v>
      </c>
      <c r="I19" s="38">
        <f>G19-E19</f>
        <v>-2091289</v>
      </c>
    </row>
    <row r="20" spans="1:9" x14ac:dyDescent="0.2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-414451.99</v>
      </c>
      <c r="H20" s="60">
        <f>F20-D20</f>
        <v>0</v>
      </c>
      <c r="I20" s="38">
        <f>G20-E20</f>
        <v>-414451.99</v>
      </c>
    </row>
    <row r="21" spans="1:9" x14ac:dyDescent="0.2">
      <c r="A21" s="9">
        <v>8</v>
      </c>
      <c r="B21" s="7"/>
      <c r="C21" s="18" t="s">
        <v>29</v>
      </c>
      <c r="D21" s="65">
        <f>ONT_FLSH!L21</f>
        <v>-2398202</v>
      </c>
      <c r="E21" s="66">
        <f>ONT_FLSH!M21</f>
        <v>-4915768</v>
      </c>
      <c r="F21" s="60">
        <f>'ONT_GL '!D21</f>
        <v>0</v>
      </c>
      <c r="G21" s="38">
        <f>'ONT_GL '!E21</f>
        <v>0</v>
      </c>
      <c r="H21" s="60">
        <f t="shared" ref="H21:I23" si="2">F21-D21</f>
        <v>2398202</v>
      </c>
      <c r="I21" s="38">
        <f t="shared" si="2"/>
        <v>4915768</v>
      </c>
    </row>
    <row r="22" spans="1:9" x14ac:dyDescent="0.2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-17777133</v>
      </c>
      <c r="E24" s="39">
        <f t="shared" si="3"/>
        <v>-36349460</v>
      </c>
      <c r="F24" s="61">
        <f t="shared" si="3"/>
        <v>-16824273</v>
      </c>
      <c r="G24" s="39">
        <f t="shared" si="3"/>
        <v>-33939432.990000002</v>
      </c>
      <c r="H24" s="61">
        <f t="shared" si="3"/>
        <v>952860</v>
      </c>
      <c r="I24" s="39">
        <f t="shared" si="3"/>
        <v>2410027.0099999998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ONT_FLSH!L33</f>
        <v>-214895</v>
      </c>
      <c r="E33" s="66">
        <f>ONT_FLSH!M33</f>
        <v>-517896.95</v>
      </c>
      <c r="F33" s="60">
        <f>'ONT_GL '!D33</f>
        <v>0</v>
      </c>
      <c r="G33" s="38">
        <f>'ONT_GL '!E33</f>
        <v>0</v>
      </c>
      <c r="H33" s="60">
        <f t="shared" ref="H33:I35" si="5">F33-D33</f>
        <v>214895</v>
      </c>
      <c r="I33" s="38">
        <f t="shared" si="5"/>
        <v>517896.95</v>
      </c>
    </row>
    <row r="34" spans="1:9" x14ac:dyDescent="0.2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1147155</v>
      </c>
      <c r="G35" s="38">
        <f>'ONT_GL '!E35</f>
        <v>2313812</v>
      </c>
      <c r="H35" s="60">
        <f t="shared" si="5"/>
        <v>1147155</v>
      </c>
      <c r="I35" s="38">
        <f t="shared" si="5"/>
        <v>2313812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-214895</v>
      </c>
      <c r="E36" s="39">
        <f t="shared" si="6"/>
        <v>-517896.95</v>
      </c>
      <c r="F36" s="61">
        <f t="shared" si="6"/>
        <v>1147155</v>
      </c>
      <c r="G36" s="39">
        <f t="shared" si="6"/>
        <v>2313812</v>
      </c>
      <c r="H36" s="61">
        <f t="shared" si="6"/>
        <v>1362050</v>
      </c>
      <c r="I36" s="39">
        <f t="shared" si="6"/>
        <v>2831708.95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846925</v>
      </c>
      <c r="G49" s="38">
        <f>'ONT_GL '!E49</f>
        <v>2041089.5799999998</v>
      </c>
      <c r="H49" s="60">
        <f>F49-D49</f>
        <v>846925</v>
      </c>
      <c r="I49" s="38">
        <f>G49-E49</f>
        <v>2041089.5799999998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1036577</v>
      </c>
      <c r="H54" s="60">
        <f>F54-D54</f>
        <v>0</v>
      </c>
      <c r="I54" s="38">
        <f>G54-E54</f>
        <v>1036577</v>
      </c>
    </row>
    <row r="55" spans="1:9" x14ac:dyDescent="0.2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-1212728</v>
      </c>
      <c r="H55" s="60">
        <f>F55-D55</f>
        <v>0</v>
      </c>
      <c r="I55" s="38">
        <f>G55-E55</f>
        <v>-1212728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-176151</v>
      </c>
      <c r="H56" s="61">
        <f t="shared" si="10"/>
        <v>0</v>
      </c>
      <c r="I56" s="39">
        <f t="shared" si="10"/>
        <v>-176151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-420951</v>
      </c>
      <c r="F70" s="60">
        <f>'ONT_GL '!D70</f>
        <v>0</v>
      </c>
      <c r="G70" s="38">
        <f>'ONT_GL '!E70</f>
        <v>-744985</v>
      </c>
      <c r="H70" s="60">
        <f>F70-D70</f>
        <v>0</v>
      </c>
      <c r="I70" s="38">
        <f>G70-E70</f>
        <v>-324034</v>
      </c>
    </row>
    <row r="71" spans="1:9" x14ac:dyDescent="0.2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207749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-207749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-213202</v>
      </c>
      <c r="F72" s="69">
        <f t="shared" si="13"/>
        <v>0</v>
      </c>
      <c r="G72" s="70">
        <f t="shared" si="13"/>
        <v>-744985</v>
      </c>
      <c r="H72" s="69">
        <f t="shared" si="13"/>
        <v>0</v>
      </c>
      <c r="I72" s="70">
        <f t="shared" si="13"/>
        <v>-531783</v>
      </c>
    </row>
    <row r="73" spans="1:9" x14ac:dyDescent="0.2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583328.22</v>
      </c>
      <c r="H74" s="60">
        <f t="shared" ref="H74:I79" si="14">F74-D74</f>
        <v>0</v>
      </c>
      <c r="I74" s="38">
        <f t="shared" si="14"/>
        <v>583328.22</v>
      </c>
    </row>
    <row r="75" spans="1:9" x14ac:dyDescent="0.2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-646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646</v>
      </c>
    </row>
    <row r="77" spans="1:9" x14ac:dyDescent="0.2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-91163.950000000012</v>
      </c>
      <c r="F82" s="111">
        <f>F16+F24+F29+F36+F43+F45+F47+F49</f>
        <v>0</v>
      </c>
      <c r="G82" s="112">
        <f>SUM(G72:G81)+G16+G24+G29+G36+G43+G45+G47+G49+G51+G56+G61+G66</f>
        <v>287117.91999999597</v>
      </c>
      <c r="H82" s="111">
        <f>H16+H24+H29+H36+H43+H45+H47+H49</f>
        <v>0</v>
      </c>
      <c r="I82" s="112">
        <f>SUM(I72:I81)+I16+I24+I29+I36+I43+I45+I47+I49+I51+I56+I61+I66</f>
        <v>378281.86999999895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177</v>
      </c>
      <c r="B85" s="3"/>
      <c r="F85" s="31"/>
      <c r="G85" s="31"/>
      <c r="H85" s="31"/>
      <c r="I85" s="31"/>
    </row>
    <row r="86" spans="1:63" x14ac:dyDescent="0.2">
      <c r="A86" s="177"/>
      <c r="B86" s="3"/>
      <c r="C86" s="10" t="s">
        <v>181</v>
      </c>
      <c r="D86" s="178">
        <f>ONT_FLSH!L86</f>
        <v>0</v>
      </c>
      <c r="E86" s="178">
        <f>ONT_FLSH!M86</f>
        <v>-29526</v>
      </c>
      <c r="F86" s="178">
        <f>'ONT_GL '!D86</f>
        <v>0</v>
      </c>
      <c r="G86" s="178">
        <f>'ONT_GL '!E86</f>
        <v>-13932.880000000001</v>
      </c>
      <c r="H86" s="178">
        <f t="shared" ref="H86:I88" si="15">F86-D86</f>
        <v>0</v>
      </c>
      <c r="I86" s="178">
        <f t="shared" si="15"/>
        <v>15593.119999999999</v>
      </c>
    </row>
    <row r="87" spans="1:63" x14ac:dyDescent="0.2">
      <c r="A87" s="177"/>
      <c r="B87" s="3"/>
      <c r="C87" s="10" t="s">
        <v>73</v>
      </c>
      <c r="D87" s="179">
        <f>ONT_FLSH!L87</f>
        <v>0</v>
      </c>
      <c r="E87" s="179">
        <f>ONT_FLSH!M87</f>
        <v>0</v>
      </c>
      <c r="F87" s="179">
        <f>'ONT_GL '!D87</f>
        <v>0</v>
      </c>
      <c r="G87" s="179">
        <f>'ONT_GL '!E87</f>
        <v>0</v>
      </c>
      <c r="H87" s="179">
        <f t="shared" si="15"/>
        <v>0</v>
      </c>
      <c r="I87" s="179">
        <f t="shared" si="15"/>
        <v>0</v>
      </c>
    </row>
    <row r="88" spans="1:63" x14ac:dyDescent="0.2">
      <c r="A88" s="177"/>
      <c r="B88" s="3"/>
      <c r="C88" s="10" t="s">
        <v>74</v>
      </c>
      <c r="D88" s="180">
        <f>ONT_FLSH!L88</f>
        <v>0</v>
      </c>
      <c r="E88" s="180">
        <f>ONT_FLSH!M88</f>
        <v>0</v>
      </c>
      <c r="F88" s="180">
        <f>'ONT_GL '!D88</f>
        <v>0</v>
      </c>
      <c r="G88" s="180">
        <f>'ONT_GL '!E88</f>
        <v>-15593</v>
      </c>
      <c r="H88" s="180">
        <f t="shared" si="15"/>
        <v>0</v>
      </c>
      <c r="I88" s="180">
        <f t="shared" si="15"/>
        <v>-15593</v>
      </c>
    </row>
    <row r="89" spans="1:63" s="143" customFormat="1" x14ac:dyDescent="0.2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-29526</v>
      </c>
      <c r="F89" s="193">
        <f t="shared" si="16"/>
        <v>0</v>
      </c>
      <c r="G89" s="193">
        <f t="shared" si="16"/>
        <v>-29525.88</v>
      </c>
      <c r="H89" s="193">
        <f t="shared" si="16"/>
        <v>0</v>
      </c>
      <c r="I89" s="193">
        <f t="shared" si="16"/>
        <v>0.11999999999898137</v>
      </c>
    </row>
    <row r="90" spans="1:63" s="143" customFormat="1" x14ac:dyDescent="0.2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-120689.95000000001</v>
      </c>
      <c r="F91" s="193">
        <f t="shared" si="17"/>
        <v>0</v>
      </c>
      <c r="G91" s="193">
        <f t="shared" si="17"/>
        <v>257592.03999999596</v>
      </c>
      <c r="H91" s="193">
        <f t="shared" si="17"/>
        <v>0</v>
      </c>
      <c r="I91" s="193">
        <f t="shared" si="17"/>
        <v>378281.98999999894</v>
      </c>
    </row>
    <row r="92" spans="1:63" s="143" customFormat="1" x14ac:dyDescent="0.2">
      <c r="A92" s="195"/>
      <c r="B92" s="192"/>
      <c r="D92" s="196"/>
      <c r="E92" s="196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H94" sqref="H9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BUG_FLSH!D11</f>
        <v>9447220</v>
      </c>
      <c r="E11" s="66">
        <f>BUG_FLSH!E11</f>
        <v>17074744</v>
      </c>
      <c r="F11" s="60">
        <f>BUG_GL!D11</f>
        <v>9279114</v>
      </c>
      <c r="G11" s="38">
        <f>BUG_GL!E11</f>
        <v>25456606</v>
      </c>
      <c r="H11" s="60">
        <f>F11-D11</f>
        <v>-168106</v>
      </c>
      <c r="I11" s="38">
        <f>G11-E11</f>
        <v>8381862</v>
      </c>
    </row>
    <row r="12" spans="1:22" x14ac:dyDescent="0.2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BUG_FLSH!D13</f>
        <v>23121045</v>
      </c>
      <c r="E13" s="66">
        <f>BUG_FLSH!E13</f>
        <v>52596143</v>
      </c>
      <c r="F13" s="60">
        <f>BUG_GL!D13</f>
        <v>23263093</v>
      </c>
      <c r="G13" s="38">
        <f>BUG_GL!E13</f>
        <v>52935052</v>
      </c>
      <c r="H13" s="60">
        <f t="shared" ref="H13:I15" si="0">F13-D13</f>
        <v>142048</v>
      </c>
      <c r="I13" s="38">
        <f t="shared" si="0"/>
        <v>338909</v>
      </c>
    </row>
    <row r="14" spans="1:22" x14ac:dyDescent="0.2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32568265</v>
      </c>
      <c r="E16" s="39">
        <f t="shared" si="1"/>
        <v>69670887</v>
      </c>
      <c r="F16" s="61">
        <f t="shared" si="1"/>
        <v>32542207</v>
      </c>
      <c r="G16" s="39">
        <f t="shared" si="1"/>
        <v>78391658</v>
      </c>
      <c r="H16" s="61">
        <f t="shared" si="1"/>
        <v>-26058</v>
      </c>
      <c r="I16" s="39">
        <f t="shared" si="1"/>
        <v>8720771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BUG_FLSH!D19</f>
        <v>-5972484</v>
      </c>
      <c r="E19" s="66">
        <f>BUG_FLSH!E19</f>
        <v>-9619123</v>
      </c>
      <c r="F19" s="60">
        <f>BUG_GL!D19</f>
        <v>-5312444</v>
      </c>
      <c r="G19" s="38">
        <f>BUG_GL!E19</f>
        <v>-8155539</v>
      </c>
      <c r="H19" s="60">
        <f>F19-D19</f>
        <v>660040</v>
      </c>
      <c r="I19" s="38">
        <f>G19-E19</f>
        <v>1463584</v>
      </c>
    </row>
    <row r="20" spans="1:9" x14ac:dyDescent="0.2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BUG_FLSH!D21</f>
        <v>-33399273</v>
      </c>
      <c r="E21" s="66">
        <f>BUG_FLSH!E21</f>
        <v>-71707408</v>
      </c>
      <c r="F21" s="60">
        <f>BUG_GL!D21</f>
        <v>-33637409</v>
      </c>
      <c r="G21" s="38">
        <f>BUG_GL!E21</f>
        <v>-72275427</v>
      </c>
      <c r="H21" s="60">
        <f t="shared" ref="H21:I23" si="2">F21-D21</f>
        <v>-238136</v>
      </c>
      <c r="I21" s="38">
        <f t="shared" si="2"/>
        <v>-568019</v>
      </c>
    </row>
    <row r="22" spans="1:9" x14ac:dyDescent="0.2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BUG_FLSH!D23</f>
        <v>668984</v>
      </c>
      <c r="E23" s="66">
        <f>BUG_FLSH!E23</f>
        <v>1421722</v>
      </c>
      <c r="F23" s="60">
        <f>BUG_GL!D23</f>
        <v>0</v>
      </c>
      <c r="G23" s="38">
        <f>BUG_GL!E23</f>
        <v>0</v>
      </c>
      <c r="H23" s="60">
        <f t="shared" si="2"/>
        <v>-668984</v>
      </c>
      <c r="I23" s="38">
        <f t="shared" si="2"/>
        <v>-1421722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-38702773</v>
      </c>
      <c r="E24" s="39">
        <f t="shared" si="3"/>
        <v>-79904809</v>
      </c>
      <c r="F24" s="61">
        <f t="shared" si="3"/>
        <v>-38949853</v>
      </c>
      <c r="G24" s="39">
        <f t="shared" si="3"/>
        <v>-80430966</v>
      </c>
      <c r="H24" s="61">
        <f t="shared" si="3"/>
        <v>-247080</v>
      </c>
      <c r="I24" s="39">
        <f t="shared" si="3"/>
        <v>-526157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BUG_FLSH!D32</f>
        <v>0</v>
      </c>
      <c r="E32" s="66">
        <f>BUG_FLSH!E32</f>
        <v>0</v>
      </c>
      <c r="F32" s="60">
        <f>BUG_GL!D32</f>
        <v>6015</v>
      </c>
      <c r="G32" s="38">
        <f>BUG_GL!E32</f>
        <v>13072</v>
      </c>
      <c r="H32" s="60">
        <f>F32-D32</f>
        <v>6015</v>
      </c>
      <c r="I32" s="38">
        <f>G32-E32</f>
        <v>13072</v>
      </c>
    </row>
    <row r="33" spans="1:9" x14ac:dyDescent="0.2">
      <c r="A33" s="9">
        <v>14</v>
      </c>
      <c r="B33" s="7"/>
      <c r="C33" s="18" t="s">
        <v>42</v>
      </c>
      <c r="D33" s="65">
        <f>BUG_FLSH!D33</f>
        <v>35969</v>
      </c>
      <c r="E33" s="66">
        <f>BUG_FLSH!E33</f>
        <v>56524.367640870878</v>
      </c>
      <c r="F33" s="60">
        <f>BUG_GL!D33</f>
        <v>0</v>
      </c>
      <c r="G33" s="38">
        <f>BUG_GL!E33</f>
        <v>0</v>
      </c>
      <c r="H33" s="60">
        <f t="shared" ref="H33:I35" si="5">F33-D33</f>
        <v>-35969</v>
      </c>
      <c r="I33" s="38">
        <f t="shared" si="5"/>
        <v>-56524.367640870878</v>
      </c>
    </row>
    <row r="34" spans="1:9" x14ac:dyDescent="0.2">
      <c r="A34" s="9">
        <v>15</v>
      </c>
      <c r="B34" s="7"/>
      <c r="C34" s="18" t="s">
        <v>43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BUG_FLSH!D35</f>
        <v>-16325</v>
      </c>
      <c r="E35" s="66">
        <f>BUG_FLSH!E35</f>
        <v>-39098</v>
      </c>
      <c r="F35" s="60">
        <f>BUG_GL!D35</f>
        <v>0</v>
      </c>
      <c r="G35" s="38">
        <f>BUG_GL!E35</f>
        <v>0</v>
      </c>
      <c r="H35" s="60">
        <f t="shared" si="5"/>
        <v>16325</v>
      </c>
      <c r="I35" s="38">
        <f t="shared" si="5"/>
        <v>39098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19644</v>
      </c>
      <c r="E36" s="39">
        <f t="shared" si="6"/>
        <v>17426.367640870878</v>
      </c>
      <c r="F36" s="61">
        <f t="shared" si="6"/>
        <v>6015</v>
      </c>
      <c r="G36" s="39">
        <f t="shared" si="6"/>
        <v>13072</v>
      </c>
      <c r="H36" s="61">
        <f t="shared" si="6"/>
        <v>-13629</v>
      </c>
      <c r="I36" s="39">
        <f t="shared" si="6"/>
        <v>-4354.3676408708779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BUG_FLSH!D39</f>
        <v>6114864</v>
      </c>
      <c r="E39" s="66">
        <f>BUG_FLSH!E39</f>
        <v>12461712</v>
      </c>
      <c r="F39" s="60">
        <f>BUG_GL!D39</f>
        <v>6237166</v>
      </c>
      <c r="G39" s="38">
        <f>BUG_GL!E39</f>
        <v>12664811</v>
      </c>
      <c r="H39" s="60">
        <f t="shared" ref="H39:I41" si="7">F39-D39</f>
        <v>122302</v>
      </c>
      <c r="I39" s="38">
        <f t="shared" si="7"/>
        <v>203099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206988</v>
      </c>
      <c r="G40" s="38">
        <f>BUG_GL!E40</f>
        <v>380858</v>
      </c>
      <c r="H40" s="60">
        <f t="shared" si="7"/>
        <v>206988</v>
      </c>
      <c r="I40" s="38">
        <f t="shared" si="7"/>
        <v>380858</v>
      </c>
    </row>
    <row r="41" spans="1:9" x14ac:dyDescent="0.2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206988</v>
      </c>
      <c r="G42" s="70">
        <f t="shared" si="8"/>
        <v>380858</v>
      </c>
      <c r="H42" s="69">
        <f t="shared" si="8"/>
        <v>206988</v>
      </c>
      <c r="I42" s="70">
        <f t="shared" si="8"/>
        <v>380858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6114864</v>
      </c>
      <c r="E43" s="39">
        <f t="shared" si="9"/>
        <v>12461712</v>
      </c>
      <c r="F43" s="61">
        <f t="shared" si="9"/>
        <v>6444154</v>
      </c>
      <c r="G43" s="39">
        <f t="shared" si="9"/>
        <v>13045669</v>
      </c>
      <c r="H43" s="61">
        <f t="shared" si="9"/>
        <v>329290</v>
      </c>
      <c r="I43" s="39">
        <f t="shared" si="9"/>
        <v>583957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-42513</v>
      </c>
      <c r="G49" s="38">
        <f>BUG_GL!E49</f>
        <v>-67763.498000000007</v>
      </c>
      <c r="H49" s="60">
        <f>F49-D49</f>
        <v>-42513</v>
      </c>
      <c r="I49" s="38">
        <f>G49-E49</f>
        <v>-67763.498000000007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BUG_FLSH!D51</f>
        <v>-668984</v>
      </c>
      <c r="E51" s="66">
        <f>BUG_FLSH!E51</f>
        <v>-1421722</v>
      </c>
      <c r="F51" s="60">
        <f>BUG_GL!D51</f>
        <v>-562027</v>
      </c>
      <c r="G51" s="38">
        <f>BUG_GL!E51</f>
        <v>-974803</v>
      </c>
      <c r="H51" s="60">
        <f>F51-D51</f>
        <v>106957</v>
      </c>
      <c r="I51" s="38">
        <f>G51-E51</f>
        <v>446919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-699134</v>
      </c>
      <c r="F54" s="60">
        <f>BUG_GL!D54</f>
        <v>-21092211</v>
      </c>
      <c r="G54" s="38">
        <f>BUG_GL!E54</f>
        <v>-812445</v>
      </c>
      <c r="H54" s="60">
        <f>F54-D54</f>
        <v>-21092211</v>
      </c>
      <c r="I54" s="38">
        <f>G54-E54</f>
        <v>-113311</v>
      </c>
    </row>
    <row r="55" spans="1:9" x14ac:dyDescent="0.2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-10497261</v>
      </c>
      <c r="F55" s="60">
        <f>BUG_GL!D55</f>
        <v>0</v>
      </c>
      <c r="G55" s="38">
        <f>BUG_GL!E55</f>
        <v>-8724324.1500000004</v>
      </c>
      <c r="H55" s="60">
        <f>F55-D55</f>
        <v>0</v>
      </c>
      <c r="I55" s="38">
        <f>G55-E55</f>
        <v>1772936.8499999996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-11196395</v>
      </c>
      <c r="F56" s="61">
        <f t="shared" si="10"/>
        <v>-21092211</v>
      </c>
      <c r="G56" s="39">
        <f t="shared" si="10"/>
        <v>-9536769.1500000004</v>
      </c>
      <c r="H56" s="61">
        <f t="shared" si="10"/>
        <v>-21092211</v>
      </c>
      <c r="I56" s="39">
        <f t="shared" si="10"/>
        <v>1659625.8499999996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8150968.7333007976</v>
      </c>
      <c r="F70" s="60">
        <f>BUG_GL!D70</f>
        <v>0</v>
      </c>
      <c r="G70" s="38">
        <f>BUG_GL!E70</f>
        <v>-110087</v>
      </c>
      <c r="H70" s="60">
        <f>F70-D70</f>
        <v>0</v>
      </c>
      <c r="I70" s="38">
        <f>G70-E70</f>
        <v>-8261055.7333007976</v>
      </c>
    </row>
    <row r="71" spans="1:9" x14ac:dyDescent="0.2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-8009830</v>
      </c>
      <c r="F71" s="60">
        <f>BUG_GL!D71</f>
        <v>0</v>
      </c>
      <c r="G71" s="38">
        <f>BUG_GL!E71</f>
        <v>0</v>
      </c>
      <c r="H71" s="60">
        <f>F71-D71</f>
        <v>0</v>
      </c>
      <c r="I71" s="38">
        <f>G71-E71</f>
        <v>8009830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141138.73330079764</v>
      </c>
      <c r="F72" s="69">
        <f t="shared" si="13"/>
        <v>0</v>
      </c>
      <c r="G72" s="70">
        <f t="shared" si="13"/>
        <v>-110087</v>
      </c>
      <c r="H72" s="69">
        <f t="shared" si="13"/>
        <v>0</v>
      </c>
      <c r="I72" s="70">
        <f t="shared" si="13"/>
        <v>-251225.73330079764</v>
      </c>
    </row>
    <row r="73" spans="1:9" x14ac:dyDescent="0.2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-380393</v>
      </c>
      <c r="F74" s="60">
        <f>BUG_GL!D74</f>
        <v>0</v>
      </c>
      <c r="G74" s="38">
        <f>BUG_GL!E74</f>
        <v>-129168.09999999963</v>
      </c>
      <c r="H74" s="60">
        <f t="shared" ref="H74:I79" si="14">F74-D74</f>
        <v>0</v>
      </c>
      <c r="I74" s="38">
        <f t="shared" si="14"/>
        <v>251224.90000000037</v>
      </c>
    </row>
    <row r="75" spans="1:9" x14ac:dyDescent="0.2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10497261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-10497261</v>
      </c>
    </row>
    <row r="80" spans="1:9" x14ac:dyDescent="0.2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-114893.89905832335</v>
      </c>
      <c r="F82" s="111">
        <f>F16+F24+F29+F36+F43+F45+F47+F49</f>
        <v>10</v>
      </c>
      <c r="G82" s="112">
        <f>SUM(G72:G81)+G16+G24+G29+G36+G43+G45+G47+G49+G51+G56+G61+G66</f>
        <v>200842.25200000592</v>
      </c>
      <c r="H82" s="111">
        <f>H16+H24+H29+H36+H43+H45+H47+H49</f>
        <v>10</v>
      </c>
      <c r="I82" s="112">
        <f>SUM(I72:I81)+I16+I24+I29+I36+I43+I45+I47+I49+I51+I56+I61+I66</f>
        <v>315736.15105833136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X623" activePane="bottomRight" state="frozen"/>
      <selection pane="topRight" activeCell="E1" sqref="E1"/>
      <selection pane="bottomLeft" activeCell="A4" sqref="A4"/>
      <selection pane="bottomRight" activeCell="AE641" sqref="AE64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style="123" customWidth="1"/>
    <col min="10" max="11" width="11.28515625" customWidth="1"/>
    <col min="12" max="12" width="11.7109375" customWidth="1"/>
    <col min="13" max="13" width="12" customWidth="1"/>
    <col min="14" max="14" width="12.42578125" customWidth="1"/>
    <col min="15" max="15" width="11.42578125" customWidth="1"/>
    <col min="16" max="16" width="12.28515625" customWidth="1"/>
    <col min="17" max="17" width="12.7109375" customWidth="1"/>
    <col min="19" max="19" width="11.5703125" customWidth="1"/>
  </cols>
  <sheetData>
    <row r="1" spans="1:118" ht="28.5" customHeight="1" x14ac:dyDescent="0.2">
      <c r="E1" s="207">
        <v>36251</v>
      </c>
      <c r="F1" s="207"/>
      <c r="G1" s="202">
        <f>+E1+31</f>
        <v>36282</v>
      </c>
      <c r="H1" s="202"/>
      <c r="I1" s="208">
        <f>+G1+30</f>
        <v>36312</v>
      </c>
      <c r="J1" s="208"/>
      <c r="K1" s="202">
        <f>+I1+31</f>
        <v>36343</v>
      </c>
      <c r="L1" s="202"/>
      <c r="M1" s="202">
        <f>+K1+31</f>
        <v>36374</v>
      </c>
      <c r="N1" s="202"/>
      <c r="O1" s="202">
        <f>+M1+30</f>
        <v>36404</v>
      </c>
      <c r="P1" s="202"/>
      <c r="Q1" s="202">
        <f>+O1+31</f>
        <v>36435</v>
      </c>
      <c r="R1" s="202"/>
      <c r="S1" s="202">
        <f>+Q1+31</f>
        <v>36466</v>
      </c>
      <c r="T1" s="202"/>
      <c r="U1" s="202">
        <f>+S1+31</f>
        <v>36497</v>
      </c>
      <c r="V1" s="202"/>
      <c r="W1" s="202">
        <f>+U1+31</f>
        <v>36528</v>
      </c>
      <c r="X1" s="202"/>
      <c r="Y1" s="202">
        <f>+W1+31</f>
        <v>36559</v>
      </c>
      <c r="Z1" s="202"/>
      <c r="AA1" s="202">
        <f>+Y1+31</f>
        <v>36590</v>
      </c>
      <c r="AB1" s="202"/>
      <c r="AC1" s="202">
        <f>+AA1+31</f>
        <v>36621</v>
      </c>
      <c r="AD1" s="202"/>
      <c r="AE1" s="202">
        <f>+AC1+31</f>
        <v>36652</v>
      </c>
      <c r="AF1" s="202"/>
      <c r="AG1" s="202"/>
      <c r="AH1" s="202"/>
    </row>
    <row r="2" spans="1:118" x14ac:dyDescent="0.2">
      <c r="A2" s="113" t="s">
        <v>117</v>
      </c>
      <c r="B2" s="113" t="s">
        <v>118</v>
      </c>
      <c r="C2" s="113" t="s">
        <v>119</v>
      </c>
      <c r="D2" s="113" t="s">
        <v>120</v>
      </c>
      <c r="E2" s="114" t="s">
        <v>121</v>
      </c>
      <c r="F2" s="114" t="s">
        <v>122</v>
      </c>
      <c r="G2" t="s">
        <v>123</v>
      </c>
    </row>
    <row r="3" spans="1:118" s="117" customFormat="1" x14ac:dyDescent="0.2">
      <c r="A3" s="115" t="s">
        <v>124</v>
      </c>
      <c r="B3" s="115" t="s">
        <v>118</v>
      </c>
      <c r="C3" s="115" t="s">
        <v>119</v>
      </c>
      <c r="D3" s="115" t="s">
        <v>120</v>
      </c>
      <c r="E3" s="116" t="s">
        <v>173</v>
      </c>
      <c r="F3" s="117" t="s">
        <v>174</v>
      </c>
      <c r="G3" s="116" t="s">
        <v>173</v>
      </c>
      <c r="H3" s="117" t="s">
        <v>174</v>
      </c>
      <c r="I3" s="173" t="s">
        <v>173</v>
      </c>
      <c r="J3" s="117" t="s">
        <v>174</v>
      </c>
      <c r="K3" s="116" t="s">
        <v>173</v>
      </c>
      <c r="L3" s="117" t="s">
        <v>174</v>
      </c>
      <c r="M3" s="116" t="s">
        <v>173</v>
      </c>
      <c r="N3" s="117" t="s">
        <v>174</v>
      </c>
      <c r="O3" s="116" t="s">
        <v>173</v>
      </c>
      <c r="P3" s="117" t="s">
        <v>174</v>
      </c>
      <c r="Q3" s="116" t="s">
        <v>173</v>
      </c>
      <c r="R3" s="117" t="s">
        <v>174</v>
      </c>
      <c r="S3" s="116" t="s">
        <v>173</v>
      </c>
      <c r="T3" s="117" t="s">
        <v>174</v>
      </c>
      <c r="U3" s="116" t="s">
        <v>173</v>
      </c>
      <c r="V3" s="117" t="s">
        <v>174</v>
      </c>
      <c r="W3" s="116" t="s">
        <v>173</v>
      </c>
      <c r="X3" s="117" t="s">
        <v>174</v>
      </c>
      <c r="Y3" s="116" t="s">
        <v>173</v>
      </c>
      <c r="Z3" s="117" t="s">
        <v>174</v>
      </c>
      <c r="AA3" s="116" t="s">
        <v>173</v>
      </c>
      <c r="AB3" s="117" t="s">
        <v>174</v>
      </c>
      <c r="AC3" s="116" t="s">
        <v>173</v>
      </c>
      <c r="AD3" s="117" t="s">
        <v>174</v>
      </c>
      <c r="AE3" s="116" t="s">
        <v>125</v>
      </c>
    </row>
    <row r="4" spans="1:118" x14ac:dyDescent="0.2">
      <c r="A4" s="118" t="s">
        <v>126</v>
      </c>
      <c r="B4" s="118" t="s">
        <v>127</v>
      </c>
      <c r="C4" s="119">
        <v>1</v>
      </c>
      <c r="D4" s="118" t="s">
        <v>27</v>
      </c>
      <c r="E4" s="120">
        <v>943879</v>
      </c>
      <c r="F4" s="120">
        <v>1881474.81</v>
      </c>
      <c r="G4" s="121">
        <v>-8638</v>
      </c>
      <c r="H4" s="121">
        <v>-16483.36</v>
      </c>
      <c r="I4" s="124">
        <v>0</v>
      </c>
      <c r="J4" s="121">
        <v>0.03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126</v>
      </c>
      <c r="B5" s="118" t="s">
        <v>127</v>
      </c>
      <c r="C5" s="119">
        <v>2</v>
      </c>
      <c r="D5" s="118" t="s">
        <v>28</v>
      </c>
      <c r="E5" s="120">
        <v>0</v>
      </c>
      <c r="F5" s="120">
        <v>0</v>
      </c>
      <c r="G5" s="121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126</v>
      </c>
      <c r="B6" s="118" t="s">
        <v>127</v>
      </c>
      <c r="C6" s="119">
        <v>3</v>
      </c>
      <c r="D6" s="118" t="s">
        <v>29</v>
      </c>
      <c r="E6" s="120">
        <v>0</v>
      </c>
      <c r="F6" s="120">
        <v>0</v>
      </c>
      <c r="G6" s="121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126</v>
      </c>
      <c r="B7" s="118" t="s">
        <v>127</v>
      </c>
      <c r="C7" s="119">
        <v>4</v>
      </c>
      <c r="D7" s="118" t="s">
        <v>30</v>
      </c>
      <c r="E7" s="120">
        <v>0</v>
      </c>
      <c r="F7" s="120">
        <v>0</v>
      </c>
      <c r="G7" s="121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126</v>
      </c>
      <c r="B8" s="118" t="s">
        <v>127</v>
      </c>
      <c r="C8" s="119">
        <v>5</v>
      </c>
      <c r="D8" s="118" t="s">
        <v>128</v>
      </c>
      <c r="E8" s="120">
        <v>0</v>
      </c>
      <c r="F8" s="120">
        <v>0</v>
      </c>
      <c r="G8" s="121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126</v>
      </c>
      <c r="B9" s="118" t="s">
        <v>127</v>
      </c>
      <c r="C9" s="119">
        <v>6</v>
      </c>
      <c r="D9" s="118" t="s">
        <v>27</v>
      </c>
      <c r="E9" s="120">
        <v>-1173447</v>
      </c>
      <c r="F9" s="120">
        <v>-2078348.6</v>
      </c>
      <c r="G9" s="121">
        <v>18537</v>
      </c>
      <c r="H9" s="121">
        <v>-6881.38</v>
      </c>
      <c r="I9" s="124">
        <v>-59110</v>
      </c>
      <c r="J9" s="121">
        <v>-104209.29</v>
      </c>
      <c r="K9" s="121">
        <v>3783</v>
      </c>
      <c r="L9" s="121">
        <v>8494.31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2759</v>
      </c>
      <c r="AB9" s="121">
        <v>6097.39</v>
      </c>
      <c r="AC9" s="121">
        <v>0</v>
      </c>
      <c r="AD9" s="121">
        <v>0</v>
      </c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126</v>
      </c>
      <c r="B10" s="118" t="s">
        <v>127</v>
      </c>
      <c r="C10" s="119">
        <v>7</v>
      </c>
      <c r="D10" s="118" t="s">
        <v>28</v>
      </c>
      <c r="E10" s="122">
        <v>0</v>
      </c>
      <c r="F10" s="122">
        <v>0</v>
      </c>
      <c r="G10" s="121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126</v>
      </c>
      <c r="B11" s="118" t="s">
        <v>127</v>
      </c>
      <c r="C11" s="119">
        <v>8</v>
      </c>
      <c r="D11" s="118" t="s">
        <v>29</v>
      </c>
      <c r="E11" s="122">
        <v>0</v>
      </c>
      <c r="F11" s="122">
        <v>0</v>
      </c>
      <c r="G11" s="121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126</v>
      </c>
      <c r="B12" s="118" t="s">
        <v>127</v>
      </c>
      <c r="C12" s="119">
        <v>9</v>
      </c>
      <c r="D12" s="118" t="s">
        <v>30</v>
      </c>
      <c r="E12" s="122">
        <v>0</v>
      </c>
      <c r="F12" s="122">
        <v>0</v>
      </c>
      <c r="G12" s="121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126</v>
      </c>
      <c r="B13" s="118" t="s">
        <v>127</v>
      </c>
      <c r="C13" s="119">
        <v>10</v>
      </c>
      <c r="D13" s="118" t="s">
        <v>34</v>
      </c>
      <c r="E13" s="122">
        <v>0</v>
      </c>
      <c r="F13" s="122">
        <v>0</v>
      </c>
      <c r="G13" s="121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126</v>
      </c>
      <c r="B14" s="118" t="s">
        <v>127</v>
      </c>
      <c r="C14" s="119">
        <v>11</v>
      </c>
      <c r="D14" s="118" t="s">
        <v>37</v>
      </c>
      <c r="E14" s="120">
        <v>249130</v>
      </c>
      <c r="F14" s="120">
        <v>463381.8</v>
      </c>
      <c r="G14" s="121">
        <v>-19381</v>
      </c>
      <c r="H14" s="121">
        <v>-28256.61099999999</v>
      </c>
      <c r="I14" s="124">
        <v>125556</v>
      </c>
      <c r="J14" s="121">
        <v>222021.83500000002</v>
      </c>
      <c r="K14" s="121">
        <v>-3783</v>
      </c>
      <c r="L14" s="121">
        <v>-7003.62</v>
      </c>
      <c r="M14" s="121">
        <v>-666</v>
      </c>
      <c r="N14" s="121">
        <v>-1799.8631999999998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-2759</v>
      </c>
      <c r="AB14" s="121">
        <v>-4853.0810000000001</v>
      </c>
      <c r="AC14" s="121">
        <v>0</v>
      </c>
      <c r="AD14" s="121">
        <v>0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126</v>
      </c>
      <c r="B15" s="118" t="s">
        <v>127</v>
      </c>
      <c r="C15" s="119">
        <v>12</v>
      </c>
      <c r="D15" s="118" t="s">
        <v>38</v>
      </c>
      <c r="E15" s="120">
        <v>-10619</v>
      </c>
      <c r="F15" s="120">
        <v>-23914.7</v>
      </c>
      <c r="G15" s="121">
        <v>539</v>
      </c>
      <c r="H15" s="121">
        <v>1002.54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126</v>
      </c>
      <c r="B16" s="118" t="s">
        <v>127</v>
      </c>
      <c r="C16" s="119">
        <v>13</v>
      </c>
      <c r="D16" s="118" t="s">
        <v>41</v>
      </c>
      <c r="E16" s="120">
        <v>0</v>
      </c>
      <c r="F16" s="120">
        <v>0</v>
      </c>
      <c r="G16" s="121">
        <v>0</v>
      </c>
      <c r="H16" s="121">
        <v>0</v>
      </c>
      <c r="I16" s="124">
        <v>-66446</v>
      </c>
      <c r="J16" s="121">
        <v>-152028.45000000001</v>
      </c>
      <c r="K16" s="121">
        <v>0</v>
      </c>
      <c r="L16" s="121">
        <v>7109.7219999999998</v>
      </c>
      <c r="M16" s="121">
        <v>666</v>
      </c>
      <c r="N16" s="121">
        <v>-3086.2739999999999</v>
      </c>
      <c r="O16" s="121">
        <v>0</v>
      </c>
      <c r="P16" s="121">
        <v>-22167.86</v>
      </c>
      <c r="Q16" s="121">
        <v>0</v>
      </c>
      <c r="R16" s="121">
        <v>-18484.18</v>
      </c>
      <c r="S16" s="121">
        <v>0</v>
      </c>
      <c r="T16" s="121">
        <v>73147.360000000001</v>
      </c>
      <c r="U16" s="121">
        <v>0</v>
      </c>
      <c r="V16" s="121">
        <v>-4078.36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126</v>
      </c>
      <c r="B17" s="118" t="s">
        <v>127</v>
      </c>
      <c r="C17" s="119">
        <v>14</v>
      </c>
      <c r="D17" s="118" t="s">
        <v>42</v>
      </c>
      <c r="E17" s="120">
        <v>0</v>
      </c>
      <c r="F17" s="120">
        <v>0</v>
      </c>
      <c r="G17" s="121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126</v>
      </c>
      <c r="B18" s="118" t="s">
        <v>127</v>
      </c>
      <c r="C18" s="119">
        <v>15</v>
      </c>
      <c r="D18" s="118" t="s">
        <v>43</v>
      </c>
      <c r="E18" s="120">
        <v>0</v>
      </c>
      <c r="F18" s="120">
        <v>0</v>
      </c>
      <c r="G18" s="121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126</v>
      </c>
      <c r="B19" s="118" t="s">
        <v>127</v>
      </c>
      <c r="C19" s="119">
        <v>16</v>
      </c>
      <c r="D19" s="118" t="s">
        <v>44</v>
      </c>
      <c r="E19" s="120">
        <v>0</v>
      </c>
      <c r="F19" s="120">
        <v>0</v>
      </c>
      <c r="G19" s="121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126</v>
      </c>
      <c r="B20" s="118" t="s">
        <v>127</v>
      </c>
      <c r="C20" s="119">
        <v>17</v>
      </c>
      <c r="D20" s="118" t="s">
        <v>129</v>
      </c>
      <c r="E20" s="120">
        <v>1197708</v>
      </c>
      <c r="F20" s="120">
        <v>1859801</v>
      </c>
      <c r="G20" s="121">
        <v>-1197708</v>
      </c>
      <c r="H20" s="121">
        <v>-1859801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126</v>
      </c>
      <c r="B21" s="118" t="s">
        <v>127</v>
      </c>
      <c r="C21" s="119">
        <v>18</v>
      </c>
      <c r="D21" s="118" t="s">
        <v>130</v>
      </c>
      <c r="E21" s="120">
        <v>0</v>
      </c>
      <c r="F21" s="120">
        <v>0</v>
      </c>
      <c r="G21" s="121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126</v>
      </c>
      <c r="B22" s="118" t="s">
        <v>127</v>
      </c>
      <c r="C22" s="119">
        <v>19</v>
      </c>
      <c r="D22" s="118" t="s">
        <v>49</v>
      </c>
      <c r="E22" s="120">
        <v>0</v>
      </c>
      <c r="F22" s="120">
        <v>0</v>
      </c>
      <c r="G22" s="121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126</v>
      </c>
      <c r="B23" s="118" t="s">
        <v>127</v>
      </c>
      <c r="C23" s="119">
        <v>20</v>
      </c>
      <c r="D23" s="118" t="s">
        <v>131</v>
      </c>
      <c r="E23" s="120">
        <v>0</v>
      </c>
      <c r="F23" s="120">
        <v>0</v>
      </c>
      <c r="G23" s="121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126</v>
      </c>
      <c r="B24" s="118" t="s">
        <v>127</v>
      </c>
      <c r="C24" s="119">
        <v>21</v>
      </c>
      <c r="D24" s="118" t="s">
        <v>132</v>
      </c>
      <c r="E24" s="120">
        <v>0</v>
      </c>
      <c r="F24" s="120">
        <v>0</v>
      </c>
      <c r="G24" s="121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126</v>
      </c>
      <c r="B25" s="118" t="s">
        <v>127</v>
      </c>
      <c r="C25" s="119">
        <v>22</v>
      </c>
      <c r="D25" s="118" t="s">
        <v>133</v>
      </c>
      <c r="E25" s="120">
        <v>0</v>
      </c>
      <c r="F25" s="120">
        <v>0</v>
      </c>
      <c r="G25" s="121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126</v>
      </c>
      <c r="B26" s="118" t="s">
        <v>127</v>
      </c>
      <c r="C26" s="119">
        <v>23</v>
      </c>
      <c r="D26" s="118" t="s">
        <v>134</v>
      </c>
      <c r="E26" s="120">
        <v>0</v>
      </c>
      <c r="F26" s="120">
        <v>0</v>
      </c>
      <c r="G26" s="121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126</v>
      </c>
      <c r="B27" s="118" t="s">
        <v>127</v>
      </c>
      <c r="C27" s="119">
        <v>24</v>
      </c>
      <c r="D27" s="118" t="s">
        <v>57</v>
      </c>
      <c r="E27" s="120">
        <v>0</v>
      </c>
      <c r="F27" s="120">
        <v>350</v>
      </c>
      <c r="G27" s="121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126</v>
      </c>
      <c r="B28" s="118" t="s">
        <v>127</v>
      </c>
      <c r="C28" s="119">
        <v>25</v>
      </c>
      <c r="D28" s="118" t="s">
        <v>58</v>
      </c>
      <c r="E28" s="120">
        <v>0</v>
      </c>
      <c r="F28" s="120">
        <v>0</v>
      </c>
      <c r="G28" s="121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126</v>
      </c>
      <c r="B29" s="118" t="s">
        <v>127</v>
      </c>
      <c r="C29" s="119">
        <v>26</v>
      </c>
      <c r="D29" s="118" t="s">
        <v>135</v>
      </c>
      <c r="E29" s="120">
        <v>0</v>
      </c>
      <c r="F29" s="120">
        <v>350</v>
      </c>
      <c r="G29" s="121">
        <v>0</v>
      </c>
      <c r="H29" s="121">
        <v>-350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22718.1</v>
      </c>
      <c r="S29" s="121">
        <v>0</v>
      </c>
      <c r="T29" s="121">
        <v>-2243.02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126</v>
      </c>
      <c r="B30" s="118" t="s">
        <v>127</v>
      </c>
      <c r="C30" s="119">
        <v>27</v>
      </c>
      <c r="D30" s="118" t="s">
        <v>136</v>
      </c>
      <c r="E30" s="120">
        <v>0</v>
      </c>
      <c r="F30" s="120">
        <v>0</v>
      </c>
      <c r="G30" s="121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126</v>
      </c>
      <c r="B31" s="118" t="s">
        <v>127</v>
      </c>
      <c r="C31" s="119">
        <v>28</v>
      </c>
      <c r="D31" s="118" t="s">
        <v>137</v>
      </c>
      <c r="E31" s="120">
        <v>-1192879</v>
      </c>
      <c r="F31" s="120">
        <v>-84714.06</v>
      </c>
      <c r="G31" s="121">
        <v>-281518</v>
      </c>
      <c r="H31" s="121">
        <v>-5419.95</v>
      </c>
      <c r="I31" s="124">
        <v>-35171</v>
      </c>
      <c r="J31" s="121">
        <v>-4776.5600000000004</v>
      </c>
      <c r="K31" s="121">
        <v>-4075</v>
      </c>
      <c r="L31" s="121">
        <v>-40.75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2759</v>
      </c>
      <c r="AB31" s="121">
        <v>-0.64</v>
      </c>
      <c r="AC31" s="121">
        <v>-2759</v>
      </c>
      <c r="AD31" s="121">
        <v>0</v>
      </c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126</v>
      </c>
      <c r="B32" s="118" t="s">
        <v>127</v>
      </c>
      <c r="C32" s="119">
        <v>29</v>
      </c>
      <c r="D32" s="118" t="s">
        <v>138</v>
      </c>
      <c r="E32" s="120">
        <v>0</v>
      </c>
      <c r="F32" s="120">
        <v>0</v>
      </c>
      <c r="G32" s="121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126</v>
      </c>
      <c r="B33" s="118" t="s">
        <v>127</v>
      </c>
      <c r="C33" s="119">
        <v>30</v>
      </c>
      <c r="D33" s="118" t="s">
        <v>139</v>
      </c>
      <c r="E33" s="120">
        <v>0</v>
      </c>
      <c r="F33" s="120">
        <v>0</v>
      </c>
      <c r="G33" s="121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126</v>
      </c>
      <c r="B34" s="118" t="s">
        <v>127</v>
      </c>
      <c r="C34" s="119">
        <v>31</v>
      </c>
      <c r="D34" s="118" t="s">
        <v>140</v>
      </c>
      <c r="E34" s="120">
        <v>0</v>
      </c>
      <c r="F34" s="120">
        <v>0</v>
      </c>
      <c r="G34" s="121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126</v>
      </c>
      <c r="B35" s="118" t="s">
        <v>127</v>
      </c>
      <c r="C35" s="119">
        <v>32</v>
      </c>
      <c r="D35" s="118" t="s">
        <v>72</v>
      </c>
      <c r="E35" s="120">
        <v>0</v>
      </c>
      <c r="F35" s="120">
        <v>0</v>
      </c>
      <c r="G35" s="121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126</v>
      </c>
      <c r="B36" s="118" t="s">
        <v>127</v>
      </c>
      <c r="C36" s="119">
        <v>33</v>
      </c>
      <c r="D36" s="118" t="s">
        <v>73</v>
      </c>
      <c r="E36" s="120">
        <v>0</v>
      </c>
      <c r="F36" s="120">
        <v>0</v>
      </c>
      <c r="G36" s="121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126</v>
      </c>
      <c r="B37" s="118" t="s">
        <v>127</v>
      </c>
      <c r="C37" s="119">
        <v>34</v>
      </c>
      <c r="D37" s="118" t="s">
        <v>74</v>
      </c>
      <c r="E37" s="120">
        <v>0</v>
      </c>
      <c r="F37" s="120">
        <v>0</v>
      </c>
      <c r="G37" s="121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126</v>
      </c>
      <c r="B38" s="118" t="s">
        <v>127</v>
      </c>
      <c r="C38" s="119">
        <v>35</v>
      </c>
      <c r="D38" s="118" t="s">
        <v>75</v>
      </c>
      <c r="E38" s="120">
        <v>0</v>
      </c>
      <c r="F38" s="120">
        <v>0</v>
      </c>
      <c r="G38" s="121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126</v>
      </c>
      <c r="B39" s="118" t="s">
        <v>127</v>
      </c>
      <c r="C39" s="119">
        <v>36</v>
      </c>
      <c r="D39" s="118" t="s">
        <v>76</v>
      </c>
      <c r="E39" s="120">
        <v>0</v>
      </c>
      <c r="F39" s="120">
        <v>0</v>
      </c>
      <c r="G39" s="121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126</v>
      </c>
      <c r="B40" s="118" t="s">
        <v>127</v>
      </c>
      <c r="C40" s="119">
        <v>37</v>
      </c>
      <c r="D40" s="118" t="s">
        <v>77</v>
      </c>
      <c r="E40" s="120">
        <v>0</v>
      </c>
      <c r="F40" s="120">
        <v>0</v>
      </c>
      <c r="G40" s="121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126</v>
      </c>
      <c r="B41" s="118" t="s">
        <v>127</v>
      </c>
      <c r="C41" s="119">
        <v>38</v>
      </c>
      <c r="D41" s="118" t="s">
        <v>78</v>
      </c>
      <c r="E41" s="120">
        <v>0</v>
      </c>
      <c r="F41" s="120">
        <v>0</v>
      </c>
      <c r="G41" s="121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126</v>
      </c>
      <c r="B42" s="118" t="s">
        <v>127</v>
      </c>
      <c r="C42" s="119">
        <v>39</v>
      </c>
      <c r="D42" s="118" t="s">
        <v>79</v>
      </c>
      <c r="E42" s="120">
        <v>0</v>
      </c>
      <c r="F42" s="120">
        <v>0</v>
      </c>
      <c r="G42" s="121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126</v>
      </c>
      <c r="B43" s="118" t="s">
        <v>127</v>
      </c>
      <c r="C43" s="119">
        <v>40</v>
      </c>
      <c r="D43" s="118" t="s">
        <v>80</v>
      </c>
      <c r="E43" s="120">
        <v>0</v>
      </c>
      <c r="F43" s="120">
        <v>0</v>
      </c>
      <c r="G43" s="121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141</v>
      </c>
      <c r="B44" t="s">
        <v>142</v>
      </c>
      <c r="C44">
        <v>1</v>
      </c>
      <c r="D44" t="s">
        <v>27</v>
      </c>
      <c r="E44" s="14">
        <v>7091384</v>
      </c>
      <c r="F44" s="14">
        <v>13977107.129999999</v>
      </c>
      <c r="G44" s="121">
        <v>-212902</v>
      </c>
      <c r="H44" s="121">
        <v>-613532.65</v>
      </c>
      <c r="I44" s="124">
        <v>0</v>
      </c>
      <c r="J44" s="121">
        <v>0.09</v>
      </c>
      <c r="K44" s="121">
        <v>72836</v>
      </c>
      <c r="L44" s="121">
        <v>136931.68</v>
      </c>
      <c r="M44" s="121">
        <v>0</v>
      </c>
      <c r="N44" s="121">
        <v>0</v>
      </c>
      <c r="O44" s="121">
        <v>100000</v>
      </c>
      <c r="P44" s="121">
        <v>195170.01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16805</v>
      </c>
      <c r="Z44" s="121">
        <v>65959.63</v>
      </c>
      <c r="AA44" s="121">
        <v>0</v>
      </c>
      <c r="AB44" s="121">
        <v>0</v>
      </c>
      <c r="AC44" s="121">
        <v>0</v>
      </c>
      <c r="AD44" s="121">
        <v>0</v>
      </c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141</v>
      </c>
      <c r="B45" t="s">
        <v>142</v>
      </c>
      <c r="C45">
        <v>2</v>
      </c>
      <c r="D45" t="s">
        <v>28</v>
      </c>
      <c r="E45" s="14">
        <v>0</v>
      </c>
      <c r="F45" s="14">
        <v>0</v>
      </c>
      <c r="G45" s="121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141</v>
      </c>
      <c r="B46" t="s">
        <v>142</v>
      </c>
      <c r="C46">
        <v>3</v>
      </c>
      <c r="D46" t="s">
        <v>29</v>
      </c>
      <c r="E46" s="14">
        <v>0</v>
      </c>
      <c r="F46" s="14">
        <v>0</v>
      </c>
      <c r="G46" s="121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141</v>
      </c>
      <c r="B47" t="s">
        <v>142</v>
      </c>
      <c r="C47">
        <v>4</v>
      </c>
      <c r="D47" t="s">
        <v>30</v>
      </c>
      <c r="E47" s="14">
        <v>0</v>
      </c>
      <c r="F47" s="14">
        <v>0</v>
      </c>
      <c r="G47" s="121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141</v>
      </c>
      <c r="B48" t="s">
        <v>142</v>
      </c>
      <c r="C48">
        <v>5</v>
      </c>
      <c r="D48" t="s">
        <v>128</v>
      </c>
      <c r="E48" s="14">
        <v>0</v>
      </c>
      <c r="F48" s="14">
        <v>0</v>
      </c>
      <c r="G48" s="121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141</v>
      </c>
      <c r="B49" t="s">
        <v>142</v>
      </c>
      <c r="C49">
        <v>6</v>
      </c>
      <c r="D49" t="s">
        <v>27</v>
      </c>
      <c r="E49" s="14">
        <v>-1857870</v>
      </c>
      <c r="F49" s="14">
        <v>-3675478.56</v>
      </c>
      <c r="G49" s="121">
        <v>95328</v>
      </c>
      <c r="H49" s="121">
        <v>203349.48</v>
      </c>
      <c r="I49" s="124">
        <v>0</v>
      </c>
      <c r="J49" s="121">
        <v>-325.32</v>
      </c>
      <c r="K49" s="121">
        <v>0</v>
      </c>
      <c r="L49" s="121">
        <v>0</v>
      </c>
      <c r="M49" s="121">
        <v>0</v>
      </c>
      <c r="N49" s="121">
        <v>0</v>
      </c>
      <c r="O49" s="121">
        <v>-100000</v>
      </c>
      <c r="P49" s="121">
        <v>-212789.14</v>
      </c>
      <c r="Q49" s="121">
        <v>0</v>
      </c>
      <c r="R49" s="121">
        <v>0</v>
      </c>
      <c r="S49" s="121">
        <v>0</v>
      </c>
      <c r="T49" s="121">
        <v>130.1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141</v>
      </c>
      <c r="B50" t="s">
        <v>142</v>
      </c>
      <c r="C50">
        <v>7</v>
      </c>
      <c r="D50" t="s">
        <v>28</v>
      </c>
      <c r="E50" s="14">
        <v>0</v>
      </c>
      <c r="F50" s="14">
        <v>0</v>
      </c>
      <c r="G50" s="121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141</v>
      </c>
      <c r="B51" t="s">
        <v>142</v>
      </c>
      <c r="C51">
        <v>8</v>
      </c>
      <c r="D51" t="s">
        <v>29</v>
      </c>
      <c r="E51" s="14">
        <v>0</v>
      </c>
      <c r="F51" s="14">
        <v>0</v>
      </c>
      <c r="G51" s="121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141</v>
      </c>
      <c r="B52" t="s">
        <v>142</v>
      </c>
      <c r="C52">
        <v>9</v>
      </c>
      <c r="D52" t="s">
        <v>30</v>
      </c>
      <c r="E52" s="14">
        <v>0</v>
      </c>
      <c r="F52" s="14">
        <v>0</v>
      </c>
      <c r="G52" s="121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141</v>
      </c>
      <c r="B53" t="s">
        <v>142</v>
      </c>
      <c r="C53">
        <v>10</v>
      </c>
      <c r="D53" t="s">
        <v>34</v>
      </c>
      <c r="E53" s="14">
        <v>0</v>
      </c>
      <c r="F53" s="14">
        <v>0</v>
      </c>
      <c r="G53" s="121">
        <v>22461</v>
      </c>
      <c r="H53" s="121">
        <v>47196.63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0</v>
      </c>
      <c r="Q53" s="121">
        <v>-61</v>
      </c>
      <c r="R53" s="121">
        <v>850.19</v>
      </c>
      <c r="S53" s="121">
        <v>61</v>
      </c>
      <c r="T53" s="121">
        <v>122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141</v>
      </c>
      <c r="B54" t="s">
        <v>142</v>
      </c>
      <c r="C54">
        <v>11</v>
      </c>
      <c r="D54" t="s">
        <v>37</v>
      </c>
      <c r="E54" s="14">
        <v>2931948</v>
      </c>
      <c r="F54" s="14">
        <v>5907201.4699999997</v>
      </c>
      <c r="G54" s="121">
        <v>-858636</v>
      </c>
      <c r="H54" s="121">
        <v>-1498648.73</v>
      </c>
      <c r="I54" s="124">
        <v>0</v>
      </c>
      <c r="J54" s="121">
        <v>-0.01</v>
      </c>
      <c r="K54" s="121">
        <v>-29845</v>
      </c>
      <c r="L54" s="121">
        <v>-69052.87</v>
      </c>
      <c r="M54" s="121">
        <v>7535</v>
      </c>
      <c r="N54" s="121">
        <v>15070</v>
      </c>
      <c r="O54" s="121">
        <v>-232817</v>
      </c>
      <c r="P54" s="121">
        <v>-471909.38</v>
      </c>
      <c r="Q54" s="121">
        <v>35670</v>
      </c>
      <c r="R54" s="121">
        <v>78572.95</v>
      </c>
      <c r="S54" s="121">
        <v>-84440</v>
      </c>
      <c r="T54" s="121">
        <v>-179997.39</v>
      </c>
      <c r="U54" s="121">
        <v>4653</v>
      </c>
      <c r="V54" s="121">
        <v>8727.48</v>
      </c>
      <c r="W54" s="121">
        <v>30345</v>
      </c>
      <c r="X54" s="121">
        <v>60709.57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141</v>
      </c>
      <c r="B55" t="s">
        <v>142</v>
      </c>
      <c r="C55">
        <v>12</v>
      </c>
      <c r="D55" t="s">
        <v>38</v>
      </c>
      <c r="E55" s="14">
        <v>-9248088</v>
      </c>
      <c r="F55" s="14">
        <v>-19646470.789999999</v>
      </c>
      <c r="G55" s="121">
        <v>1025364</v>
      </c>
      <c r="H55" s="121">
        <v>2203744.1</v>
      </c>
      <c r="I55" s="124">
        <v>0</v>
      </c>
      <c r="J55" s="121">
        <v>0</v>
      </c>
      <c r="K55" s="121">
        <v>21448</v>
      </c>
      <c r="L55" s="121">
        <v>47780.38</v>
      </c>
      <c r="M55" s="121">
        <v>-24032</v>
      </c>
      <c r="N55" s="121">
        <v>14532.86</v>
      </c>
      <c r="O55" s="121">
        <v>112654</v>
      </c>
      <c r="P55" s="121">
        <v>61062.720000000001</v>
      </c>
      <c r="Q55" s="121">
        <v>108661</v>
      </c>
      <c r="R55" s="121">
        <v>214529.18</v>
      </c>
      <c r="S55" s="121">
        <v>14249</v>
      </c>
      <c r="T55" s="121">
        <v>33417.49</v>
      </c>
      <c r="U55" s="121">
        <v>65538</v>
      </c>
      <c r="V55" s="121">
        <v>136288.69</v>
      </c>
      <c r="W55" s="121">
        <v>-30345</v>
      </c>
      <c r="X55" s="121">
        <v>-59491.15</v>
      </c>
      <c r="Y55" s="121">
        <v>0</v>
      </c>
      <c r="Z55" s="121">
        <v>1.24</v>
      </c>
      <c r="AA55" s="121">
        <v>1</v>
      </c>
      <c r="AB55" s="121">
        <v>2</v>
      </c>
      <c r="AC55" s="121">
        <v>0</v>
      </c>
      <c r="AD55" s="121">
        <v>-2</v>
      </c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141</v>
      </c>
      <c r="B56" t="s">
        <v>142</v>
      </c>
      <c r="C56">
        <v>13</v>
      </c>
      <c r="D56" t="s">
        <v>41</v>
      </c>
      <c r="E56" s="14">
        <v>0</v>
      </c>
      <c r="F56" s="14">
        <v>0</v>
      </c>
      <c r="G56" s="121">
        <v>15790</v>
      </c>
      <c r="H56" s="121">
        <v>29969.42</v>
      </c>
      <c r="I56" s="124">
        <v>37155</v>
      </c>
      <c r="J56" s="121">
        <v>98997.95</v>
      </c>
      <c r="K56" s="121">
        <v>0</v>
      </c>
      <c r="L56" s="121">
        <v>-6671.07</v>
      </c>
      <c r="M56" s="121">
        <v>32079</v>
      </c>
      <c r="N56" s="121">
        <v>74564.955000000002</v>
      </c>
      <c r="O56" s="121">
        <v>0</v>
      </c>
      <c r="P56" s="121">
        <v>29673.376</v>
      </c>
      <c r="Q56" s="121">
        <v>0</v>
      </c>
      <c r="R56" s="121">
        <v>24146.815999999999</v>
      </c>
      <c r="S56" s="121">
        <v>414</v>
      </c>
      <c r="T56" s="121">
        <v>-88520.118000000002</v>
      </c>
      <c r="U56" s="121">
        <v>0</v>
      </c>
      <c r="V56" s="121">
        <v>0</v>
      </c>
      <c r="W56" s="121">
        <v>0</v>
      </c>
      <c r="X56" s="121">
        <v>0</v>
      </c>
      <c r="Y56" s="121">
        <v>-96359</v>
      </c>
      <c r="Z56" s="121">
        <v>-182889.38200000001</v>
      </c>
      <c r="AA56" s="121">
        <v>0</v>
      </c>
      <c r="AB56" s="121">
        <v>0</v>
      </c>
      <c r="AC56" s="121">
        <v>0</v>
      </c>
      <c r="AD56" s="121">
        <v>0</v>
      </c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141</v>
      </c>
      <c r="B57" t="s">
        <v>142</v>
      </c>
      <c r="C57">
        <v>14</v>
      </c>
      <c r="D57" t="s">
        <v>42</v>
      </c>
      <c r="E57" s="14">
        <v>0</v>
      </c>
      <c r="F57" s="14">
        <v>0</v>
      </c>
      <c r="G57" s="121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141</v>
      </c>
      <c r="B58" t="s">
        <v>142</v>
      </c>
      <c r="C58">
        <v>15</v>
      </c>
      <c r="D58" t="s">
        <v>43</v>
      </c>
      <c r="E58" s="14">
        <v>0</v>
      </c>
      <c r="F58" s="14">
        <v>0</v>
      </c>
      <c r="G58" s="121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141</v>
      </c>
      <c r="B59" t="s">
        <v>142</v>
      </c>
      <c r="C59">
        <v>16</v>
      </c>
      <c r="D59" t="s">
        <v>44</v>
      </c>
      <c r="E59" s="14">
        <v>0</v>
      </c>
      <c r="F59" s="14">
        <v>0</v>
      </c>
      <c r="G59" s="121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141</v>
      </c>
      <c r="B60" t="s">
        <v>142</v>
      </c>
      <c r="C60">
        <v>17</v>
      </c>
      <c r="D60" t="s">
        <v>129</v>
      </c>
      <c r="E60" s="14">
        <v>1082626</v>
      </c>
      <c r="F60" s="14">
        <v>2035336.88</v>
      </c>
      <c r="G60" s="121">
        <v>628053</v>
      </c>
      <c r="H60" s="121">
        <v>1180739.6399999999</v>
      </c>
      <c r="I60" s="124">
        <v>3708</v>
      </c>
      <c r="J60" s="121">
        <v>6971.04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1</v>
      </c>
      <c r="Z60" s="121">
        <v>1.88</v>
      </c>
      <c r="AA60" s="121">
        <v>0</v>
      </c>
      <c r="AB60" s="121">
        <v>0</v>
      </c>
      <c r="AC60" s="121">
        <v>0</v>
      </c>
      <c r="AD60" s="121">
        <v>0</v>
      </c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141</v>
      </c>
      <c r="B61" t="s">
        <v>142</v>
      </c>
      <c r="C61">
        <v>18</v>
      </c>
      <c r="D61" t="s">
        <v>130</v>
      </c>
      <c r="E61" s="14">
        <v>0</v>
      </c>
      <c r="F61" s="14">
        <v>0</v>
      </c>
      <c r="G61" s="121">
        <v>-709556</v>
      </c>
      <c r="H61" s="121">
        <v>-1333965.28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141</v>
      </c>
      <c r="B62" t="s">
        <v>142</v>
      </c>
      <c r="C62">
        <v>19</v>
      </c>
      <c r="D62" t="s">
        <v>49</v>
      </c>
      <c r="E62" s="14">
        <v>0</v>
      </c>
      <c r="F62" s="14">
        <v>0</v>
      </c>
      <c r="G62" s="121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141</v>
      </c>
      <c r="B63" t="s">
        <v>142</v>
      </c>
      <c r="C63">
        <v>20</v>
      </c>
      <c r="D63" t="s">
        <v>131</v>
      </c>
      <c r="E63" s="14">
        <v>0</v>
      </c>
      <c r="F63" s="14">
        <v>0</v>
      </c>
      <c r="G63" s="121">
        <v>-2985</v>
      </c>
      <c r="H63" s="121">
        <v>-5761.05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0</v>
      </c>
      <c r="P63" s="121">
        <v>0</v>
      </c>
      <c r="Q63" s="121">
        <v>0</v>
      </c>
      <c r="R63" s="121">
        <v>658.49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141</v>
      </c>
      <c r="B64" t="s">
        <v>142</v>
      </c>
      <c r="C64">
        <v>21</v>
      </c>
      <c r="D64" t="s">
        <v>132</v>
      </c>
      <c r="E64" s="14">
        <v>0</v>
      </c>
      <c r="F64" s="14">
        <v>0</v>
      </c>
      <c r="G64" s="121">
        <v>72836</v>
      </c>
      <c r="H64" s="121">
        <v>136931.68</v>
      </c>
      <c r="I64" s="124">
        <v>0</v>
      </c>
      <c r="J64" s="121">
        <v>0</v>
      </c>
      <c r="K64" s="121">
        <v>-72836</v>
      </c>
      <c r="L64" s="121">
        <v>-136931.68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141</v>
      </c>
      <c r="B65" t="s">
        <v>142</v>
      </c>
      <c r="C65">
        <v>22</v>
      </c>
      <c r="D65" t="s">
        <v>133</v>
      </c>
      <c r="E65" s="14">
        <v>78365</v>
      </c>
      <c r="F65" s="14">
        <v>164488.13500000001</v>
      </c>
      <c r="G65" s="121">
        <v>-75753</v>
      </c>
      <c r="H65" s="121">
        <v>-159530.56400000001</v>
      </c>
      <c r="I65" s="124">
        <v>-40863</v>
      </c>
      <c r="J65" s="121">
        <v>-77557.974000000002</v>
      </c>
      <c r="K65" s="121">
        <v>8397</v>
      </c>
      <c r="L65" s="121">
        <v>15937.505999999999</v>
      </c>
      <c r="M65" s="121">
        <v>-15582</v>
      </c>
      <c r="N65" s="121">
        <v>-29574.635999999999</v>
      </c>
      <c r="O65" s="121">
        <v>120163</v>
      </c>
      <c r="P65" s="121">
        <v>228069.37400000001</v>
      </c>
      <c r="Q65" s="121">
        <v>-144270</v>
      </c>
      <c r="R65" s="121">
        <v>-273824.46000000002</v>
      </c>
      <c r="S65" s="121">
        <v>69716</v>
      </c>
      <c r="T65" s="121">
        <v>132320.96799999999</v>
      </c>
      <c r="U65" s="121">
        <v>-70191</v>
      </c>
      <c r="V65" s="121">
        <v>-133222.51800000001</v>
      </c>
      <c r="W65" s="121">
        <v>0</v>
      </c>
      <c r="X65" s="121">
        <v>0</v>
      </c>
      <c r="Y65" s="121">
        <v>79553</v>
      </c>
      <c r="Z65" s="121">
        <v>150991.59400000001</v>
      </c>
      <c r="AA65" s="121">
        <v>-1</v>
      </c>
      <c r="AB65" s="121">
        <v>-1.8979999999999999</v>
      </c>
      <c r="AC65" s="121">
        <v>0</v>
      </c>
      <c r="AD65" s="121">
        <v>0</v>
      </c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141</v>
      </c>
      <c r="B66" t="s">
        <v>142</v>
      </c>
      <c r="C66">
        <v>23</v>
      </c>
      <c r="D66" t="s">
        <v>134</v>
      </c>
      <c r="E66" s="14">
        <v>0</v>
      </c>
      <c r="F66" s="14">
        <v>0</v>
      </c>
      <c r="G66" s="121">
        <v>-22352</v>
      </c>
      <c r="H66" s="121">
        <v>-46967.59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-983.23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141</v>
      </c>
      <c r="B67" t="s">
        <v>142</v>
      </c>
      <c r="C67">
        <v>24</v>
      </c>
      <c r="D67" t="s">
        <v>57</v>
      </c>
      <c r="E67" s="14">
        <v>0</v>
      </c>
      <c r="F67" s="14">
        <v>0</v>
      </c>
      <c r="G67" s="121">
        <v>0</v>
      </c>
      <c r="H67" s="121">
        <v>4993.28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141</v>
      </c>
      <c r="B68" t="s">
        <v>142</v>
      </c>
      <c r="C68">
        <v>25</v>
      </c>
      <c r="D68" t="s">
        <v>58</v>
      </c>
      <c r="E68" s="14">
        <v>0</v>
      </c>
      <c r="F68" s="14">
        <v>0</v>
      </c>
      <c r="G68" s="121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141</v>
      </c>
      <c r="B69" t="s">
        <v>142</v>
      </c>
      <c r="C69">
        <v>26</v>
      </c>
      <c r="D69" t="s">
        <v>135</v>
      </c>
      <c r="E69" s="14">
        <v>3944569</v>
      </c>
      <c r="F69" s="14">
        <v>79744.14</v>
      </c>
      <c r="G69" s="121">
        <v>-115120</v>
      </c>
      <c r="H69" s="121">
        <v>-3115.02</v>
      </c>
      <c r="I69" s="124">
        <v>0</v>
      </c>
      <c r="J69" s="121">
        <v>0</v>
      </c>
      <c r="K69" s="121">
        <v>60859</v>
      </c>
      <c r="L69" s="121">
        <v>0</v>
      </c>
      <c r="M69" s="121">
        <v>7535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1">
        <v>0</v>
      </c>
      <c r="T69" s="121">
        <v>-7955</v>
      </c>
      <c r="U69" s="121">
        <v>0</v>
      </c>
      <c r="V69" s="121">
        <v>0</v>
      </c>
      <c r="W69" s="121">
        <v>0</v>
      </c>
      <c r="X69" s="121">
        <v>0</v>
      </c>
      <c r="Y69" s="121">
        <v>16805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141</v>
      </c>
      <c r="B70" t="s">
        <v>142</v>
      </c>
      <c r="C70">
        <v>27</v>
      </c>
      <c r="D70" t="s">
        <v>136</v>
      </c>
      <c r="E70" s="14">
        <v>0</v>
      </c>
      <c r="F70" s="14">
        <v>0</v>
      </c>
      <c r="G70" s="121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141</v>
      </c>
      <c r="B71" t="s">
        <v>142</v>
      </c>
      <c r="C71">
        <v>28</v>
      </c>
      <c r="D71" t="s">
        <v>137</v>
      </c>
      <c r="E71" s="14">
        <v>-10791071</v>
      </c>
      <c r="F71" s="14">
        <v>-1389358.76</v>
      </c>
      <c r="G71" s="121">
        <v>-8068006</v>
      </c>
      <c r="H71" s="121">
        <v>-582130.36</v>
      </c>
      <c r="I71" s="124">
        <v>0</v>
      </c>
      <c r="J71" s="121">
        <v>11698.12</v>
      </c>
      <c r="K71" s="121">
        <v>0</v>
      </c>
      <c r="L71" s="121">
        <v>0</v>
      </c>
      <c r="M71" s="121">
        <v>0</v>
      </c>
      <c r="N71" s="121">
        <v>0</v>
      </c>
      <c r="O71" s="121">
        <v>-100000</v>
      </c>
      <c r="P71" s="121">
        <v>-10000</v>
      </c>
      <c r="Q71" s="121">
        <v>0</v>
      </c>
      <c r="R71" s="121">
        <v>461060.44</v>
      </c>
      <c r="S71" s="121">
        <v>-292</v>
      </c>
      <c r="T71" s="121">
        <v>-461089.64</v>
      </c>
      <c r="U71" s="121">
        <v>0</v>
      </c>
      <c r="V71" s="121">
        <v>-0.01</v>
      </c>
      <c r="W71" s="121">
        <v>0</v>
      </c>
      <c r="X71" s="121">
        <v>0</v>
      </c>
      <c r="Y71" s="121">
        <v>-1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141</v>
      </c>
      <c r="B72" t="s">
        <v>142</v>
      </c>
      <c r="C72">
        <v>29</v>
      </c>
      <c r="D72" t="s">
        <v>138</v>
      </c>
      <c r="E72" s="14">
        <v>10751556</v>
      </c>
      <c r="F72" s="14">
        <v>1385407.27</v>
      </c>
      <c r="G72" s="121">
        <v>6393134</v>
      </c>
      <c r="H72" s="121">
        <v>136195.31</v>
      </c>
      <c r="I72" s="124">
        <v>0</v>
      </c>
      <c r="J72" s="121">
        <v>-11811.57</v>
      </c>
      <c r="K72" s="121">
        <v>0</v>
      </c>
      <c r="L72" s="121">
        <v>0</v>
      </c>
      <c r="M72" s="121">
        <v>0</v>
      </c>
      <c r="N72" s="121">
        <v>-0.02</v>
      </c>
      <c r="O72" s="121">
        <v>100000</v>
      </c>
      <c r="P72" s="121">
        <v>10000</v>
      </c>
      <c r="Q72" s="121">
        <v>0</v>
      </c>
      <c r="R72" s="121">
        <v>-461060.43</v>
      </c>
      <c r="S72" s="121">
        <v>292</v>
      </c>
      <c r="T72" s="121">
        <v>461089.63</v>
      </c>
      <c r="U72" s="121">
        <v>0</v>
      </c>
      <c r="V72" s="121">
        <v>0</v>
      </c>
      <c r="W72" s="121">
        <v>0</v>
      </c>
      <c r="X72" s="121">
        <v>0.01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141</v>
      </c>
      <c r="B73" t="s">
        <v>142</v>
      </c>
      <c r="C73">
        <v>30</v>
      </c>
      <c r="D73" t="s">
        <v>139</v>
      </c>
      <c r="E73" s="14">
        <v>0</v>
      </c>
      <c r="F73" s="14">
        <v>0</v>
      </c>
      <c r="G73" s="121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141</v>
      </c>
      <c r="B74" t="s">
        <v>142</v>
      </c>
      <c r="C74">
        <v>31</v>
      </c>
      <c r="D74" t="s">
        <v>140</v>
      </c>
      <c r="E74" s="14">
        <v>0</v>
      </c>
      <c r="F74" s="14">
        <v>0</v>
      </c>
      <c r="G74" s="121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141</v>
      </c>
      <c r="B75" t="s">
        <v>142</v>
      </c>
      <c r="C75">
        <v>32</v>
      </c>
      <c r="D75" t="s">
        <v>72</v>
      </c>
      <c r="E75" s="14">
        <v>0</v>
      </c>
      <c r="F75" s="14">
        <v>0</v>
      </c>
      <c r="G75" s="121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141</v>
      </c>
      <c r="B76" t="s">
        <v>142</v>
      </c>
      <c r="C76">
        <v>33</v>
      </c>
      <c r="D76" t="s">
        <v>73</v>
      </c>
      <c r="E76" s="14">
        <v>0</v>
      </c>
      <c r="F76" s="14">
        <v>0</v>
      </c>
      <c r="G76" s="121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141</v>
      </c>
      <c r="B77" t="s">
        <v>142</v>
      </c>
      <c r="C77">
        <v>34</v>
      </c>
      <c r="D77" t="s">
        <v>74</v>
      </c>
      <c r="E77" s="14">
        <v>0</v>
      </c>
      <c r="F77" s="14">
        <v>0</v>
      </c>
      <c r="G77" s="121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141</v>
      </c>
      <c r="B78" t="s">
        <v>142</v>
      </c>
      <c r="C78">
        <v>35</v>
      </c>
      <c r="D78" t="s">
        <v>75</v>
      </c>
      <c r="E78" s="14">
        <v>0</v>
      </c>
      <c r="F78" s="14">
        <v>0</v>
      </c>
      <c r="G78" s="121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141</v>
      </c>
      <c r="B79" t="s">
        <v>142</v>
      </c>
      <c r="C79">
        <v>36</v>
      </c>
      <c r="D79" t="s">
        <v>76</v>
      </c>
      <c r="E79" s="14">
        <v>0</v>
      </c>
      <c r="F79" s="14">
        <v>0</v>
      </c>
      <c r="G79" s="121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141</v>
      </c>
      <c r="B80" t="s">
        <v>142</v>
      </c>
      <c r="C80">
        <v>37</v>
      </c>
      <c r="D80" t="s">
        <v>77</v>
      </c>
      <c r="E80" s="14">
        <v>0</v>
      </c>
      <c r="F80" s="14">
        <v>0</v>
      </c>
      <c r="G80" s="121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141</v>
      </c>
      <c r="B81" t="s">
        <v>142</v>
      </c>
      <c r="C81">
        <v>38</v>
      </c>
      <c r="D81" t="s">
        <v>78</v>
      </c>
      <c r="E81" s="14">
        <v>0</v>
      </c>
      <c r="F81" s="14">
        <v>0</v>
      </c>
      <c r="G81" s="121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141</v>
      </c>
      <c r="B82" t="s">
        <v>142</v>
      </c>
      <c r="C82">
        <v>39</v>
      </c>
      <c r="D82" t="s">
        <v>79</v>
      </c>
      <c r="E82" s="14">
        <v>0</v>
      </c>
      <c r="F82" s="14">
        <v>0</v>
      </c>
      <c r="G82" s="121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141</v>
      </c>
      <c r="B83" t="s">
        <v>142</v>
      </c>
      <c r="C83">
        <v>40</v>
      </c>
      <c r="D83" t="s">
        <v>80</v>
      </c>
      <c r="E83" s="14">
        <v>0</v>
      </c>
      <c r="F83" s="14">
        <v>0</v>
      </c>
      <c r="G83" s="121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143</v>
      </c>
      <c r="B84" t="s">
        <v>116</v>
      </c>
      <c r="C84">
        <v>1</v>
      </c>
      <c r="D84" t="s">
        <v>27</v>
      </c>
      <c r="E84" s="14">
        <v>0</v>
      </c>
      <c r="F84" s="14">
        <v>0</v>
      </c>
      <c r="G84" s="121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143</v>
      </c>
      <c r="B85" t="s">
        <v>116</v>
      </c>
      <c r="C85">
        <v>2</v>
      </c>
      <c r="D85" t="s">
        <v>28</v>
      </c>
      <c r="E85" s="14">
        <v>0</v>
      </c>
      <c r="F85" s="14">
        <v>0</v>
      </c>
      <c r="G85" s="121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143</v>
      </c>
      <c r="B86" t="s">
        <v>116</v>
      </c>
      <c r="C86">
        <v>3</v>
      </c>
      <c r="D86" t="s">
        <v>29</v>
      </c>
      <c r="E86" s="14">
        <v>0</v>
      </c>
      <c r="F86" s="14">
        <v>0</v>
      </c>
      <c r="G86" s="121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143</v>
      </c>
      <c r="B87" t="s">
        <v>116</v>
      </c>
      <c r="C87">
        <v>4</v>
      </c>
      <c r="D87" t="s">
        <v>30</v>
      </c>
      <c r="E87" s="14">
        <v>0</v>
      </c>
      <c r="F87" s="14">
        <v>0</v>
      </c>
      <c r="G87" s="121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143</v>
      </c>
      <c r="B88" t="s">
        <v>116</v>
      </c>
      <c r="C88">
        <v>5</v>
      </c>
      <c r="D88" t="s">
        <v>128</v>
      </c>
      <c r="E88" s="14">
        <v>0</v>
      </c>
      <c r="F88" s="14">
        <v>0</v>
      </c>
      <c r="G88" s="121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143</v>
      </c>
      <c r="B89" t="s">
        <v>116</v>
      </c>
      <c r="C89">
        <v>6</v>
      </c>
      <c r="D89" t="s">
        <v>27</v>
      </c>
      <c r="E89" s="14">
        <v>0</v>
      </c>
      <c r="F89" s="14">
        <v>0</v>
      </c>
      <c r="G89" s="121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143</v>
      </c>
      <c r="B90" t="s">
        <v>116</v>
      </c>
      <c r="C90">
        <v>7</v>
      </c>
      <c r="D90" t="s">
        <v>28</v>
      </c>
      <c r="E90" s="14">
        <v>0</v>
      </c>
      <c r="F90" s="14">
        <v>0</v>
      </c>
      <c r="G90" s="121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143</v>
      </c>
      <c r="B91" t="s">
        <v>116</v>
      </c>
      <c r="C91">
        <v>8</v>
      </c>
      <c r="D91" t="s">
        <v>29</v>
      </c>
      <c r="E91" s="14">
        <v>0</v>
      </c>
      <c r="F91" s="14">
        <v>0</v>
      </c>
      <c r="G91" s="121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143</v>
      </c>
      <c r="B92" t="s">
        <v>116</v>
      </c>
      <c r="C92">
        <v>9</v>
      </c>
      <c r="D92" t="s">
        <v>30</v>
      </c>
      <c r="E92" s="14">
        <v>0</v>
      </c>
      <c r="F92" s="14">
        <v>0</v>
      </c>
      <c r="G92" s="121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143</v>
      </c>
      <c r="B93" t="s">
        <v>116</v>
      </c>
      <c r="C93">
        <v>10</v>
      </c>
      <c r="D93" t="s">
        <v>34</v>
      </c>
      <c r="E93" s="14">
        <v>0</v>
      </c>
      <c r="F93" s="14">
        <v>0</v>
      </c>
      <c r="G93" s="121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143</v>
      </c>
      <c r="B94" t="s">
        <v>116</v>
      </c>
      <c r="C94">
        <v>11</v>
      </c>
      <c r="D94" t="s">
        <v>37</v>
      </c>
      <c r="E94" s="14">
        <v>0</v>
      </c>
      <c r="F94" s="14">
        <v>0</v>
      </c>
      <c r="G94" s="121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143</v>
      </c>
      <c r="B95" t="s">
        <v>116</v>
      </c>
      <c r="C95">
        <v>12</v>
      </c>
      <c r="D95" t="s">
        <v>38</v>
      </c>
      <c r="E95" s="14">
        <v>0</v>
      </c>
      <c r="F95" s="14">
        <v>0</v>
      </c>
      <c r="G95" s="121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143</v>
      </c>
      <c r="B96" t="s">
        <v>116</v>
      </c>
      <c r="C96">
        <v>13</v>
      </c>
      <c r="D96" t="s">
        <v>41</v>
      </c>
      <c r="E96" s="14">
        <v>0</v>
      </c>
      <c r="F96" s="14">
        <v>0</v>
      </c>
      <c r="G96" s="121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143</v>
      </c>
      <c r="B97" t="s">
        <v>116</v>
      </c>
      <c r="C97">
        <v>14</v>
      </c>
      <c r="D97" t="s">
        <v>42</v>
      </c>
      <c r="E97" s="14">
        <v>0</v>
      </c>
      <c r="F97" s="14">
        <v>0</v>
      </c>
      <c r="G97" s="121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143</v>
      </c>
      <c r="B98" t="s">
        <v>116</v>
      </c>
      <c r="C98">
        <v>15</v>
      </c>
      <c r="D98" t="s">
        <v>43</v>
      </c>
      <c r="E98" s="14">
        <v>0</v>
      </c>
      <c r="F98" s="14">
        <v>0</v>
      </c>
      <c r="G98" s="121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143</v>
      </c>
      <c r="B99" t="s">
        <v>116</v>
      </c>
      <c r="C99">
        <v>16</v>
      </c>
      <c r="D99" t="s">
        <v>44</v>
      </c>
      <c r="E99" s="14">
        <v>0</v>
      </c>
      <c r="F99" s="14">
        <v>0</v>
      </c>
      <c r="G99" s="121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143</v>
      </c>
      <c r="B100" t="s">
        <v>116</v>
      </c>
      <c r="C100">
        <v>17</v>
      </c>
      <c r="D100" t="s">
        <v>129</v>
      </c>
      <c r="E100" s="14">
        <v>0</v>
      </c>
      <c r="F100" s="14">
        <v>0</v>
      </c>
      <c r="G100" s="121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143</v>
      </c>
      <c r="B101" t="s">
        <v>116</v>
      </c>
      <c r="C101">
        <v>18</v>
      </c>
      <c r="D101" t="s">
        <v>130</v>
      </c>
      <c r="E101" s="14">
        <v>0</v>
      </c>
      <c r="F101" s="14">
        <v>0</v>
      </c>
      <c r="G101" s="121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143</v>
      </c>
      <c r="B102" t="s">
        <v>116</v>
      </c>
      <c r="C102">
        <v>19</v>
      </c>
      <c r="D102" t="s">
        <v>49</v>
      </c>
      <c r="E102" s="14">
        <v>0</v>
      </c>
      <c r="F102" s="14">
        <v>0</v>
      </c>
      <c r="G102" s="121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143</v>
      </c>
      <c r="B103" t="s">
        <v>116</v>
      </c>
      <c r="C103">
        <v>20</v>
      </c>
      <c r="D103" t="s">
        <v>131</v>
      </c>
      <c r="E103" s="14">
        <v>0</v>
      </c>
      <c r="F103" s="14">
        <v>0</v>
      </c>
      <c r="G103" s="121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143</v>
      </c>
      <c r="B104" t="s">
        <v>116</v>
      </c>
      <c r="C104">
        <v>21</v>
      </c>
      <c r="D104" t="s">
        <v>132</v>
      </c>
      <c r="E104" s="14">
        <v>0</v>
      </c>
      <c r="F104" s="14">
        <v>0</v>
      </c>
      <c r="G104" s="121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143</v>
      </c>
      <c r="B105" t="s">
        <v>116</v>
      </c>
      <c r="C105">
        <v>22</v>
      </c>
      <c r="D105" t="s">
        <v>133</v>
      </c>
      <c r="E105" s="14">
        <v>0</v>
      </c>
      <c r="F105" s="14">
        <v>0</v>
      </c>
      <c r="G105" s="121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143</v>
      </c>
      <c r="B106" t="s">
        <v>116</v>
      </c>
      <c r="C106">
        <v>23</v>
      </c>
      <c r="D106" t="s">
        <v>134</v>
      </c>
      <c r="E106" s="14">
        <v>0</v>
      </c>
      <c r="F106" s="14">
        <v>0</v>
      </c>
      <c r="G106" s="121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143</v>
      </c>
      <c r="B107" t="s">
        <v>116</v>
      </c>
      <c r="C107">
        <v>24</v>
      </c>
      <c r="D107" t="s">
        <v>57</v>
      </c>
      <c r="E107" s="14">
        <v>0</v>
      </c>
      <c r="F107" s="14">
        <v>0</v>
      </c>
      <c r="G107" s="121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143</v>
      </c>
      <c r="B108" t="s">
        <v>116</v>
      </c>
      <c r="C108">
        <v>25</v>
      </c>
      <c r="D108" t="s">
        <v>58</v>
      </c>
      <c r="E108" s="14">
        <v>0</v>
      </c>
      <c r="F108" s="14">
        <v>0</v>
      </c>
      <c r="G108" s="121">
        <v>0</v>
      </c>
      <c r="H108" s="121">
        <v>-91.15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143</v>
      </c>
      <c r="B109" t="s">
        <v>116</v>
      </c>
      <c r="C109">
        <v>26</v>
      </c>
      <c r="D109" t="s">
        <v>135</v>
      </c>
      <c r="E109" s="14">
        <v>0</v>
      </c>
      <c r="F109" s="14">
        <v>0</v>
      </c>
      <c r="G109" s="121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143</v>
      </c>
      <c r="B110" t="s">
        <v>116</v>
      </c>
      <c r="C110">
        <v>27</v>
      </c>
      <c r="D110" t="s">
        <v>136</v>
      </c>
      <c r="E110" s="14">
        <v>0</v>
      </c>
      <c r="F110" s="14">
        <v>0</v>
      </c>
      <c r="G110" s="121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143</v>
      </c>
      <c r="B111" t="s">
        <v>116</v>
      </c>
      <c r="C111">
        <v>28</v>
      </c>
      <c r="D111" t="s">
        <v>137</v>
      </c>
      <c r="E111" s="14">
        <v>0</v>
      </c>
      <c r="F111" s="14">
        <v>0</v>
      </c>
      <c r="G111" s="121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143</v>
      </c>
      <c r="B112" t="s">
        <v>116</v>
      </c>
      <c r="C112">
        <v>29</v>
      </c>
      <c r="D112" t="s">
        <v>138</v>
      </c>
      <c r="E112" s="14">
        <v>0</v>
      </c>
      <c r="F112" s="14">
        <v>0</v>
      </c>
      <c r="G112" s="121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143</v>
      </c>
      <c r="B113" t="s">
        <v>116</v>
      </c>
      <c r="C113">
        <v>30</v>
      </c>
      <c r="D113" t="s">
        <v>139</v>
      </c>
      <c r="E113" s="14">
        <v>0</v>
      </c>
      <c r="F113" s="14">
        <v>0</v>
      </c>
      <c r="G113" s="121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143</v>
      </c>
      <c r="B114" t="s">
        <v>116</v>
      </c>
      <c r="C114">
        <v>31</v>
      </c>
      <c r="D114" t="s">
        <v>140</v>
      </c>
      <c r="E114" s="14">
        <v>0</v>
      </c>
      <c r="F114" s="14">
        <v>0</v>
      </c>
      <c r="G114" s="121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143</v>
      </c>
      <c r="B115" t="s">
        <v>116</v>
      </c>
      <c r="C115">
        <v>32</v>
      </c>
      <c r="D115" t="s">
        <v>72</v>
      </c>
      <c r="E115" s="14">
        <v>0</v>
      </c>
      <c r="F115" s="14">
        <v>0</v>
      </c>
      <c r="G115" s="121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143</v>
      </c>
      <c r="B116" t="s">
        <v>116</v>
      </c>
      <c r="C116">
        <v>33</v>
      </c>
      <c r="D116" t="s">
        <v>73</v>
      </c>
      <c r="E116" s="14">
        <v>0</v>
      </c>
      <c r="F116" s="14">
        <v>0</v>
      </c>
      <c r="G116" s="121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143</v>
      </c>
      <c r="B117" t="s">
        <v>116</v>
      </c>
      <c r="C117">
        <v>34</v>
      </c>
      <c r="D117" t="s">
        <v>74</v>
      </c>
      <c r="E117" s="14">
        <v>0</v>
      </c>
      <c r="F117" s="14">
        <v>0</v>
      </c>
      <c r="G117" s="121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143</v>
      </c>
      <c r="B118" t="s">
        <v>116</v>
      </c>
      <c r="C118">
        <v>35</v>
      </c>
      <c r="D118" t="s">
        <v>75</v>
      </c>
      <c r="E118" s="14">
        <v>0</v>
      </c>
      <c r="F118" s="14">
        <v>0</v>
      </c>
      <c r="G118" s="121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143</v>
      </c>
      <c r="B119" t="s">
        <v>116</v>
      </c>
      <c r="C119">
        <v>36</v>
      </c>
      <c r="D119" t="s">
        <v>76</v>
      </c>
      <c r="E119" s="14">
        <v>0</v>
      </c>
      <c r="F119" s="14">
        <v>0</v>
      </c>
      <c r="G119" s="121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143</v>
      </c>
      <c r="B120" t="s">
        <v>116</v>
      </c>
      <c r="C120">
        <v>37</v>
      </c>
      <c r="D120" t="s">
        <v>77</v>
      </c>
      <c r="E120" s="14">
        <v>0</v>
      </c>
      <c r="F120" s="14">
        <v>0</v>
      </c>
      <c r="G120" s="121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143</v>
      </c>
      <c r="B121" t="s">
        <v>116</v>
      </c>
      <c r="C121">
        <v>38</v>
      </c>
      <c r="D121" t="s">
        <v>78</v>
      </c>
      <c r="E121" s="14">
        <v>0</v>
      </c>
      <c r="F121" s="14">
        <v>0</v>
      </c>
      <c r="G121" s="121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143</v>
      </c>
      <c r="B122" t="s">
        <v>116</v>
      </c>
      <c r="C122">
        <v>39</v>
      </c>
      <c r="D122" t="s">
        <v>79</v>
      </c>
      <c r="E122" s="14">
        <v>0</v>
      </c>
      <c r="F122" s="14">
        <v>0</v>
      </c>
      <c r="G122" s="121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143</v>
      </c>
      <c r="B123" t="s">
        <v>116</v>
      </c>
      <c r="C123">
        <v>40</v>
      </c>
      <c r="D123" t="s">
        <v>80</v>
      </c>
      <c r="E123" s="14">
        <v>0</v>
      </c>
      <c r="F123" s="14">
        <v>0</v>
      </c>
      <c r="G123" s="121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143</v>
      </c>
      <c r="B124" t="s">
        <v>144</v>
      </c>
      <c r="C124">
        <v>1</v>
      </c>
      <c r="D124" t="s">
        <v>27</v>
      </c>
      <c r="E124" s="14">
        <v>46360657</v>
      </c>
      <c r="F124" s="14">
        <v>97143887.840000004</v>
      </c>
      <c r="G124" s="121">
        <v>-446880</v>
      </c>
      <c r="H124" s="121">
        <v>-1060390.06</v>
      </c>
      <c r="I124" s="124">
        <v>301298</v>
      </c>
      <c r="J124" s="121">
        <v>390324.18</v>
      </c>
      <c r="K124" s="121">
        <v>80565</v>
      </c>
      <c r="L124" s="121">
        <v>71994</v>
      </c>
      <c r="M124" s="121">
        <v>-52283</v>
      </c>
      <c r="N124" s="121">
        <v>415245</v>
      </c>
      <c r="O124" s="121">
        <v>-15252</v>
      </c>
      <c r="P124" s="121">
        <v>-33364.639999999999</v>
      </c>
      <c r="Q124" s="121">
        <v>33</v>
      </c>
      <c r="R124" s="121">
        <v>-71790.33</v>
      </c>
      <c r="S124" s="121">
        <v>45920</v>
      </c>
      <c r="T124" s="121">
        <v>74900.070000000007</v>
      </c>
      <c r="U124" s="121">
        <v>0</v>
      </c>
      <c r="V124" s="121">
        <v>-375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143</v>
      </c>
      <c r="B125" t="s">
        <v>144</v>
      </c>
      <c r="C125">
        <v>2</v>
      </c>
      <c r="D125" t="s">
        <v>28</v>
      </c>
      <c r="E125" s="14">
        <v>0</v>
      </c>
      <c r="F125" s="14">
        <v>0</v>
      </c>
      <c r="G125" s="121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143</v>
      </c>
      <c r="B126" t="s">
        <v>144</v>
      </c>
      <c r="C126">
        <v>3</v>
      </c>
      <c r="D126" t="s">
        <v>29</v>
      </c>
      <c r="E126" s="14">
        <v>19267397</v>
      </c>
      <c r="F126" s="14">
        <v>40419816</v>
      </c>
      <c r="G126" s="121">
        <v>0</v>
      </c>
      <c r="H126" s="121">
        <v>0</v>
      </c>
      <c r="I126" s="124">
        <v>0</v>
      </c>
      <c r="J126" s="121">
        <v>0</v>
      </c>
      <c r="K126" s="121">
        <v>0</v>
      </c>
      <c r="L126" s="121">
        <v>0</v>
      </c>
      <c r="M126" s="121">
        <v>0</v>
      </c>
      <c r="N126" s="121">
        <v>0</v>
      </c>
      <c r="O126" s="121">
        <v>0</v>
      </c>
      <c r="P126" s="121">
        <v>0</v>
      </c>
      <c r="Q126" s="121">
        <v>1878778</v>
      </c>
      <c r="R126" s="121">
        <v>3852752</v>
      </c>
      <c r="S126" s="121">
        <v>1878778</v>
      </c>
      <c r="T126" s="121">
        <v>3852752</v>
      </c>
      <c r="U126" s="121">
        <v>-3757556</v>
      </c>
      <c r="V126" s="121">
        <v>-7705504</v>
      </c>
      <c r="W126" s="121">
        <v>0</v>
      </c>
      <c r="X126" s="121">
        <v>0</v>
      </c>
      <c r="Y126" s="121">
        <v>0</v>
      </c>
      <c r="Z126" s="121">
        <v>0</v>
      </c>
      <c r="AA126" s="121">
        <v>1631858</v>
      </c>
      <c r="AB126" s="121">
        <v>3388224</v>
      </c>
      <c r="AC126" s="121">
        <v>0</v>
      </c>
      <c r="AD126" s="121">
        <v>0</v>
      </c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143</v>
      </c>
      <c r="B127" t="s">
        <v>144</v>
      </c>
      <c r="C127">
        <v>4</v>
      </c>
      <c r="D127" t="s">
        <v>30</v>
      </c>
      <c r="E127" s="14">
        <v>0</v>
      </c>
      <c r="F127" s="14">
        <v>0</v>
      </c>
      <c r="G127" s="121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143</v>
      </c>
      <c r="B128" t="s">
        <v>144</v>
      </c>
      <c r="C128">
        <v>5</v>
      </c>
      <c r="D128" t="s">
        <v>128</v>
      </c>
      <c r="E128" s="14">
        <v>0</v>
      </c>
      <c r="F128" s="14">
        <v>0</v>
      </c>
      <c r="G128" s="121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143</v>
      </c>
      <c r="B129" t="s">
        <v>144</v>
      </c>
      <c r="C129">
        <v>6</v>
      </c>
      <c r="D129" t="s">
        <v>27</v>
      </c>
      <c r="E129" s="14">
        <v>-44374767</v>
      </c>
      <c r="F129" s="14">
        <v>-83443360.24000001</v>
      </c>
      <c r="G129" s="121">
        <v>44071</v>
      </c>
      <c r="H129" s="121">
        <v>567450.30000000005</v>
      </c>
      <c r="I129" s="124">
        <v>-182418</v>
      </c>
      <c r="J129" s="121">
        <v>-373335.58</v>
      </c>
      <c r="K129" s="121">
        <v>-100837</v>
      </c>
      <c r="L129" s="121">
        <v>-101924</v>
      </c>
      <c r="M129" s="121">
        <v>39978</v>
      </c>
      <c r="N129" s="121">
        <v>-16000</v>
      </c>
      <c r="O129" s="121">
        <v>34805</v>
      </c>
      <c r="P129" s="121">
        <v>399645.54</v>
      </c>
      <c r="Q129" s="121">
        <v>-25629</v>
      </c>
      <c r="R129" s="121">
        <v>1450.03</v>
      </c>
      <c r="S129" s="121">
        <v>-118127</v>
      </c>
      <c r="T129" s="121">
        <v>-202623.77</v>
      </c>
      <c r="U129" s="121">
        <v>0</v>
      </c>
      <c r="V129" s="121">
        <v>-272852.2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143</v>
      </c>
      <c r="B130" t="s">
        <v>144</v>
      </c>
      <c r="C130">
        <v>7</v>
      </c>
      <c r="D130" t="s">
        <v>28</v>
      </c>
      <c r="E130" s="14">
        <v>0</v>
      </c>
      <c r="F130" s="14">
        <v>0</v>
      </c>
      <c r="G130" s="121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143</v>
      </c>
      <c r="B131" t="s">
        <v>144</v>
      </c>
      <c r="C131">
        <v>8</v>
      </c>
      <c r="D131" t="s">
        <v>29</v>
      </c>
      <c r="E131" s="14">
        <v>-20710869</v>
      </c>
      <c r="F131" s="14">
        <v>-43021113</v>
      </c>
      <c r="G131" s="121">
        <v>0</v>
      </c>
      <c r="H131" s="121">
        <v>0</v>
      </c>
      <c r="I131" s="124">
        <v>0</v>
      </c>
      <c r="J131" s="121">
        <v>0</v>
      </c>
      <c r="K131" s="121">
        <v>0</v>
      </c>
      <c r="L131" s="121">
        <v>0</v>
      </c>
      <c r="M131" s="121">
        <v>1116</v>
      </c>
      <c r="N131" s="121">
        <v>2691</v>
      </c>
      <c r="O131" s="121">
        <v>0</v>
      </c>
      <c r="P131" s="121">
        <v>0</v>
      </c>
      <c r="Q131" s="121">
        <v>-1878778</v>
      </c>
      <c r="R131" s="121">
        <v>-3852752</v>
      </c>
      <c r="S131" s="121">
        <v>-1878778</v>
      </c>
      <c r="T131" s="121">
        <v>-3852752</v>
      </c>
      <c r="U131" s="121">
        <v>3756440</v>
      </c>
      <c r="V131" s="121">
        <v>7702813</v>
      </c>
      <c r="W131" s="121">
        <v>0</v>
      </c>
      <c r="X131" s="121">
        <v>0</v>
      </c>
      <c r="Y131" s="121">
        <v>0</v>
      </c>
      <c r="Z131" s="121">
        <v>0</v>
      </c>
      <c r="AA131" s="121">
        <v>-1633020</v>
      </c>
      <c r="AB131" s="121">
        <v>-3390920</v>
      </c>
      <c r="AC131" s="121">
        <v>0</v>
      </c>
      <c r="AD131" s="121">
        <v>0</v>
      </c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143</v>
      </c>
      <c r="B132" t="s">
        <v>144</v>
      </c>
      <c r="C132">
        <v>9</v>
      </c>
      <c r="D132" t="s">
        <v>30</v>
      </c>
      <c r="E132" s="14">
        <v>0</v>
      </c>
      <c r="F132" s="14">
        <v>0</v>
      </c>
      <c r="G132" s="121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143</v>
      </c>
      <c r="B133" t="s">
        <v>144</v>
      </c>
      <c r="C133">
        <v>10</v>
      </c>
      <c r="D133" t="s">
        <v>34</v>
      </c>
      <c r="E133" s="14">
        <v>512171</v>
      </c>
      <c r="F133" s="14">
        <v>915249.58</v>
      </c>
      <c r="G133" s="121">
        <v>-33556</v>
      </c>
      <c r="H133" s="121">
        <v>-59964.576000000001</v>
      </c>
      <c r="I133" s="124">
        <v>147879</v>
      </c>
      <c r="J133" s="121">
        <v>264259.77500000002</v>
      </c>
      <c r="K133" s="121">
        <v>0</v>
      </c>
      <c r="L133" s="121">
        <v>0</v>
      </c>
      <c r="M133" s="121">
        <v>94</v>
      </c>
      <c r="N133" s="121">
        <v>167.97800000000001</v>
      </c>
      <c r="O133" s="121">
        <v>0</v>
      </c>
      <c r="P133" s="121">
        <v>0</v>
      </c>
      <c r="Q133" s="121">
        <v>0</v>
      </c>
      <c r="R133" s="121">
        <v>0</v>
      </c>
      <c r="S133" s="121">
        <v>6699</v>
      </c>
      <c r="T133" s="121">
        <v>11971.112999999999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143</v>
      </c>
      <c r="B134" t="s">
        <v>144</v>
      </c>
      <c r="C134">
        <v>11</v>
      </c>
      <c r="D134" t="s">
        <v>37</v>
      </c>
      <c r="E134" s="14">
        <v>126060</v>
      </c>
      <c r="F134" s="14">
        <v>268198.36</v>
      </c>
      <c r="G134" s="121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143</v>
      </c>
      <c r="B135" t="s">
        <v>144</v>
      </c>
      <c r="C135">
        <v>12</v>
      </c>
      <c r="D135" t="s">
        <v>38</v>
      </c>
      <c r="E135" s="14">
        <v>-18000</v>
      </c>
      <c r="F135" s="14">
        <v>-32308.2</v>
      </c>
      <c r="G135" s="121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143</v>
      </c>
      <c r="B136" t="s">
        <v>144</v>
      </c>
      <c r="C136">
        <v>13</v>
      </c>
      <c r="D136" t="s">
        <v>41</v>
      </c>
      <c r="E136" s="14">
        <v>12526</v>
      </c>
      <c r="F136" s="14">
        <v>22383.96</v>
      </c>
      <c r="G136" s="121">
        <v>-139082</v>
      </c>
      <c r="H136" s="121">
        <v>-263881.90000000002</v>
      </c>
      <c r="I136" s="124">
        <v>27480</v>
      </c>
      <c r="J136" s="121">
        <v>27315.438600000001</v>
      </c>
      <c r="K136" s="121">
        <v>-31289</v>
      </c>
      <c r="L136" s="121">
        <v>-69653.996599999999</v>
      </c>
      <c r="M136" s="121">
        <v>-34633</v>
      </c>
      <c r="N136" s="121">
        <v>69368.303</v>
      </c>
      <c r="O136" s="121">
        <v>79035</v>
      </c>
      <c r="P136" s="121">
        <v>33891.656999999999</v>
      </c>
      <c r="Q136" s="121">
        <v>-95338</v>
      </c>
      <c r="R136" s="121">
        <v>-180513.95300000001</v>
      </c>
      <c r="S136" s="121">
        <v>-277476</v>
      </c>
      <c r="T136" s="121">
        <v>-496077.00200000004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143</v>
      </c>
      <c r="B137" t="s">
        <v>144</v>
      </c>
      <c r="C137">
        <v>14</v>
      </c>
      <c r="D137" t="s">
        <v>42</v>
      </c>
      <c r="E137" s="14">
        <v>0</v>
      </c>
      <c r="F137" s="14">
        <v>0</v>
      </c>
      <c r="G137" s="121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0</v>
      </c>
      <c r="P137" s="121">
        <v>0</v>
      </c>
      <c r="Q137" s="121">
        <v>-6293</v>
      </c>
      <c r="R137" s="121">
        <v>-14144.23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143</v>
      </c>
      <c r="B138" t="s">
        <v>144</v>
      </c>
      <c r="C138">
        <v>15</v>
      </c>
      <c r="D138" t="s">
        <v>43</v>
      </c>
      <c r="E138" s="14">
        <v>0</v>
      </c>
      <c r="F138" s="14">
        <v>0</v>
      </c>
      <c r="G138" s="121">
        <v>-2421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11870</v>
      </c>
      <c r="R138" s="121">
        <v>26378.7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143</v>
      </c>
      <c r="B139" t="s">
        <v>144</v>
      </c>
      <c r="C139">
        <v>16</v>
      </c>
      <c r="D139" t="s">
        <v>44</v>
      </c>
      <c r="E139" s="14">
        <v>0</v>
      </c>
      <c r="F139" s="14">
        <v>0</v>
      </c>
      <c r="G139" s="121">
        <v>714507</v>
      </c>
      <c r="H139" s="121">
        <v>0</v>
      </c>
      <c r="I139" s="124">
        <v>433368</v>
      </c>
      <c r="J139" s="121">
        <v>0</v>
      </c>
      <c r="K139" s="121">
        <v>-720</v>
      </c>
      <c r="L139" s="121">
        <v>0</v>
      </c>
      <c r="M139" s="121">
        <v>-1147155</v>
      </c>
      <c r="N139" s="121">
        <v>-0.01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143</v>
      </c>
      <c r="B140" t="s">
        <v>144</v>
      </c>
      <c r="C140">
        <v>17</v>
      </c>
      <c r="D140" t="s">
        <v>129</v>
      </c>
      <c r="E140" s="14">
        <v>0</v>
      </c>
      <c r="F140" s="14">
        <v>0</v>
      </c>
      <c r="G140" s="121">
        <v>0</v>
      </c>
      <c r="H140" s="121">
        <v>0</v>
      </c>
      <c r="I140" s="124">
        <v>0</v>
      </c>
      <c r="J140" s="121">
        <v>0</v>
      </c>
      <c r="K140" s="121">
        <v>290000</v>
      </c>
      <c r="L140" s="121">
        <v>518230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143</v>
      </c>
      <c r="B141" t="s">
        <v>144</v>
      </c>
      <c r="C141">
        <v>18</v>
      </c>
      <c r="D141" t="s">
        <v>130</v>
      </c>
      <c r="E141" s="14">
        <v>-55538</v>
      </c>
      <c r="F141" s="14">
        <v>-62390.28</v>
      </c>
      <c r="G141" s="121">
        <v>55529</v>
      </c>
      <c r="H141" s="121">
        <v>62359.51</v>
      </c>
      <c r="I141" s="124">
        <v>1</v>
      </c>
      <c r="J141" s="121">
        <v>0.01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143</v>
      </c>
      <c r="B142" t="s">
        <v>144</v>
      </c>
      <c r="C142">
        <v>19</v>
      </c>
      <c r="D142" t="s">
        <v>49</v>
      </c>
      <c r="E142" s="14">
        <v>0</v>
      </c>
      <c r="F142" s="14">
        <v>0</v>
      </c>
      <c r="G142" s="121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143</v>
      </c>
      <c r="B143" t="s">
        <v>144</v>
      </c>
      <c r="C143">
        <v>20</v>
      </c>
      <c r="D143" t="s">
        <v>131</v>
      </c>
      <c r="E143" s="14">
        <v>0</v>
      </c>
      <c r="F143" s="14">
        <v>0</v>
      </c>
      <c r="G143" s="121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143</v>
      </c>
      <c r="B144" t="s">
        <v>144</v>
      </c>
      <c r="C144">
        <v>21</v>
      </c>
      <c r="D144" t="s">
        <v>132</v>
      </c>
      <c r="E144" s="14">
        <v>0</v>
      </c>
      <c r="F144" s="14">
        <v>0</v>
      </c>
      <c r="G144" s="121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143</v>
      </c>
      <c r="B145" t="s">
        <v>144</v>
      </c>
      <c r="C145">
        <v>22</v>
      </c>
      <c r="D145" t="s">
        <v>133</v>
      </c>
      <c r="E145" s="14">
        <v>-1119637</v>
      </c>
      <c r="F145" s="14">
        <v>-2000791.3189999999</v>
      </c>
      <c r="G145" s="121">
        <v>-192168</v>
      </c>
      <c r="H145" s="121">
        <v>-343404.21600000025</v>
      </c>
      <c r="I145" s="124">
        <v>-727608</v>
      </c>
      <c r="J145" s="121">
        <v>-1300235.496</v>
      </c>
      <c r="K145" s="121">
        <v>-237719</v>
      </c>
      <c r="L145" s="121">
        <v>-424803.853</v>
      </c>
      <c r="M145" s="121">
        <v>1192883</v>
      </c>
      <c r="N145" s="121">
        <v>2131681.9210000001</v>
      </c>
      <c r="O145" s="121">
        <v>-98588</v>
      </c>
      <c r="P145" s="121">
        <v>-176176.75599999999</v>
      </c>
      <c r="Q145" s="121">
        <v>115357</v>
      </c>
      <c r="R145" s="121">
        <v>206142.959</v>
      </c>
      <c r="S145" s="121">
        <v>342984</v>
      </c>
      <c r="T145" s="121">
        <v>612912.40800000005</v>
      </c>
      <c r="U145" s="121">
        <v>1116</v>
      </c>
      <c r="V145" s="121">
        <v>1994.2919999999999</v>
      </c>
      <c r="W145" s="121">
        <v>0</v>
      </c>
      <c r="X145" s="121">
        <v>0</v>
      </c>
      <c r="Y145" s="121">
        <v>0</v>
      </c>
      <c r="Z145" s="121">
        <v>0</v>
      </c>
      <c r="AA145" s="121">
        <v>1162</v>
      </c>
      <c r="AB145" s="121">
        <v>1825.502</v>
      </c>
      <c r="AC145" s="121">
        <v>0</v>
      </c>
      <c r="AD145" s="121">
        <v>0</v>
      </c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143</v>
      </c>
      <c r="B146" t="s">
        <v>144</v>
      </c>
      <c r="C146">
        <v>23</v>
      </c>
      <c r="D146" t="s">
        <v>134</v>
      </c>
      <c r="E146" s="14">
        <v>-512171</v>
      </c>
      <c r="F146" s="14">
        <v>-915249.58</v>
      </c>
      <c r="G146" s="121">
        <v>33556</v>
      </c>
      <c r="H146" s="121">
        <v>59964.576000000001</v>
      </c>
      <c r="I146" s="124">
        <v>-147879</v>
      </c>
      <c r="J146" s="121">
        <v>-264259.77500000002</v>
      </c>
      <c r="K146" s="121">
        <v>0</v>
      </c>
      <c r="L146" s="121">
        <v>0</v>
      </c>
      <c r="M146" s="121">
        <v>-94</v>
      </c>
      <c r="N146" s="121">
        <v>-167.97800000000001</v>
      </c>
      <c r="O146" s="121">
        <v>0</v>
      </c>
      <c r="P146" s="121">
        <v>0</v>
      </c>
      <c r="Q146" s="121">
        <v>0</v>
      </c>
      <c r="R146" s="121">
        <v>0</v>
      </c>
      <c r="S146" s="121">
        <v>-6699</v>
      </c>
      <c r="T146" s="121">
        <v>-11971.112999999999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143</v>
      </c>
      <c r="B147" t="s">
        <v>144</v>
      </c>
      <c r="C147">
        <v>24</v>
      </c>
      <c r="D147" t="s">
        <v>57</v>
      </c>
      <c r="E147" s="14">
        <v>0</v>
      </c>
      <c r="F147" s="14">
        <v>-4420.76</v>
      </c>
      <c r="G147" s="121">
        <v>-20104332</v>
      </c>
      <c r="H147" s="121">
        <v>-2543768.41</v>
      </c>
      <c r="I147" s="124">
        <v>-2316765</v>
      </c>
      <c r="J147" s="121">
        <v>-351219.84</v>
      </c>
      <c r="K147" s="121">
        <v>4212263</v>
      </c>
      <c r="L147" s="121">
        <v>2749.64</v>
      </c>
      <c r="M147" s="121">
        <v>-8986501</v>
      </c>
      <c r="N147" s="121">
        <v>70151.69</v>
      </c>
      <c r="O147" s="121">
        <v>2662619</v>
      </c>
      <c r="P147" s="121">
        <v>18693.509999999998</v>
      </c>
      <c r="Q147" s="121">
        <v>-26617</v>
      </c>
      <c r="R147" s="121">
        <v>844.83</v>
      </c>
      <c r="S147" s="121">
        <v>-541922</v>
      </c>
      <c r="T147" s="121">
        <v>-97245.3</v>
      </c>
      <c r="U147" s="121">
        <v>0</v>
      </c>
      <c r="V147" s="121">
        <v>-2048.86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143</v>
      </c>
      <c r="B148" t="s">
        <v>144</v>
      </c>
      <c r="C148">
        <v>25</v>
      </c>
      <c r="D148" t="s">
        <v>58</v>
      </c>
      <c r="E148" s="14">
        <v>0</v>
      </c>
      <c r="F148" s="14">
        <v>0</v>
      </c>
      <c r="G148" s="121">
        <v>0</v>
      </c>
      <c r="H148" s="121">
        <v>0</v>
      </c>
      <c r="I148" s="124">
        <v>0</v>
      </c>
      <c r="J148" s="121">
        <v>-1120728.48</v>
      </c>
      <c r="K148" s="121">
        <v>0</v>
      </c>
      <c r="L148" s="121">
        <v>0</v>
      </c>
      <c r="M148" s="121">
        <v>0</v>
      </c>
      <c r="N148" s="121">
        <v>0</v>
      </c>
      <c r="O148" s="121">
        <v>0</v>
      </c>
      <c r="P148" s="121">
        <v>0</v>
      </c>
      <c r="Q148" s="121">
        <v>0</v>
      </c>
      <c r="R148" s="121">
        <v>-44250</v>
      </c>
      <c r="S148" s="121">
        <v>0</v>
      </c>
      <c r="T148" s="121">
        <v>43344.4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143</v>
      </c>
      <c r="B149" t="s">
        <v>144</v>
      </c>
      <c r="C149">
        <v>26</v>
      </c>
      <c r="D149" t="s">
        <v>135</v>
      </c>
      <c r="E149" s="14">
        <v>0</v>
      </c>
      <c r="F149" s="14">
        <v>0</v>
      </c>
      <c r="G149" s="121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143</v>
      </c>
      <c r="B150" t="s">
        <v>144</v>
      </c>
      <c r="C150">
        <v>27</v>
      </c>
      <c r="D150" t="s">
        <v>136</v>
      </c>
      <c r="E150" s="14">
        <v>0</v>
      </c>
      <c r="F150" s="14">
        <v>0</v>
      </c>
      <c r="G150" s="121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143</v>
      </c>
      <c r="B151" t="s">
        <v>144</v>
      </c>
      <c r="C151">
        <v>28</v>
      </c>
      <c r="D151" t="s">
        <v>137</v>
      </c>
      <c r="E151" s="14">
        <v>0</v>
      </c>
      <c r="F151" s="14">
        <v>0</v>
      </c>
      <c r="G151" s="121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143</v>
      </c>
      <c r="B152" t="s">
        <v>144</v>
      </c>
      <c r="C152">
        <v>29</v>
      </c>
      <c r="D152" t="s">
        <v>138</v>
      </c>
      <c r="E152" s="14">
        <v>0</v>
      </c>
      <c r="F152" s="14">
        <v>0</v>
      </c>
      <c r="G152" s="121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143</v>
      </c>
      <c r="B153" t="s">
        <v>144</v>
      </c>
      <c r="C153">
        <v>30</v>
      </c>
      <c r="D153" t="s">
        <v>139</v>
      </c>
      <c r="E153" s="14">
        <v>0</v>
      </c>
      <c r="F153" s="14">
        <v>0</v>
      </c>
      <c r="G153" s="121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143</v>
      </c>
      <c r="B154" t="s">
        <v>144</v>
      </c>
      <c r="C154">
        <v>31</v>
      </c>
      <c r="D154" t="s">
        <v>140</v>
      </c>
      <c r="E154" s="14">
        <v>0</v>
      </c>
      <c r="F154" s="14">
        <v>0</v>
      </c>
      <c r="G154" s="121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143</v>
      </c>
      <c r="B155" t="s">
        <v>144</v>
      </c>
      <c r="C155">
        <v>32</v>
      </c>
      <c r="D155" t="s">
        <v>72</v>
      </c>
      <c r="E155" s="14">
        <v>0</v>
      </c>
      <c r="F155" s="14">
        <v>0</v>
      </c>
      <c r="G155" s="121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143</v>
      </c>
      <c r="B156" t="s">
        <v>144</v>
      </c>
      <c r="C156">
        <v>33</v>
      </c>
      <c r="D156" t="s">
        <v>73</v>
      </c>
      <c r="E156" s="14">
        <v>0</v>
      </c>
      <c r="F156" s="14">
        <v>0</v>
      </c>
      <c r="G156" s="121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143</v>
      </c>
      <c r="B157" t="s">
        <v>144</v>
      </c>
      <c r="C157">
        <v>34</v>
      </c>
      <c r="D157" t="s">
        <v>74</v>
      </c>
      <c r="E157" s="14">
        <v>0</v>
      </c>
      <c r="F157" s="14">
        <v>0</v>
      </c>
      <c r="G157" s="121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143</v>
      </c>
      <c r="B158" t="s">
        <v>144</v>
      </c>
      <c r="C158">
        <v>35</v>
      </c>
      <c r="D158" t="s">
        <v>75</v>
      </c>
      <c r="E158" s="14">
        <v>0</v>
      </c>
      <c r="F158" s="14">
        <v>-18747.939999999999</v>
      </c>
      <c r="G158" s="121">
        <v>0</v>
      </c>
      <c r="H158" s="121">
        <v>-365</v>
      </c>
      <c r="I158" s="124">
        <v>0</v>
      </c>
      <c r="J158" s="121">
        <v>0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645.5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143</v>
      </c>
      <c r="B159" t="s">
        <v>144</v>
      </c>
      <c r="C159">
        <v>36</v>
      </c>
      <c r="D159" t="s">
        <v>76</v>
      </c>
      <c r="E159" s="14">
        <v>0</v>
      </c>
      <c r="F159" s="14">
        <v>0</v>
      </c>
      <c r="G159" s="121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143</v>
      </c>
      <c r="B160" t="s">
        <v>144</v>
      </c>
      <c r="C160">
        <v>37</v>
      </c>
      <c r="D160" t="s">
        <v>77</v>
      </c>
      <c r="E160" s="14">
        <v>0</v>
      </c>
      <c r="F160" s="14">
        <v>0</v>
      </c>
      <c r="G160" s="121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143</v>
      </c>
      <c r="B161" t="s">
        <v>144</v>
      </c>
      <c r="C161">
        <v>38</v>
      </c>
      <c r="D161" t="s">
        <v>78</v>
      </c>
      <c r="E161" s="14">
        <v>0</v>
      </c>
      <c r="F161" s="14">
        <v>0</v>
      </c>
      <c r="G161" s="121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143</v>
      </c>
      <c r="B162" t="s">
        <v>144</v>
      </c>
      <c r="C162">
        <v>39</v>
      </c>
      <c r="D162" t="s">
        <v>79</v>
      </c>
      <c r="E162" s="14">
        <v>0</v>
      </c>
      <c r="F162" s="14">
        <v>0</v>
      </c>
      <c r="G162" s="121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143</v>
      </c>
      <c r="B163" t="s">
        <v>144</v>
      </c>
      <c r="C163">
        <v>40</v>
      </c>
      <c r="D163" t="s">
        <v>80</v>
      </c>
      <c r="E163" s="14">
        <v>0</v>
      </c>
      <c r="F163" s="14">
        <v>0</v>
      </c>
      <c r="G163" s="121">
        <v>0</v>
      </c>
      <c r="H163" s="121">
        <v>0</v>
      </c>
      <c r="I163" s="124">
        <v>0</v>
      </c>
      <c r="J163" s="121">
        <v>14063.12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143</v>
      </c>
      <c r="B164" t="s">
        <v>145</v>
      </c>
      <c r="C164">
        <v>1</v>
      </c>
      <c r="D164" t="s">
        <v>27</v>
      </c>
      <c r="E164" s="14">
        <v>80993112</v>
      </c>
      <c r="F164" s="14">
        <v>159080999.16</v>
      </c>
      <c r="G164" s="121">
        <v>-309217</v>
      </c>
      <c r="H164" s="121">
        <v>15083449.879999999</v>
      </c>
      <c r="I164" s="124">
        <v>-198</v>
      </c>
      <c r="J164" s="121">
        <v>-191798.25</v>
      </c>
      <c r="K164" s="121">
        <v>-2136851</v>
      </c>
      <c r="L164" s="121">
        <v>-2619247.44</v>
      </c>
      <c r="M164" s="121">
        <v>-61</v>
      </c>
      <c r="N164" s="121">
        <v>16850.38</v>
      </c>
      <c r="O164" s="121">
        <v>0</v>
      </c>
      <c r="P164" s="121">
        <v>120</v>
      </c>
      <c r="Q164" s="121">
        <v>-8460</v>
      </c>
      <c r="R164" s="121">
        <v>-9545180.5999999996</v>
      </c>
      <c r="S164" s="121">
        <v>0</v>
      </c>
      <c r="T164" s="121">
        <v>0</v>
      </c>
      <c r="U164" s="121">
        <v>0</v>
      </c>
      <c r="V164" s="121">
        <v>0</v>
      </c>
      <c r="W164" s="121">
        <v>-2926</v>
      </c>
      <c r="X164" s="121">
        <v>-36085.03</v>
      </c>
      <c r="Y164" s="121">
        <v>932</v>
      </c>
      <c r="Z164" s="121">
        <v>13035.27</v>
      </c>
      <c r="AA164" s="121">
        <v>-1038</v>
      </c>
      <c r="AB164" s="121">
        <v>-5037.66</v>
      </c>
      <c r="AC164" s="121">
        <v>14146</v>
      </c>
      <c r="AD164" s="121">
        <v>26556.49</v>
      </c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143</v>
      </c>
      <c r="B165" t="s">
        <v>145</v>
      </c>
      <c r="C165">
        <v>2</v>
      </c>
      <c r="D165" t="s">
        <v>28</v>
      </c>
      <c r="E165" s="14">
        <v>0</v>
      </c>
      <c r="F165" s="14">
        <v>0</v>
      </c>
      <c r="G165" s="121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143</v>
      </c>
      <c r="B166" t="s">
        <v>145</v>
      </c>
      <c r="C166">
        <v>3</v>
      </c>
      <c r="D166" t="s">
        <v>29</v>
      </c>
      <c r="E166" s="14">
        <v>46521011</v>
      </c>
      <c r="F166" s="14">
        <v>97011870</v>
      </c>
      <c r="G166" s="121">
        <v>-202938</v>
      </c>
      <c r="H166" s="121">
        <v>-425356</v>
      </c>
      <c r="I166" s="124">
        <v>0</v>
      </c>
      <c r="J166" s="121">
        <v>0</v>
      </c>
      <c r="K166" s="121">
        <v>0</v>
      </c>
      <c r="L166" s="121">
        <v>0</v>
      </c>
      <c r="M166" s="121">
        <v>46</v>
      </c>
      <c r="N166" s="121">
        <v>10002</v>
      </c>
      <c r="O166" s="121">
        <v>0</v>
      </c>
      <c r="P166" s="121">
        <v>0</v>
      </c>
      <c r="Q166" s="121">
        <v>1416416</v>
      </c>
      <c r="R166" s="121">
        <v>2756660</v>
      </c>
      <c r="S166" s="121">
        <v>1801916</v>
      </c>
      <c r="T166" s="121">
        <v>3575228</v>
      </c>
      <c r="U166" s="121">
        <v>-3015440</v>
      </c>
      <c r="V166" s="121">
        <v>-5916534</v>
      </c>
      <c r="W166" s="121">
        <v>3757556</v>
      </c>
      <c r="X166" s="121">
        <v>7705504</v>
      </c>
      <c r="Y166" s="121">
        <v>0</v>
      </c>
      <c r="Z166" s="121">
        <v>0</v>
      </c>
      <c r="AA166" s="121">
        <v>-3757556</v>
      </c>
      <c r="AB166" s="121">
        <v>-7705504</v>
      </c>
      <c r="AC166" s="121">
        <v>0</v>
      </c>
      <c r="AD166" s="121">
        <v>0</v>
      </c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143</v>
      </c>
      <c r="B167" t="s">
        <v>145</v>
      </c>
      <c r="C167">
        <v>4</v>
      </c>
      <c r="D167" t="s">
        <v>30</v>
      </c>
      <c r="E167" s="14">
        <v>0</v>
      </c>
      <c r="F167" s="14">
        <v>0</v>
      </c>
      <c r="G167" s="121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143</v>
      </c>
      <c r="B168" t="s">
        <v>145</v>
      </c>
      <c r="C168">
        <v>5</v>
      </c>
      <c r="D168" t="s">
        <v>128</v>
      </c>
      <c r="E168" s="14">
        <v>0</v>
      </c>
      <c r="F168" s="14">
        <v>0</v>
      </c>
      <c r="G168" s="121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143</v>
      </c>
      <c r="B169" t="s">
        <v>145</v>
      </c>
      <c r="C169">
        <v>6</v>
      </c>
      <c r="D169" t="s">
        <v>27</v>
      </c>
      <c r="E169" s="14">
        <v>-90485648</v>
      </c>
      <c r="F169" s="14">
        <v>-172573687.00000003</v>
      </c>
      <c r="G169" s="121">
        <v>149503</v>
      </c>
      <c r="H169" s="121">
        <v>-2614942.09</v>
      </c>
      <c r="I169" s="124">
        <v>-181198</v>
      </c>
      <c r="J169" s="121">
        <v>-290854.27</v>
      </c>
      <c r="K169" s="121">
        <v>3129818</v>
      </c>
      <c r="L169" s="121">
        <v>3862462.79</v>
      </c>
      <c r="M169" s="121">
        <v>326</v>
      </c>
      <c r="N169" s="121">
        <v>-16412.310000000001</v>
      </c>
      <c r="O169" s="121">
        <v>-1397</v>
      </c>
      <c r="P169" s="121">
        <v>-2674.59</v>
      </c>
      <c r="Q169" s="121">
        <v>17806</v>
      </c>
      <c r="R169" s="121">
        <v>-185330.28</v>
      </c>
      <c r="S169" s="121">
        <v>0</v>
      </c>
      <c r="T169" s="121">
        <v>0</v>
      </c>
      <c r="U169" s="121">
        <v>0</v>
      </c>
      <c r="V169" s="121">
        <v>0</v>
      </c>
      <c r="W169" s="121">
        <v>-151170</v>
      </c>
      <c r="X169" s="121">
        <v>-419930.56</v>
      </c>
      <c r="Y169" s="121">
        <v>10</v>
      </c>
      <c r="Z169" s="121">
        <v>25</v>
      </c>
      <c r="AA169" s="121">
        <v>149702</v>
      </c>
      <c r="AB169" s="121">
        <v>294592.68</v>
      </c>
      <c r="AC169" s="121">
        <v>219338</v>
      </c>
      <c r="AD169" s="121">
        <v>384004.21</v>
      </c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143</v>
      </c>
      <c r="B170" t="s">
        <v>145</v>
      </c>
      <c r="C170">
        <v>7</v>
      </c>
      <c r="D170" t="s">
        <v>28</v>
      </c>
      <c r="E170" s="14">
        <v>0</v>
      </c>
      <c r="F170" s="14">
        <v>0</v>
      </c>
      <c r="G170" s="121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143</v>
      </c>
      <c r="B171" t="s">
        <v>145</v>
      </c>
      <c r="C171">
        <v>8</v>
      </c>
      <c r="D171" t="s">
        <v>29</v>
      </c>
      <c r="E171" s="14">
        <v>-36200601</v>
      </c>
      <c r="F171" s="14">
        <v>-77799344</v>
      </c>
      <c r="G171" s="121">
        <v>403986</v>
      </c>
      <c r="H171" s="121">
        <v>757446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0</v>
      </c>
      <c r="P171" s="121">
        <v>0</v>
      </c>
      <c r="Q171" s="121">
        <v>-1416416</v>
      </c>
      <c r="R171" s="121">
        <v>-2756660</v>
      </c>
      <c r="S171" s="121">
        <v>-1801916</v>
      </c>
      <c r="T171" s="121">
        <v>-3575228</v>
      </c>
      <c r="U171" s="121">
        <v>2814346</v>
      </c>
      <c r="V171" s="121">
        <v>5574442</v>
      </c>
      <c r="W171" s="121">
        <v>-3756440</v>
      </c>
      <c r="X171" s="121">
        <v>-7702813</v>
      </c>
      <c r="Y171" s="121">
        <v>0</v>
      </c>
      <c r="Z171" s="121">
        <v>0</v>
      </c>
      <c r="AA171" s="121">
        <v>3756440</v>
      </c>
      <c r="AB171" s="121">
        <v>7702813</v>
      </c>
      <c r="AC171" s="121">
        <v>0</v>
      </c>
      <c r="AD171" s="121">
        <v>0</v>
      </c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143</v>
      </c>
      <c r="B172" t="s">
        <v>145</v>
      </c>
      <c r="C172">
        <v>9</v>
      </c>
      <c r="D172" t="s">
        <v>30</v>
      </c>
      <c r="E172" s="14">
        <v>0</v>
      </c>
      <c r="F172" s="14">
        <v>0</v>
      </c>
      <c r="G172" s="121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143</v>
      </c>
      <c r="B173" t="s">
        <v>145</v>
      </c>
      <c r="C173">
        <v>10</v>
      </c>
      <c r="D173" t="s">
        <v>34</v>
      </c>
      <c r="E173" s="14">
        <v>277886</v>
      </c>
      <c r="F173" s="14">
        <v>527427.63</v>
      </c>
      <c r="G173" s="121">
        <v>-33997</v>
      </c>
      <c r="H173" s="121">
        <v>-64526.305999999997</v>
      </c>
      <c r="I173" s="124">
        <v>-21322</v>
      </c>
      <c r="J173" s="121">
        <v>-40469.156000000003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0</v>
      </c>
      <c r="V173" s="121">
        <v>0</v>
      </c>
      <c r="W173" s="121">
        <v>0</v>
      </c>
      <c r="X173" s="121">
        <v>0</v>
      </c>
      <c r="Y173" s="121">
        <v>-90</v>
      </c>
      <c r="Z173" s="121">
        <v>-160.83000000000001</v>
      </c>
      <c r="AA173" s="121">
        <v>14</v>
      </c>
      <c r="AB173" s="121">
        <v>25.018000000000001</v>
      </c>
      <c r="AC173" s="121">
        <v>144</v>
      </c>
      <c r="AD173" s="121">
        <v>257.32799999999997</v>
      </c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143</v>
      </c>
      <c r="B174" t="s">
        <v>145</v>
      </c>
      <c r="C174">
        <v>11</v>
      </c>
      <c r="D174" t="s">
        <v>37</v>
      </c>
      <c r="E174" s="14">
        <v>0</v>
      </c>
      <c r="F174" s="14">
        <v>0</v>
      </c>
      <c r="G174" s="121">
        <v>0</v>
      </c>
      <c r="H174" s="121">
        <v>-1567.5</v>
      </c>
      <c r="I174" s="124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143</v>
      </c>
      <c r="B175" t="s">
        <v>145</v>
      </c>
      <c r="C175">
        <v>12</v>
      </c>
      <c r="D175" t="s">
        <v>38</v>
      </c>
      <c r="E175" s="14">
        <v>-2295840</v>
      </c>
      <c r="F175" s="14">
        <v>-4846687.04</v>
      </c>
      <c r="G175" s="121">
        <v>-27813</v>
      </c>
      <c r="H175" s="121">
        <v>-76021.98</v>
      </c>
      <c r="I175" s="124">
        <v>0</v>
      </c>
      <c r="J175" s="121">
        <v>-325.22000000000003</v>
      </c>
      <c r="K175" s="121">
        <v>0</v>
      </c>
      <c r="L175" s="121">
        <v>0</v>
      </c>
      <c r="M175" s="121">
        <v>0</v>
      </c>
      <c r="N175" s="121">
        <v>0</v>
      </c>
      <c r="O175" s="121">
        <v>-3023</v>
      </c>
      <c r="P175" s="121">
        <v>-8399.17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143</v>
      </c>
      <c r="B176" t="s">
        <v>145</v>
      </c>
      <c r="C176">
        <v>13</v>
      </c>
      <c r="D176" t="s">
        <v>41</v>
      </c>
      <c r="E176" s="14">
        <v>-254600</v>
      </c>
      <c r="F176" s="14">
        <v>-483230.8</v>
      </c>
      <c r="G176" s="121">
        <v>393564</v>
      </c>
      <c r="H176" s="121">
        <v>810491.02</v>
      </c>
      <c r="I176" s="124">
        <v>234252</v>
      </c>
      <c r="J176" s="121">
        <v>504638.24400000001</v>
      </c>
      <c r="K176" s="121">
        <v>-68628</v>
      </c>
      <c r="L176" s="121">
        <v>-142006.644</v>
      </c>
      <c r="M176" s="121">
        <v>630</v>
      </c>
      <c r="N176" s="121">
        <v>326484.12</v>
      </c>
      <c r="O176" s="121">
        <v>1397</v>
      </c>
      <c r="P176" s="121">
        <v>-108825.58199999999</v>
      </c>
      <c r="Q176" s="121">
        <v>-7027</v>
      </c>
      <c r="R176" s="121">
        <v>-338932.16200000001</v>
      </c>
      <c r="S176" s="121">
        <v>0</v>
      </c>
      <c r="T176" s="121">
        <v>0</v>
      </c>
      <c r="U176" s="121">
        <v>0</v>
      </c>
      <c r="V176" s="121">
        <v>0</v>
      </c>
      <c r="W176" s="121">
        <v>1507</v>
      </c>
      <c r="X176" s="121">
        <v>2693.009</v>
      </c>
      <c r="Y176" s="121">
        <v>99115</v>
      </c>
      <c r="Z176" s="121">
        <v>214224.834</v>
      </c>
      <c r="AA176" s="121">
        <v>908</v>
      </c>
      <c r="AB176" s="121">
        <v>1622.596</v>
      </c>
      <c r="AC176" s="121">
        <v>-233710</v>
      </c>
      <c r="AD176" s="121">
        <v>-417639.77</v>
      </c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143</v>
      </c>
      <c r="B177" t="s">
        <v>145</v>
      </c>
      <c r="C177">
        <v>14</v>
      </c>
      <c r="D177" t="s">
        <v>42</v>
      </c>
      <c r="E177" s="14">
        <v>0</v>
      </c>
      <c r="F177" s="14">
        <v>0</v>
      </c>
      <c r="G177" s="121">
        <v>-360677</v>
      </c>
      <c r="H177" s="121">
        <v>-756198.97</v>
      </c>
      <c r="I177" s="124">
        <v>-55948</v>
      </c>
      <c r="J177" s="121">
        <v>-115400.25</v>
      </c>
      <c r="K177" s="121">
        <v>-25887</v>
      </c>
      <c r="L177" s="121">
        <v>-54426.93</v>
      </c>
      <c r="M177" s="121">
        <v>-5</v>
      </c>
      <c r="N177" s="121">
        <v>-9.91</v>
      </c>
      <c r="O177" s="121">
        <v>0</v>
      </c>
      <c r="P177" s="121">
        <v>0</v>
      </c>
      <c r="Q177" s="121">
        <v>-87460</v>
      </c>
      <c r="R177" s="121">
        <v>-173494.39999999999</v>
      </c>
      <c r="S177" s="121">
        <v>0</v>
      </c>
      <c r="T177" s="121">
        <v>0</v>
      </c>
      <c r="U177" s="121">
        <v>0</v>
      </c>
      <c r="V177" s="121">
        <v>0</v>
      </c>
      <c r="W177" s="121">
        <v>-1865</v>
      </c>
      <c r="X177" s="121">
        <v>-3718.81</v>
      </c>
      <c r="Y177" s="121">
        <v>0</v>
      </c>
      <c r="Z177" s="121">
        <v>0</v>
      </c>
      <c r="AA177" s="121">
        <v>-428</v>
      </c>
      <c r="AB177" s="121">
        <v>-755.51</v>
      </c>
      <c r="AC177" s="121">
        <v>0</v>
      </c>
      <c r="AD177" s="121">
        <v>0</v>
      </c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143</v>
      </c>
      <c r="B178" t="s">
        <v>145</v>
      </c>
      <c r="C178">
        <v>15</v>
      </c>
      <c r="D178" t="s">
        <v>43</v>
      </c>
      <c r="E178" s="14">
        <v>0</v>
      </c>
      <c r="F178" s="14">
        <v>0</v>
      </c>
      <c r="G178" s="121">
        <v>24500</v>
      </c>
      <c r="H178" s="121">
        <v>50053.5</v>
      </c>
      <c r="I178" s="124">
        <v>175</v>
      </c>
      <c r="J178" s="121">
        <v>370.58</v>
      </c>
      <c r="K178" s="121">
        <v>97945</v>
      </c>
      <c r="L178" s="121">
        <v>195013.89</v>
      </c>
      <c r="M178" s="121">
        <v>0</v>
      </c>
      <c r="N178" s="121">
        <v>0</v>
      </c>
      <c r="O178" s="121">
        <v>0</v>
      </c>
      <c r="P178" s="121">
        <v>0</v>
      </c>
      <c r="Q178" s="121">
        <v>11851</v>
      </c>
      <c r="R178" s="121">
        <v>23508.83</v>
      </c>
      <c r="S178" s="121">
        <v>0</v>
      </c>
      <c r="T178" s="121">
        <v>0</v>
      </c>
      <c r="U178" s="121">
        <v>0</v>
      </c>
      <c r="V178" s="121">
        <v>0</v>
      </c>
      <c r="W178" s="121">
        <v>1641</v>
      </c>
      <c r="X178" s="121">
        <v>3272.16</v>
      </c>
      <c r="Y178" s="121">
        <v>0</v>
      </c>
      <c r="Z178" s="121">
        <v>0</v>
      </c>
      <c r="AA178" s="121">
        <v>1772</v>
      </c>
      <c r="AB178" s="121">
        <v>3076.31</v>
      </c>
      <c r="AC178" s="121">
        <v>0</v>
      </c>
      <c r="AD178" s="121">
        <v>0</v>
      </c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143</v>
      </c>
      <c r="B179" t="s">
        <v>145</v>
      </c>
      <c r="C179">
        <v>16</v>
      </c>
      <c r="D179" t="s">
        <v>44</v>
      </c>
      <c r="E179" s="14">
        <v>-10006</v>
      </c>
      <c r="F179" s="14">
        <v>-0.01</v>
      </c>
      <c r="G179" s="121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18980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143</v>
      </c>
      <c r="B180" t="s">
        <v>145</v>
      </c>
      <c r="C180">
        <v>17</v>
      </c>
      <c r="D180" t="s">
        <v>129</v>
      </c>
      <c r="E180" s="14">
        <v>218177</v>
      </c>
      <c r="F180" s="14">
        <v>414099.95</v>
      </c>
      <c r="G180" s="121">
        <v>-164050</v>
      </c>
      <c r="H180" s="121">
        <v>-343144.05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1567</v>
      </c>
      <c r="P180" s="121">
        <v>2974.17</v>
      </c>
      <c r="Q180" s="121">
        <v>9</v>
      </c>
      <c r="R180" s="121">
        <v>17.079999999999998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143</v>
      </c>
      <c r="B181" t="s">
        <v>145</v>
      </c>
      <c r="C181">
        <v>18</v>
      </c>
      <c r="D181" t="s">
        <v>130</v>
      </c>
      <c r="E181" s="14">
        <v>0</v>
      </c>
      <c r="F181" s="14">
        <v>0</v>
      </c>
      <c r="G181" s="121">
        <v>0</v>
      </c>
      <c r="H181" s="121">
        <v>0</v>
      </c>
      <c r="I181" s="124">
        <v>165506</v>
      </c>
      <c r="J181" s="121">
        <v>345907.54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143</v>
      </c>
      <c r="B182" t="s">
        <v>145</v>
      </c>
      <c r="C182">
        <v>19</v>
      </c>
      <c r="D182" t="s">
        <v>49</v>
      </c>
      <c r="E182" s="14">
        <v>0</v>
      </c>
      <c r="F182" s="14">
        <v>0</v>
      </c>
      <c r="G182" s="121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143</v>
      </c>
      <c r="B183" t="s">
        <v>145</v>
      </c>
      <c r="C183">
        <v>20</v>
      </c>
      <c r="D183" t="s">
        <v>131</v>
      </c>
      <c r="E183" s="14">
        <v>0</v>
      </c>
      <c r="F183" s="14">
        <v>0</v>
      </c>
      <c r="G183" s="121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143</v>
      </c>
      <c r="B184" t="s">
        <v>145</v>
      </c>
      <c r="C184">
        <v>21</v>
      </c>
      <c r="D184" t="s">
        <v>132</v>
      </c>
      <c r="E184" s="14">
        <v>0</v>
      </c>
      <c r="F184" s="14">
        <v>0</v>
      </c>
      <c r="G184" s="121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143</v>
      </c>
      <c r="B185" t="s">
        <v>145</v>
      </c>
      <c r="C185">
        <v>22</v>
      </c>
      <c r="D185" t="s">
        <v>133</v>
      </c>
      <c r="E185" s="14">
        <v>1236509</v>
      </c>
      <c r="F185" s="14">
        <v>2346894.0819999999</v>
      </c>
      <c r="G185" s="121">
        <v>127139</v>
      </c>
      <c r="H185" s="121">
        <v>241309.82200000016</v>
      </c>
      <c r="I185" s="124">
        <v>-141267</v>
      </c>
      <c r="J185" s="121">
        <v>-268124.766</v>
      </c>
      <c r="K185" s="121">
        <v>-996397</v>
      </c>
      <c r="L185" s="121">
        <v>-1891161.5060000001</v>
      </c>
      <c r="M185" s="121">
        <v>-936</v>
      </c>
      <c r="N185" s="121">
        <v>-1776.528</v>
      </c>
      <c r="O185" s="121">
        <v>1456</v>
      </c>
      <c r="P185" s="121">
        <v>2763.4879999999998</v>
      </c>
      <c r="Q185" s="121">
        <v>73281</v>
      </c>
      <c r="R185" s="121">
        <v>139087.33799999999</v>
      </c>
      <c r="S185" s="121">
        <v>0</v>
      </c>
      <c r="T185" s="121">
        <v>0</v>
      </c>
      <c r="U185" s="121">
        <v>201094</v>
      </c>
      <c r="V185" s="121">
        <v>381676.41200000001</v>
      </c>
      <c r="W185" s="121">
        <v>151697</v>
      </c>
      <c r="X185" s="121">
        <v>271082.53899999999</v>
      </c>
      <c r="Y185" s="121">
        <v>-99967</v>
      </c>
      <c r="Z185" s="121">
        <v>-178641.02900000001</v>
      </c>
      <c r="AA185" s="121">
        <v>-149814</v>
      </c>
      <c r="AB185" s="121">
        <v>-267717.61800000002</v>
      </c>
      <c r="AC185" s="121">
        <v>82</v>
      </c>
      <c r="AD185" s="121">
        <v>146.53399999999999</v>
      </c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143</v>
      </c>
      <c r="B186" t="s">
        <v>145</v>
      </c>
      <c r="C186">
        <v>23</v>
      </c>
      <c r="D186" t="s">
        <v>134</v>
      </c>
      <c r="E186" s="14">
        <v>-277886</v>
      </c>
      <c r="F186" s="14">
        <v>-527427.63</v>
      </c>
      <c r="G186" s="121">
        <v>33997</v>
      </c>
      <c r="H186" s="121">
        <v>64526.305999999997</v>
      </c>
      <c r="I186" s="124">
        <v>21322</v>
      </c>
      <c r="J186" s="121">
        <v>40469.156000000003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  <c r="Q186" s="121">
        <v>-20191</v>
      </c>
      <c r="R186" s="121">
        <v>0</v>
      </c>
      <c r="S186" s="121">
        <v>0</v>
      </c>
      <c r="T186" s="121">
        <v>0</v>
      </c>
      <c r="U186" s="121">
        <v>0</v>
      </c>
      <c r="V186" s="121">
        <v>0</v>
      </c>
      <c r="W186" s="121">
        <v>0</v>
      </c>
      <c r="X186" s="121">
        <v>0</v>
      </c>
      <c r="Y186" s="121">
        <v>90</v>
      </c>
      <c r="Z186" s="121">
        <v>160.83000000000001</v>
      </c>
      <c r="AA186" s="121">
        <v>-14</v>
      </c>
      <c r="AB186" s="121">
        <v>-25.018000000000001</v>
      </c>
      <c r="AC186" s="121">
        <v>-144</v>
      </c>
      <c r="AD186" s="121">
        <v>-257.32799999999997</v>
      </c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143</v>
      </c>
      <c r="B187" t="s">
        <v>145</v>
      </c>
      <c r="C187">
        <v>24</v>
      </c>
      <c r="D187" t="s">
        <v>57</v>
      </c>
      <c r="E187" s="14">
        <v>-26026889</v>
      </c>
      <c r="F187" s="14">
        <v>-685298.82</v>
      </c>
      <c r="G187" s="121">
        <v>6802819</v>
      </c>
      <c r="H187" s="121">
        <v>9071.390000000014</v>
      </c>
      <c r="I187" s="124">
        <v>-89742</v>
      </c>
      <c r="J187" s="121">
        <v>-22228.74</v>
      </c>
      <c r="K187" s="121">
        <v>-1192</v>
      </c>
      <c r="L187" s="121">
        <v>29317.79</v>
      </c>
      <c r="M187" s="121">
        <v>-1429</v>
      </c>
      <c r="N187" s="121">
        <v>1963.88</v>
      </c>
      <c r="O187" s="121">
        <v>59</v>
      </c>
      <c r="P187" s="121">
        <v>12499.5</v>
      </c>
      <c r="Q187" s="121">
        <v>0</v>
      </c>
      <c r="R187" s="121">
        <v>0</v>
      </c>
      <c r="S187" s="121">
        <v>0</v>
      </c>
      <c r="T187" s="121">
        <v>0</v>
      </c>
      <c r="U187" s="121">
        <v>0</v>
      </c>
      <c r="V187" s="121">
        <v>0</v>
      </c>
      <c r="W187" s="121">
        <v>-43160</v>
      </c>
      <c r="X187" s="121">
        <v>6905.94</v>
      </c>
      <c r="Y187" s="121">
        <v>-10942</v>
      </c>
      <c r="Z187" s="121">
        <v>0.04</v>
      </c>
      <c r="AA187" s="121">
        <v>-4014</v>
      </c>
      <c r="AB187" s="121">
        <v>0</v>
      </c>
      <c r="AC187" s="121">
        <v>-137641</v>
      </c>
      <c r="AD187" s="121">
        <v>9902.1</v>
      </c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143</v>
      </c>
      <c r="B188" t="s">
        <v>145</v>
      </c>
      <c r="C188">
        <v>25</v>
      </c>
      <c r="D188" t="s">
        <v>58</v>
      </c>
      <c r="E188" s="14">
        <v>0</v>
      </c>
      <c r="F188" s="14">
        <v>-2500497.69</v>
      </c>
      <c r="G188" s="121">
        <v>0</v>
      </c>
      <c r="H188" s="121">
        <v>-200047.95</v>
      </c>
      <c r="I188" s="124">
        <v>0</v>
      </c>
      <c r="J188" s="121">
        <v>-6064.26</v>
      </c>
      <c r="K188" s="121">
        <v>0</v>
      </c>
      <c r="L188" s="121">
        <v>-47036.55</v>
      </c>
      <c r="M188" s="121">
        <v>0</v>
      </c>
      <c r="N188" s="121">
        <v>33.4</v>
      </c>
      <c r="O188" s="121">
        <v>0</v>
      </c>
      <c r="P188" s="121">
        <v>11411.4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0</v>
      </c>
      <c r="W188" s="121">
        <v>0</v>
      </c>
      <c r="X188" s="121">
        <v>-36.47</v>
      </c>
      <c r="Y188" s="121">
        <v>0</v>
      </c>
      <c r="Z188" s="121">
        <v>-215.04</v>
      </c>
      <c r="AA188" s="121">
        <v>0</v>
      </c>
      <c r="AB188" s="121">
        <v>0</v>
      </c>
      <c r="AC188" s="121">
        <v>0</v>
      </c>
      <c r="AD188" s="121">
        <v>0</v>
      </c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143</v>
      </c>
      <c r="B189" t="s">
        <v>145</v>
      </c>
      <c r="C189">
        <v>26</v>
      </c>
      <c r="D189" t="s">
        <v>135</v>
      </c>
      <c r="E189" s="14">
        <v>0</v>
      </c>
      <c r="F189" s="14">
        <v>0</v>
      </c>
      <c r="G189" s="121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143</v>
      </c>
      <c r="B190" t="s">
        <v>145</v>
      </c>
      <c r="C190">
        <v>27</v>
      </c>
      <c r="D190" t="s">
        <v>136</v>
      </c>
      <c r="E190" s="14">
        <v>0</v>
      </c>
      <c r="F190" s="14">
        <v>0</v>
      </c>
      <c r="G190" s="121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143</v>
      </c>
      <c r="B191" t="s">
        <v>145</v>
      </c>
      <c r="C191">
        <v>28</v>
      </c>
      <c r="D191" t="s">
        <v>137</v>
      </c>
      <c r="E191" s="14">
        <v>0</v>
      </c>
      <c r="F191" s="14">
        <v>0</v>
      </c>
      <c r="G191" s="121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143</v>
      </c>
      <c r="B192" t="s">
        <v>145</v>
      </c>
      <c r="C192">
        <v>29</v>
      </c>
      <c r="D192" t="s">
        <v>138</v>
      </c>
      <c r="E192" s="14">
        <v>0</v>
      </c>
      <c r="F192" s="14">
        <v>0</v>
      </c>
      <c r="G192" s="121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143</v>
      </c>
      <c r="B193" t="s">
        <v>145</v>
      </c>
      <c r="C193">
        <v>30</v>
      </c>
      <c r="D193" t="s">
        <v>139</v>
      </c>
      <c r="E193" s="14">
        <v>0</v>
      </c>
      <c r="F193" s="14">
        <v>0</v>
      </c>
      <c r="G193" s="121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143</v>
      </c>
      <c r="B194" t="s">
        <v>145</v>
      </c>
      <c r="C194">
        <v>31</v>
      </c>
      <c r="D194" t="s">
        <v>140</v>
      </c>
      <c r="E194" s="14">
        <v>0</v>
      </c>
      <c r="F194" s="14">
        <v>0</v>
      </c>
      <c r="G194" s="121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143</v>
      </c>
      <c r="B195" t="s">
        <v>145</v>
      </c>
      <c r="C195">
        <v>32</v>
      </c>
      <c r="D195" t="s">
        <v>72</v>
      </c>
      <c r="E195" s="14">
        <v>0</v>
      </c>
      <c r="F195" s="14">
        <v>0</v>
      </c>
      <c r="G195" s="121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143</v>
      </c>
      <c r="B196" t="s">
        <v>145</v>
      </c>
      <c r="C196">
        <v>33</v>
      </c>
      <c r="D196" t="s">
        <v>73</v>
      </c>
      <c r="E196" s="14">
        <v>0</v>
      </c>
      <c r="F196" s="14">
        <v>0</v>
      </c>
      <c r="G196" s="121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143</v>
      </c>
      <c r="B197" t="s">
        <v>145</v>
      </c>
      <c r="C197">
        <v>34</v>
      </c>
      <c r="D197" t="s">
        <v>74</v>
      </c>
      <c r="E197" s="14">
        <v>0</v>
      </c>
      <c r="F197" s="14">
        <v>0</v>
      </c>
      <c r="G197" s="121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143</v>
      </c>
      <c r="B198" t="s">
        <v>145</v>
      </c>
      <c r="C198">
        <v>35</v>
      </c>
      <c r="D198" t="s">
        <v>75</v>
      </c>
      <c r="E198" s="14">
        <v>0</v>
      </c>
      <c r="F198" s="14">
        <v>-27419.88</v>
      </c>
      <c r="G198" s="121">
        <v>0</v>
      </c>
      <c r="H198" s="121">
        <v>-199174.95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143</v>
      </c>
      <c r="B199" t="s">
        <v>145</v>
      </c>
      <c r="C199">
        <v>36</v>
      </c>
      <c r="D199" t="s">
        <v>76</v>
      </c>
      <c r="E199" s="14">
        <v>0</v>
      </c>
      <c r="F199" s="14">
        <v>0</v>
      </c>
      <c r="G199" s="121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143</v>
      </c>
      <c r="B200" t="s">
        <v>145</v>
      </c>
      <c r="C200">
        <v>37</v>
      </c>
      <c r="D200" t="s">
        <v>77</v>
      </c>
      <c r="E200" s="14">
        <v>0</v>
      </c>
      <c r="F200" s="14">
        <v>0</v>
      </c>
      <c r="G200" s="121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143</v>
      </c>
      <c r="B201" t="s">
        <v>145</v>
      </c>
      <c r="C201">
        <v>38</v>
      </c>
      <c r="D201" t="s">
        <v>78</v>
      </c>
      <c r="E201" s="14">
        <v>0</v>
      </c>
      <c r="F201" s="14">
        <v>0</v>
      </c>
      <c r="G201" s="121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143</v>
      </c>
      <c r="B202" t="s">
        <v>145</v>
      </c>
      <c r="C202">
        <v>39</v>
      </c>
      <c r="D202" t="s">
        <v>79</v>
      </c>
      <c r="E202" s="14">
        <v>0</v>
      </c>
      <c r="F202" s="14">
        <v>0</v>
      </c>
      <c r="G202" s="121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143</v>
      </c>
      <c r="B203" t="s">
        <v>145</v>
      </c>
      <c r="C203">
        <v>40</v>
      </c>
      <c r="D203" t="s">
        <v>80</v>
      </c>
      <c r="E203" s="14">
        <v>0</v>
      </c>
      <c r="F203" s="14">
        <v>465450.07</v>
      </c>
      <c r="G203" s="121">
        <v>0</v>
      </c>
      <c r="H203" s="121">
        <v>69753.39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143</v>
      </c>
      <c r="B204" t="s">
        <v>142</v>
      </c>
      <c r="C204">
        <v>1</v>
      </c>
      <c r="D204" t="s">
        <v>27</v>
      </c>
      <c r="E204" s="14">
        <v>0</v>
      </c>
      <c r="F204" s="14">
        <v>0</v>
      </c>
      <c r="G204" s="121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143</v>
      </c>
      <c r="B205" t="s">
        <v>142</v>
      </c>
      <c r="C205">
        <v>2</v>
      </c>
      <c r="D205" t="s">
        <v>28</v>
      </c>
      <c r="E205" s="14">
        <v>0</v>
      </c>
      <c r="F205" s="14">
        <v>0</v>
      </c>
      <c r="G205" s="121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143</v>
      </c>
      <c r="B206" t="s">
        <v>142</v>
      </c>
      <c r="C206">
        <v>3</v>
      </c>
      <c r="D206" t="s">
        <v>29</v>
      </c>
      <c r="E206" s="14">
        <v>0</v>
      </c>
      <c r="F206" s="14">
        <v>0</v>
      </c>
      <c r="G206" s="121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143</v>
      </c>
      <c r="B207" t="s">
        <v>142</v>
      </c>
      <c r="C207">
        <v>4</v>
      </c>
      <c r="D207" t="s">
        <v>30</v>
      </c>
      <c r="E207" s="14">
        <v>0</v>
      </c>
      <c r="F207" s="14">
        <v>0</v>
      </c>
      <c r="G207" s="121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143</v>
      </c>
      <c r="B208" t="s">
        <v>142</v>
      </c>
      <c r="C208">
        <v>5</v>
      </c>
      <c r="D208" t="s">
        <v>128</v>
      </c>
      <c r="E208" s="14">
        <v>0</v>
      </c>
      <c r="F208" s="14">
        <v>0</v>
      </c>
      <c r="G208" s="121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143</v>
      </c>
      <c r="B209" t="s">
        <v>142</v>
      </c>
      <c r="C209">
        <v>6</v>
      </c>
      <c r="D209" t="s">
        <v>27</v>
      </c>
      <c r="E209" s="14">
        <v>0</v>
      </c>
      <c r="F209" s="14">
        <v>0</v>
      </c>
      <c r="G209" s="121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143</v>
      </c>
      <c r="B210" t="s">
        <v>142</v>
      </c>
      <c r="C210">
        <v>7</v>
      </c>
      <c r="D210" t="s">
        <v>28</v>
      </c>
      <c r="E210" s="14">
        <v>0</v>
      </c>
      <c r="F210" s="14">
        <v>0</v>
      </c>
      <c r="G210" s="121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143</v>
      </c>
      <c r="B211" t="s">
        <v>142</v>
      </c>
      <c r="C211">
        <v>8</v>
      </c>
      <c r="D211" t="s">
        <v>29</v>
      </c>
      <c r="E211" s="14">
        <v>0</v>
      </c>
      <c r="F211" s="14">
        <v>0</v>
      </c>
      <c r="G211" s="121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143</v>
      </c>
      <c r="B212" t="s">
        <v>142</v>
      </c>
      <c r="C212">
        <v>9</v>
      </c>
      <c r="D212" t="s">
        <v>30</v>
      </c>
      <c r="E212" s="14">
        <v>0</v>
      </c>
      <c r="F212" s="14">
        <v>0</v>
      </c>
      <c r="G212" s="121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143</v>
      </c>
      <c r="B213" t="s">
        <v>142</v>
      </c>
      <c r="C213">
        <v>10</v>
      </c>
      <c r="D213" t="s">
        <v>34</v>
      </c>
      <c r="E213" s="14">
        <v>0</v>
      </c>
      <c r="F213" s="14">
        <v>0</v>
      </c>
      <c r="G213" s="121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143</v>
      </c>
      <c r="B214" t="s">
        <v>142</v>
      </c>
      <c r="C214">
        <v>11</v>
      </c>
      <c r="D214" t="s">
        <v>37</v>
      </c>
      <c r="E214" s="14">
        <v>0</v>
      </c>
      <c r="F214" s="14">
        <v>0</v>
      </c>
      <c r="G214" s="121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143</v>
      </c>
      <c r="B215" t="s">
        <v>142</v>
      </c>
      <c r="C215">
        <v>12</v>
      </c>
      <c r="D215" t="s">
        <v>38</v>
      </c>
      <c r="E215" s="14">
        <v>0</v>
      </c>
      <c r="F215" s="14">
        <v>0</v>
      </c>
      <c r="G215" s="121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143</v>
      </c>
      <c r="B216" t="s">
        <v>142</v>
      </c>
      <c r="C216">
        <v>13</v>
      </c>
      <c r="D216" t="s">
        <v>41</v>
      </c>
      <c r="E216" s="14">
        <v>0</v>
      </c>
      <c r="F216" s="14">
        <v>0</v>
      </c>
      <c r="G216" s="121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143</v>
      </c>
      <c r="B217" t="s">
        <v>142</v>
      </c>
      <c r="C217">
        <v>14</v>
      </c>
      <c r="D217" t="s">
        <v>42</v>
      </c>
      <c r="E217" s="14">
        <v>0</v>
      </c>
      <c r="F217" s="14">
        <v>0</v>
      </c>
      <c r="G217" s="121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143</v>
      </c>
      <c r="B218" t="s">
        <v>142</v>
      </c>
      <c r="C218">
        <v>15</v>
      </c>
      <c r="D218" t="s">
        <v>43</v>
      </c>
      <c r="E218" s="14">
        <v>0</v>
      </c>
      <c r="F218" s="14">
        <v>0</v>
      </c>
      <c r="G218" s="121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143</v>
      </c>
      <c r="B219" t="s">
        <v>142</v>
      </c>
      <c r="C219">
        <v>16</v>
      </c>
      <c r="D219" t="s">
        <v>44</v>
      </c>
      <c r="E219" s="14">
        <v>0</v>
      </c>
      <c r="F219" s="14">
        <v>0</v>
      </c>
      <c r="G219" s="121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143</v>
      </c>
      <c r="B220" t="s">
        <v>142</v>
      </c>
      <c r="C220">
        <v>17</v>
      </c>
      <c r="D220" t="s">
        <v>129</v>
      </c>
      <c r="E220" s="14">
        <v>0</v>
      </c>
      <c r="F220" s="14">
        <v>0</v>
      </c>
      <c r="G220" s="121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143</v>
      </c>
      <c r="B221" t="s">
        <v>142</v>
      </c>
      <c r="C221">
        <v>18</v>
      </c>
      <c r="D221" t="s">
        <v>130</v>
      </c>
      <c r="E221" s="14">
        <v>0</v>
      </c>
      <c r="F221" s="14">
        <v>0</v>
      </c>
      <c r="G221" s="121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143</v>
      </c>
      <c r="B222" t="s">
        <v>142</v>
      </c>
      <c r="C222">
        <v>19</v>
      </c>
      <c r="D222" t="s">
        <v>49</v>
      </c>
      <c r="E222" s="14">
        <v>0</v>
      </c>
      <c r="F222" s="14">
        <v>0</v>
      </c>
      <c r="G222" s="121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143</v>
      </c>
      <c r="B223" t="s">
        <v>142</v>
      </c>
      <c r="C223">
        <v>20</v>
      </c>
      <c r="D223" t="s">
        <v>131</v>
      </c>
      <c r="E223" s="14">
        <v>0</v>
      </c>
      <c r="F223" s="14">
        <v>0</v>
      </c>
      <c r="G223" s="121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143</v>
      </c>
      <c r="B224" t="s">
        <v>142</v>
      </c>
      <c r="C224">
        <v>21</v>
      </c>
      <c r="D224" t="s">
        <v>132</v>
      </c>
      <c r="E224" s="14">
        <v>0</v>
      </c>
      <c r="F224" s="14">
        <v>0</v>
      </c>
      <c r="G224" s="121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143</v>
      </c>
      <c r="B225" t="s">
        <v>142</v>
      </c>
      <c r="C225">
        <v>22</v>
      </c>
      <c r="D225" t="s">
        <v>133</v>
      </c>
      <c r="E225" s="14">
        <v>0</v>
      </c>
      <c r="F225" s="14">
        <v>0</v>
      </c>
      <c r="G225" s="121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143</v>
      </c>
      <c r="B226" t="s">
        <v>142</v>
      </c>
      <c r="C226">
        <v>23</v>
      </c>
      <c r="D226" t="s">
        <v>134</v>
      </c>
      <c r="E226" s="14">
        <v>0</v>
      </c>
      <c r="F226" s="14">
        <v>0</v>
      </c>
      <c r="G226" s="121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143</v>
      </c>
      <c r="B227" t="s">
        <v>142</v>
      </c>
      <c r="C227">
        <v>24</v>
      </c>
      <c r="D227" t="s">
        <v>57</v>
      </c>
      <c r="E227" s="14">
        <v>0</v>
      </c>
      <c r="F227" s="14">
        <v>0</v>
      </c>
      <c r="G227" s="121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143</v>
      </c>
      <c r="B228" t="s">
        <v>142</v>
      </c>
      <c r="C228">
        <v>25</v>
      </c>
      <c r="D228" t="s">
        <v>58</v>
      </c>
      <c r="E228" s="14">
        <v>0</v>
      </c>
      <c r="F228" s="14">
        <v>0</v>
      </c>
      <c r="G228" s="121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143</v>
      </c>
      <c r="B229" t="s">
        <v>142</v>
      </c>
      <c r="C229">
        <v>26</v>
      </c>
      <c r="D229" t="s">
        <v>135</v>
      </c>
      <c r="E229" s="14">
        <v>0</v>
      </c>
      <c r="F229" s="14">
        <v>0</v>
      </c>
      <c r="G229" s="121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143</v>
      </c>
      <c r="B230" t="s">
        <v>142</v>
      </c>
      <c r="C230">
        <v>27</v>
      </c>
      <c r="D230" t="s">
        <v>136</v>
      </c>
      <c r="E230" s="14">
        <v>0</v>
      </c>
      <c r="F230" s="14">
        <v>0</v>
      </c>
      <c r="G230" s="121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143</v>
      </c>
      <c r="B231" t="s">
        <v>142</v>
      </c>
      <c r="C231">
        <v>28</v>
      </c>
      <c r="D231" t="s">
        <v>137</v>
      </c>
      <c r="E231" s="14">
        <v>0</v>
      </c>
      <c r="F231" s="14">
        <v>0</v>
      </c>
      <c r="G231" s="121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143</v>
      </c>
      <c r="B232" t="s">
        <v>142</v>
      </c>
      <c r="C232">
        <v>29</v>
      </c>
      <c r="D232" t="s">
        <v>138</v>
      </c>
      <c r="E232" s="14">
        <v>0</v>
      </c>
      <c r="F232" s="14">
        <v>0</v>
      </c>
      <c r="G232" s="121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143</v>
      </c>
      <c r="B233" t="s">
        <v>142</v>
      </c>
      <c r="C233">
        <v>30</v>
      </c>
      <c r="D233" t="s">
        <v>139</v>
      </c>
      <c r="E233" s="14">
        <v>0</v>
      </c>
      <c r="F233" s="14">
        <v>0</v>
      </c>
      <c r="G233" s="121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143</v>
      </c>
      <c r="B234" t="s">
        <v>142</v>
      </c>
      <c r="C234">
        <v>31</v>
      </c>
      <c r="D234" t="s">
        <v>140</v>
      </c>
      <c r="E234" s="14">
        <v>0</v>
      </c>
      <c r="F234" s="14">
        <v>0</v>
      </c>
      <c r="G234" s="121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143</v>
      </c>
      <c r="B235" t="s">
        <v>142</v>
      </c>
      <c r="C235">
        <v>32</v>
      </c>
      <c r="D235" t="s">
        <v>72</v>
      </c>
      <c r="E235" s="14">
        <v>0</v>
      </c>
      <c r="F235" s="14">
        <v>0</v>
      </c>
      <c r="G235" s="121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143</v>
      </c>
      <c r="B236" t="s">
        <v>142</v>
      </c>
      <c r="C236">
        <v>33</v>
      </c>
      <c r="D236" t="s">
        <v>73</v>
      </c>
      <c r="E236" s="14">
        <v>0</v>
      </c>
      <c r="F236" s="14">
        <v>0</v>
      </c>
      <c r="G236" s="121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143</v>
      </c>
      <c r="B237" t="s">
        <v>142</v>
      </c>
      <c r="C237">
        <v>34</v>
      </c>
      <c r="D237" t="s">
        <v>74</v>
      </c>
      <c r="E237" s="14">
        <v>0</v>
      </c>
      <c r="F237" s="14">
        <v>0</v>
      </c>
      <c r="G237" s="121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143</v>
      </c>
      <c r="B238" t="s">
        <v>142</v>
      </c>
      <c r="C238">
        <v>35</v>
      </c>
      <c r="D238" t="s">
        <v>75</v>
      </c>
      <c r="E238" s="14">
        <v>0</v>
      </c>
      <c r="F238" s="14">
        <v>0</v>
      </c>
      <c r="G238" s="121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143</v>
      </c>
      <c r="B239" t="s">
        <v>142</v>
      </c>
      <c r="C239">
        <v>36</v>
      </c>
      <c r="D239" t="s">
        <v>76</v>
      </c>
      <c r="E239" s="14">
        <v>0</v>
      </c>
      <c r="F239" s="14">
        <v>0</v>
      </c>
      <c r="G239" s="121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143</v>
      </c>
      <c r="B240" t="s">
        <v>142</v>
      </c>
      <c r="C240">
        <v>37</v>
      </c>
      <c r="D240" t="s">
        <v>77</v>
      </c>
      <c r="E240" s="14">
        <v>0</v>
      </c>
      <c r="F240" s="14">
        <v>0</v>
      </c>
      <c r="G240" s="121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143</v>
      </c>
      <c r="B241" t="s">
        <v>142</v>
      </c>
      <c r="C241">
        <v>38</v>
      </c>
      <c r="D241" t="s">
        <v>78</v>
      </c>
      <c r="E241" s="14">
        <v>0</v>
      </c>
      <c r="F241" s="14">
        <v>0</v>
      </c>
      <c r="G241" s="121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143</v>
      </c>
      <c r="B242" t="s">
        <v>142</v>
      </c>
      <c r="C242">
        <v>39</v>
      </c>
      <c r="D242" t="s">
        <v>79</v>
      </c>
      <c r="E242" s="14">
        <v>0</v>
      </c>
      <c r="F242" s="14">
        <v>0</v>
      </c>
      <c r="G242" s="121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143</v>
      </c>
      <c r="B243" t="s">
        <v>142</v>
      </c>
      <c r="C243">
        <v>40</v>
      </c>
      <c r="D243" t="s">
        <v>80</v>
      </c>
      <c r="E243" s="14">
        <v>0</v>
      </c>
      <c r="F243" s="14">
        <v>0</v>
      </c>
      <c r="G243" s="121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143</v>
      </c>
      <c r="B244" t="s">
        <v>146</v>
      </c>
      <c r="C244">
        <v>1</v>
      </c>
      <c r="D244" t="s">
        <v>27</v>
      </c>
      <c r="E244" s="14">
        <v>53190456</v>
      </c>
      <c r="F244" s="14">
        <v>103676327.57999998</v>
      </c>
      <c r="G244" s="121">
        <v>-3804683</v>
      </c>
      <c r="H244" s="121">
        <v>-7790286.9860000005</v>
      </c>
      <c r="I244" s="124">
        <v>2101090</v>
      </c>
      <c r="J244" s="121">
        <v>3911919.86</v>
      </c>
      <c r="K244" s="121">
        <v>1055503</v>
      </c>
      <c r="L244" s="121">
        <v>2075484.82</v>
      </c>
      <c r="M244" s="121">
        <v>-1490360</v>
      </c>
      <c r="N244" s="121">
        <v>-2328360.64</v>
      </c>
      <c r="O244" s="121">
        <v>741938</v>
      </c>
      <c r="P244" s="121">
        <v>1427503.34</v>
      </c>
      <c r="Q244" s="121">
        <v>40165</v>
      </c>
      <c r="R244" s="121">
        <v>64941.279999999999</v>
      </c>
      <c r="S244" s="121">
        <v>0</v>
      </c>
      <c r="T244" s="121">
        <v>2021.78</v>
      </c>
      <c r="U244" s="121">
        <v>50000</v>
      </c>
      <c r="V244" s="121">
        <v>112484.99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0</v>
      </c>
      <c r="AD244" s="121">
        <v>0</v>
      </c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143</v>
      </c>
      <c r="B245" t="s">
        <v>146</v>
      </c>
      <c r="C245">
        <v>2</v>
      </c>
      <c r="D245" t="s">
        <v>28</v>
      </c>
      <c r="E245" s="14">
        <v>0</v>
      </c>
      <c r="F245" s="14">
        <v>0</v>
      </c>
      <c r="G245" s="121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143</v>
      </c>
      <c r="B246" t="s">
        <v>146</v>
      </c>
      <c r="C246">
        <v>3</v>
      </c>
      <c r="D246" t="s">
        <v>29</v>
      </c>
      <c r="E246" s="14">
        <v>31422383</v>
      </c>
      <c r="F246" s="14">
        <v>66166091</v>
      </c>
      <c r="G246" s="121">
        <v>-403986</v>
      </c>
      <c r="H246" s="121">
        <v>-757905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458</v>
      </c>
      <c r="O246" s="121">
        <v>0</v>
      </c>
      <c r="P246" s="121">
        <v>0</v>
      </c>
      <c r="Q246" s="121">
        <v>110711</v>
      </c>
      <c r="R246" s="121">
        <v>227267</v>
      </c>
      <c r="S246" s="121">
        <v>110711</v>
      </c>
      <c r="T246" s="121">
        <v>227267</v>
      </c>
      <c r="U246" s="121">
        <v>182564</v>
      </c>
      <c r="V246" s="121">
        <v>302913</v>
      </c>
      <c r="W246" s="121">
        <v>3015440</v>
      </c>
      <c r="X246" s="121">
        <v>5916534</v>
      </c>
      <c r="Y246" s="121">
        <v>0</v>
      </c>
      <c r="Z246" s="121">
        <v>0</v>
      </c>
      <c r="AA246" s="121">
        <v>-3015440</v>
      </c>
      <c r="AB246" s="121">
        <v>-5916534</v>
      </c>
      <c r="AC246" s="121">
        <v>0</v>
      </c>
      <c r="AD246" s="121">
        <v>0</v>
      </c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143</v>
      </c>
      <c r="B247" t="s">
        <v>146</v>
      </c>
      <c r="C247">
        <v>4</v>
      </c>
      <c r="D247" t="s">
        <v>30</v>
      </c>
      <c r="E247" s="14">
        <v>0</v>
      </c>
      <c r="F247" s="14">
        <v>0</v>
      </c>
      <c r="G247" s="121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143</v>
      </c>
      <c r="B248" t="s">
        <v>146</v>
      </c>
      <c r="C248">
        <v>5</v>
      </c>
      <c r="D248" t="s">
        <v>128</v>
      </c>
      <c r="E248" s="14">
        <v>0</v>
      </c>
      <c r="F248" s="14">
        <v>0</v>
      </c>
      <c r="G248" s="121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143</v>
      </c>
      <c r="B249" t="s">
        <v>146</v>
      </c>
      <c r="C249">
        <v>6</v>
      </c>
      <c r="D249" t="s">
        <v>27</v>
      </c>
      <c r="E249" s="14">
        <v>-40188534</v>
      </c>
      <c r="F249" s="14">
        <v>-74191087.660000011</v>
      </c>
      <c r="G249" s="121">
        <v>809962</v>
      </c>
      <c r="H249" s="121">
        <v>1335594.69</v>
      </c>
      <c r="I249" s="124">
        <v>-388110</v>
      </c>
      <c r="J249" s="121">
        <v>-761005.69</v>
      </c>
      <c r="K249" s="121">
        <v>945945</v>
      </c>
      <c r="L249" s="121">
        <v>1713962.5</v>
      </c>
      <c r="M249" s="121">
        <v>-51461</v>
      </c>
      <c r="N249" s="121">
        <v>-77504.800000000003</v>
      </c>
      <c r="O249" s="121">
        <v>17486</v>
      </c>
      <c r="P249" s="121">
        <v>46991.040000000001</v>
      </c>
      <c r="Q249" s="121">
        <v>-47993</v>
      </c>
      <c r="R249" s="121">
        <v>-122433.93</v>
      </c>
      <c r="S249" s="121">
        <v>-28619</v>
      </c>
      <c r="T249" s="121">
        <v>-52229.68</v>
      </c>
      <c r="U249" s="121">
        <v>0</v>
      </c>
      <c r="V249" s="121">
        <v>10.86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0</v>
      </c>
      <c r="AD249" s="121">
        <v>0</v>
      </c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143</v>
      </c>
      <c r="B250" t="s">
        <v>146</v>
      </c>
      <c r="C250">
        <v>7</v>
      </c>
      <c r="D250" t="s">
        <v>28</v>
      </c>
      <c r="E250" s="14">
        <v>0</v>
      </c>
      <c r="F250" s="14">
        <v>0</v>
      </c>
      <c r="G250" s="121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143</v>
      </c>
      <c r="B251" t="s">
        <v>146</v>
      </c>
      <c r="C251">
        <v>8</v>
      </c>
      <c r="D251" t="s">
        <v>29</v>
      </c>
      <c r="E251" s="14">
        <v>-33619372</v>
      </c>
      <c r="F251" s="14">
        <v>-70421291</v>
      </c>
      <c r="G251" s="121">
        <v>1014315</v>
      </c>
      <c r="H251" s="121">
        <v>1808390</v>
      </c>
      <c r="I251" s="124">
        <v>0</v>
      </c>
      <c r="J251" s="121">
        <v>0</v>
      </c>
      <c r="K251" s="121">
        <v>0</v>
      </c>
      <c r="L251" s="121">
        <v>0</v>
      </c>
      <c r="M251" s="121">
        <v>-1019</v>
      </c>
      <c r="N251" s="121">
        <v>-4794</v>
      </c>
      <c r="O251" s="121">
        <v>0</v>
      </c>
      <c r="P251" s="121">
        <v>0</v>
      </c>
      <c r="Q251" s="121">
        <v>-110711</v>
      </c>
      <c r="R251" s="121">
        <v>-227267</v>
      </c>
      <c r="S251" s="121">
        <v>-110711</v>
      </c>
      <c r="T251" s="121">
        <v>-227267</v>
      </c>
      <c r="U251" s="121">
        <v>-791874</v>
      </c>
      <c r="V251" s="121">
        <v>-1349062</v>
      </c>
      <c r="W251" s="121">
        <v>-2814346</v>
      </c>
      <c r="X251" s="121">
        <v>-5574442</v>
      </c>
      <c r="Y251" s="121">
        <v>0</v>
      </c>
      <c r="Z251" s="121">
        <v>0</v>
      </c>
      <c r="AA251" s="121">
        <v>2814346</v>
      </c>
      <c r="AB251" s="121">
        <v>5574442</v>
      </c>
      <c r="AC251" s="121">
        <v>0</v>
      </c>
      <c r="AD251" s="121">
        <v>0</v>
      </c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143</v>
      </c>
      <c r="B252" t="s">
        <v>146</v>
      </c>
      <c r="C252">
        <v>9</v>
      </c>
      <c r="D252" t="s">
        <v>30</v>
      </c>
      <c r="E252" s="14">
        <v>0</v>
      </c>
      <c r="F252" s="14">
        <v>0</v>
      </c>
      <c r="G252" s="121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143</v>
      </c>
      <c r="B253" t="s">
        <v>146</v>
      </c>
      <c r="C253">
        <v>10</v>
      </c>
      <c r="D253" t="s">
        <v>34</v>
      </c>
      <c r="E253" s="14">
        <v>3100</v>
      </c>
      <c r="F253" s="14">
        <v>5635.8</v>
      </c>
      <c r="G253" s="121">
        <v>2619</v>
      </c>
      <c r="H253" s="121">
        <v>4761.34</v>
      </c>
      <c r="I253" s="124">
        <v>5123</v>
      </c>
      <c r="J253" s="121">
        <v>9313.61</v>
      </c>
      <c r="K253" s="121">
        <v>0</v>
      </c>
      <c r="L253" s="121">
        <v>0</v>
      </c>
      <c r="M253" s="121">
        <v>0</v>
      </c>
      <c r="N253" s="121">
        <v>0</v>
      </c>
      <c r="O253" s="121">
        <v>-5104</v>
      </c>
      <c r="P253" s="121">
        <v>-9279.0720000000001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143</v>
      </c>
      <c r="B254" t="s">
        <v>146</v>
      </c>
      <c r="C254">
        <v>11</v>
      </c>
      <c r="D254" t="s">
        <v>37</v>
      </c>
      <c r="E254" s="14">
        <v>27199</v>
      </c>
      <c r="F254" s="14">
        <v>50590.54</v>
      </c>
      <c r="G254" s="121">
        <v>756</v>
      </c>
      <c r="H254" s="121">
        <v>1405.76</v>
      </c>
      <c r="I254" s="124">
        <v>4323</v>
      </c>
      <c r="J254" s="121">
        <v>8040.78</v>
      </c>
      <c r="K254" s="121">
        <v>163746</v>
      </c>
      <c r="L254" s="121">
        <v>304568</v>
      </c>
      <c r="M254" s="121">
        <v>-162870</v>
      </c>
      <c r="N254" s="121">
        <v>-302938</v>
      </c>
      <c r="O254" s="121">
        <v>0</v>
      </c>
      <c r="P254" s="121">
        <v>0</v>
      </c>
      <c r="Q254" s="121">
        <v>0</v>
      </c>
      <c r="R254" s="121">
        <v>0</v>
      </c>
      <c r="S254" s="121">
        <v>189296</v>
      </c>
      <c r="T254" s="121">
        <v>352090.56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143</v>
      </c>
      <c r="B255" t="s">
        <v>146</v>
      </c>
      <c r="C255">
        <v>12</v>
      </c>
      <c r="D255" t="s">
        <v>38</v>
      </c>
      <c r="E255" s="14">
        <v>-13467879</v>
      </c>
      <c r="F255" s="14">
        <v>-25108638.420000002</v>
      </c>
      <c r="G255" s="121">
        <v>-90265</v>
      </c>
      <c r="H255" s="121">
        <v>-150021.82</v>
      </c>
      <c r="I255" s="124">
        <v>62119</v>
      </c>
      <c r="J255" s="121">
        <v>114619.7</v>
      </c>
      <c r="K255" s="121">
        <v>-638955</v>
      </c>
      <c r="L255" s="121">
        <v>1730.1</v>
      </c>
      <c r="M255" s="121">
        <v>638955</v>
      </c>
      <c r="N255" s="121">
        <v>-1730.1</v>
      </c>
      <c r="O255" s="121">
        <v>0</v>
      </c>
      <c r="P255" s="121">
        <v>0</v>
      </c>
      <c r="Q255" s="121">
        <v>2</v>
      </c>
      <c r="R255" s="121">
        <v>3.72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143</v>
      </c>
      <c r="B256" t="s">
        <v>146</v>
      </c>
      <c r="C256">
        <v>13</v>
      </c>
      <c r="D256" t="s">
        <v>41</v>
      </c>
      <c r="E256" s="14">
        <v>-238232</v>
      </c>
      <c r="F256" s="14">
        <v>-433105.78</v>
      </c>
      <c r="G256" s="121">
        <v>687273</v>
      </c>
      <c r="H256" s="121">
        <v>1249462.32</v>
      </c>
      <c r="I256" s="124">
        <v>-476773</v>
      </c>
      <c r="J256" s="121">
        <v>-876840.03</v>
      </c>
      <c r="K256" s="121">
        <v>-13024</v>
      </c>
      <c r="L256" s="121">
        <v>-29304</v>
      </c>
      <c r="M256" s="121">
        <v>-805386</v>
      </c>
      <c r="N256" s="121">
        <v>-2717279.96</v>
      </c>
      <c r="O256" s="121">
        <v>814351</v>
      </c>
      <c r="P256" s="121">
        <v>2734942.46</v>
      </c>
      <c r="Q256" s="121">
        <v>-37862</v>
      </c>
      <c r="R256" s="121">
        <v>-64571.64</v>
      </c>
      <c r="S256" s="121">
        <v>146650</v>
      </c>
      <c r="T256" s="121">
        <v>266609.70500000002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143</v>
      </c>
      <c r="B257" t="s">
        <v>146</v>
      </c>
      <c r="C257">
        <v>14</v>
      </c>
      <c r="D257" t="s">
        <v>42</v>
      </c>
      <c r="E257" s="14">
        <v>0</v>
      </c>
      <c r="F257" s="14">
        <v>0</v>
      </c>
      <c r="G257" s="121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143</v>
      </c>
      <c r="B258" t="s">
        <v>146</v>
      </c>
      <c r="C258">
        <v>15</v>
      </c>
      <c r="D258" t="s">
        <v>43</v>
      </c>
      <c r="E258" s="14">
        <v>0</v>
      </c>
      <c r="F258" s="14">
        <v>0</v>
      </c>
      <c r="G258" s="121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143</v>
      </c>
      <c r="B259" t="s">
        <v>146</v>
      </c>
      <c r="C259">
        <v>16</v>
      </c>
      <c r="D259" t="s">
        <v>44</v>
      </c>
      <c r="E259" s="14">
        <v>0</v>
      </c>
      <c r="F259" s="14">
        <v>0</v>
      </c>
      <c r="G259" s="121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143</v>
      </c>
      <c r="B260" t="s">
        <v>146</v>
      </c>
      <c r="C260">
        <v>17</v>
      </c>
      <c r="D260" t="s">
        <v>129</v>
      </c>
      <c r="E260" s="14">
        <v>2350888</v>
      </c>
      <c r="F260" s="14">
        <v>3718491.42</v>
      </c>
      <c r="G260" s="121">
        <v>664853</v>
      </c>
      <c r="H260" s="121">
        <v>1109627.29</v>
      </c>
      <c r="I260" s="124">
        <v>-515870</v>
      </c>
      <c r="J260" s="121">
        <v>-801146.11</v>
      </c>
      <c r="K260" s="121">
        <v>-300286</v>
      </c>
      <c r="L260" s="121">
        <v>-627184.5</v>
      </c>
      <c r="M260" s="121">
        <v>822267</v>
      </c>
      <c r="N260" s="121">
        <v>1499200.55</v>
      </c>
      <c r="O260" s="121">
        <v>-733</v>
      </c>
      <c r="P260" s="121">
        <v>-517.78</v>
      </c>
      <c r="Q260" s="121">
        <v>-3274</v>
      </c>
      <c r="R260" s="121">
        <v>-5788.04</v>
      </c>
      <c r="S260" s="121">
        <v>2110</v>
      </c>
      <c r="T260" s="121">
        <v>3956.25</v>
      </c>
      <c r="U260" s="121">
        <v>0</v>
      </c>
      <c r="V260" s="121">
        <v>3763.21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143</v>
      </c>
      <c r="B261" t="s">
        <v>146</v>
      </c>
      <c r="C261">
        <v>18</v>
      </c>
      <c r="D261" t="s">
        <v>130</v>
      </c>
      <c r="E261" s="14">
        <v>0</v>
      </c>
      <c r="F261" s="14">
        <v>0</v>
      </c>
      <c r="G261" s="121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143</v>
      </c>
      <c r="B262" t="s">
        <v>146</v>
      </c>
      <c r="C262">
        <v>19</v>
      </c>
      <c r="D262" t="s">
        <v>49</v>
      </c>
      <c r="E262" s="14">
        <v>0</v>
      </c>
      <c r="F262" s="14">
        <v>0</v>
      </c>
      <c r="G262" s="121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143</v>
      </c>
      <c r="B263" t="s">
        <v>146</v>
      </c>
      <c r="C263">
        <v>20</v>
      </c>
      <c r="D263" t="s">
        <v>131</v>
      </c>
      <c r="E263" s="14">
        <v>0</v>
      </c>
      <c r="F263" s="14">
        <v>0</v>
      </c>
      <c r="G263" s="121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143</v>
      </c>
      <c r="B264" t="s">
        <v>146</v>
      </c>
      <c r="C264">
        <v>21</v>
      </c>
      <c r="D264" t="s">
        <v>132</v>
      </c>
      <c r="E264" s="14">
        <v>0</v>
      </c>
      <c r="F264" s="14">
        <v>0</v>
      </c>
      <c r="G264" s="121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143</v>
      </c>
      <c r="B265" t="s">
        <v>146</v>
      </c>
      <c r="C265">
        <v>22</v>
      </c>
      <c r="D265" t="s">
        <v>133</v>
      </c>
      <c r="E265" s="14">
        <v>519991</v>
      </c>
      <c r="F265" s="14">
        <v>945343.63800000004</v>
      </c>
      <c r="G265" s="121">
        <v>1119156</v>
      </c>
      <c r="H265" s="121">
        <v>2034625.6079999998</v>
      </c>
      <c r="I265" s="124">
        <v>-791902</v>
      </c>
      <c r="J265" s="121">
        <v>-1439677.8359999999</v>
      </c>
      <c r="K265" s="121">
        <v>-1212929</v>
      </c>
      <c r="L265" s="121">
        <v>-2205104.9219999998</v>
      </c>
      <c r="M265" s="121">
        <v>1049874</v>
      </c>
      <c r="N265" s="121">
        <v>1908670.932</v>
      </c>
      <c r="O265" s="121">
        <v>-1567938</v>
      </c>
      <c r="P265" s="121">
        <v>-2850511.284</v>
      </c>
      <c r="Q265" s="121">
        <v>48962</v>
      </c>
      <c r="R265" s="121">
        <v>89012.915999999997</v>
      </c>
      <c r="S265" s="121">
        <v>-309437</v>
      </c>
      <c r="T265" s="121">
        <v>-562556.46600000001</v>
      </c>
      <c r="U265" s="121">
        <v>559310</v>
      </c>
      <c r="V265" s="121">
        <v>1016825.58</v>
      </c>
      <c r="W265" s="121">
        <v>-201094</v>
      </c>
      <c r="X265" s="121">
        <v>-381676.41200000001</v>
      </c>
      <c r="Y265" s="121">
        <v>0</v>
      </c>
      <c r="Z265" s="121">
        <v>0</v>
      </c>
      <c r="AA265" s="121">
        <v>201094</v>
      </c>
      <c r="AB265" s="121">
        <v>381676.41200000001</v>
      </c>
      <c r="AC265" s="121">
        <v>0</v>
      </c>
      <c r="AD265" s="121">
        <v>0</v>
      </c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143</v>
      </c>
      <c r="B266" t="s">
        <v>146</v>
      </c>
      <c r="C266">
        <v>23</v>
      </c>
      <c r="D266" t="s">
        <v>134</v>
      </c>
      <c r="E266" s="14">
        <v>-3100</v>
      </c>
      <c r="F266" s="14">
        <v>-5635.8</v>
      </c>
      <c r="G266" s="121">
        <v>-2619</v>
      </c>
      <c r="H266" s="121">
        <v>-4761.34</v>
      </c>
      <c r="I266" s="124">
        <v>-5123</v>
      </c>
      <c r="J266" s="121">
        <v>-9313.61</v>
      </c>
      <c r="K266" s="121">
        <v>0</v>
      </c>
      <c r="L266" s="121">
        <v>0</v>
      </c>
      <c r="M266" s="121">
        <v>0</v>
      </c>
      <c r="N266" s="121">
        <v>0</v>
      </c>
      <c r="O266" s="121">
        <v>5104</v>
      </c>
      <c r="P266" s="121">
        <v>9279.0720000000001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143</v>
      </c>
      <c r="B267" t="s">
        <v>146</v>
      </c>
      <c r="C267">
        <v>24</v>
      </c>
      <c r="D267" t="s">
        <v>57</v>
      </c>
      <c r="E267" s="14">
        <v>0</v>
      </c>
      <c r="F267" s="14">
        <v>27899.919999999998</v>
      </c>
      <c r="G267" s="121">
        <v>-4848959</v>
      </c>
      <c r="H267" s="121">
        <v>-464680.13</v>
      </c>
      <c r="I267" s="124">
        <v>-756350</v>
      </c>
      <c r="J267" s="121">
        <v>91087.44</v>
      </c>
      <c r="K267" s="121">
        <v>-167465</v>
      </c>
      <c r="L267" s="121">
        <v>-2042</v>
      </c>
      <c r="M267" s="121">
        <v>23218</v>
      </c>
      <c r="N267" s="121">
        <v>1022</v>
      </c>
      <c r="O267" s="121">
        <v>166</v>
      </c>
      <c r="P267" s="121">
        <v>-745.77</v>
      </c>
      <c r="Q267" s="121">
        <v>-10204</v>
      </c>
      <c r="R267" s="121">
        <v>13174.55</v>
      </c>
      <c r="S267" s="121">
        <v>0</v>
      </c>
      <c r="T267" s="121">
        <v>-13523.06</v>
      </c>
      <c r="U267" s="121">
        <v>5730</v>
      </c>
      <c r="V267" s="121">
        <v>868.37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0</v>
      </c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143</v>
      </c>
      <c r="B268" t="s">
        <v>146</v>
      </c>
      <c r="C268">
        <v>25</v>
      </c>
      <c r="D268" t="s">
        <v>58</v>
      </c>
      <c r="E268" s="14">
        <v>0</v>
      </c>
      <c r="F268" s="14">
        <v>0</v>
      </c>
      <c r="G268" s="121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0</v>
      </c>
      <c r="U268" s="121">
        <v>0</v>
      </c>
      <c r="V268" s="121">
        <v>-93300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143</v>
      </c>
      <c r="B269" t="s">
        <v>146</v>
      </c>
      <c r="C269">
        <v>26</v>
      </c>
      <c r="D269" t="s">
        <v>135</v>
      </c>
      <c r="E269" s="14">
        <v>0</v>
      </c>
      <c r="F269" s="14">
        <v>0</v>
      </c>
      <c r="G269" s="121">
        <v>0</v>
      </c>
      <c r="H269" s="121">
        <v>350</v>
      </c>
      <c r="I269" s="124">
        <v>0</v>
      </c>
      <c r="J269" s="121">
        <v>312.5</v>
      </c>
      <c r="K269" s="121">
        <v>0</v>
      </c>
      <c r="L269" s="121">
        <v>0</v>
      </c>
      <c r="M269" s="121">
        <v>0</v>
      </c>
      <c r="N269" s="121">
        <v>200</v>
      </c>
      <c r="O269" s="121">
        <v>0</v>
      </c>
      <c r="P269" s="121">
        <v>-200</v>
      </c>
      <c r="Q269" s="121">
        <v>0</v>
      </c>
      <c r="R269" s="121">
        <v>0</v>
      </c>
      <c r="S269" s="121">
        <v>0</v>
      </c>
      <c r="T269" s="121">
        <v>0</v>
      </c>
      <c r="U269" s="121">
        <v>0</v>
      </c>
      <c r="V269" s="121">
        <v>123.4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143</v>
      </c>
      <c r="B270" t="s">
        <v>146</v>
      </c>
      <c r="C270">
        <v>27</v>
      </c>
      <c r="D270" t="s">
        <v>136</v>
      </c>
      <c r="E270" s="14">
        <v>0</v>
      </c>
      <c r="F270" s="14">
        <v>0</v>
      </c>
      <c r="G270" s="121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143</v>
      </c>
      <c r="B271" t="s">
        <v>146</v>
      </c>
      <c r="C271">
        <v>28</v>
      </c>
      <c r="D271" t="s">
        <v>137</v>
      </c>
      <c r="E271" s="14">
        <v>-37806932</v>
      </c>
      <c r="F271" s="14">
        <v>-874915.28</v>
      </c>
      <c r="G271" s="121">
        <v>-16777169</v>
      </c>
      <c r="H271" s="121">
        <v>-194358.19</v>
      </c>
      <c r="I271" s="124">
        <v>731816</v>
      </c>
      <c r="J271" s="121">
        <v>-20322.12</v>
      </c>
      <c r="K271" s="121">
        <v>300653</v>
      </c>
      <c r="L271" s="121">
        <v>-43</v>
      </c>
      <c r="M271" s="121">
        <v>-1339725</v>
      </c>
      <c r="N271" s="121">
        <v>-30</v>
      </c>
      <c r="O271" s="121">
        <v>2843</v>
      </c>
      <c r="P271" s="121">
        <v>-5.46</v>
      </c>
      <c r="Q271" s="121">
        <v>1164</v>
      </c>
      <c r="R271" s="121">
        <v>-1.94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143</v>
      </c>
      <c r="B272" t="s">
        <v>146</v>
      </c>
      <c r="C272">
        <v>29</v>
      </c>
      <c r="D272" t="s">
        <v>138</v>
      </c>
      <c r="E272" s="14">
        <v>0</v>
      </c>
      <c r="F272" s="14">
        <v>0</v>
      </c>
      <c r="G272" s="121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143</v>
      </c>
      <c r="B273" t="s">
        <v>146</v>
      </c>
      <c r="C273">
        <v>30</v>
      </c>
      <c r="D273" t="s">
        <v>139</v>
      </c>
      <c r="E273" s="14">
        <v>0</v>
      </c>
      <c r="F273" s="14">
        <v>0</v>
      </c>
      <c r="G273" s="121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143</v>
      </c>
      <c r="B274" t="s">
        <v>146</v>
      </c>
      <c r="C274">
        <v>31</v>
      </c>
      <c r="D274" t="s">
        <v>140</v>
      </c>
      <c r="E274" s="14">
        <v>0</v>
      </c>
      <c r="F274" s="14">
        <v>0</v>
      </c>
      <c r="G274" s="121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143</v>
      </c>
      <c r="B275" t="s">
        <v>146</v>
      </c>
      <c r="C275">
        <v>32</v>
      </c>
      <c r="D275" t="s">
        <v>72</v>
      </c>
      <c r="E275" s="14">
        <v>0</v>
      </c>
      <c r="F275" s="14">
        <v>0</v>
      </c>
      <c r="G275" s="121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143</v>
      </c>
      <c r="B276" t="s">
        <v>146</v>
      </c>
      <c r="C276">
        <v>33</v>
      </c>
      <c r="D276" t="s">
        <v>73</v>
      </c>
      <c r="E276" s="14">
        <v>0</v>
      </c>
      <c r="F276" s="14">
        <v>0</v>
      </c>
      <c r="G276" s="121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143</v>
      </c>
      <c r="B277" t="s">
        <v>146</v>
      </c>
      <c r="C277">
        <v>34</v>
      </c>
      <c r="D277" t="s">
        <v>74</v>
      </c>
      <c r="E277" s="14">
        <v>0</v>
      </c>
      <c r="F277" s="14">
        <v>0</v>
      </c>
      <c r="G277" s="121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143</v>
      </c>
      <c r="B278" t="s">
        <v>146</v>
      </c>
      <c r="C278">
        <v>35</v>
      </c>
      <c r="D278" t="s">
        <v>75</v>
      </c>
      <c r="E278" s="14">
        <v>0</v>
      </c>
      <c r="F278" s="14">
        <v>-14227.5</v>
      </c>
      <c r="G278" s="121">
        <v>0</v>
      </c>
      <c r="H278" s="121">
        <v>0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143</v>
      </c>
      <c r="B279" t="s">
        <v>146</v>
      </c>
      <c r="C279">
        <v>36</v>
      </c>
      <c r="D279" t="s">
        <v>76</v>
      </c>
      <c r="E279" s="14">
        <v>0</v>
      </c>
      <c r="F279" s="14">
        <v>0</v>
      </c>
      <c r="G279" s="121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143</v>
      </c>
      <c r="B280" t="s">
        <v>146</v>
      </c>
      <c r="C280">
        <v>37</v>
      </c>
      <c r="D280" t="s">
        <v>77</v>
      </c>
      <c r="E280" s="14">
        <v>0</v>
      </c>
      <c r="F280" s="14">
        <v>0</v>
      </c>
      <c r="G280" s="121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143</v>
      </c>
      <c r="B281" t="s">
        <v>146</v>
      </c>
      <c r="C281">
        <v>38</v>
      </c>
      <c r="D281" t="s">
        <v>78</v>
      </c>
      <c r="E281" s="14">
        <v>0</v>
      </c>
      <c r="F281" s="14">
        <v>0</v>
      </c>
      <c r="G281" s="121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143</v>
      </c>
      <c r="B282" t="s">
        <v>146</v>
      </c>
      <c r="C282">
        <v>39</v>
      </c>
      <c r="D282" t="s">
        <v>79</v>
      </c>
      <c r="E282" s="14">
        <v>0</v>
      </c>
      <c r="F282" s="14">
        <v>0</v>
      </c>
      <c r="G282" s="121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143</v>
      </c>
      <c r="B283" t="s">
        <v>146</v>
      </c>
      <c r="C283">
        <v>40</v>
      </c>
      <c r="D283" t="s">
        <v>80</v>
      </c>
      <c r="E283" s="14">
        <v>0</v>
      </c>
      <c r="F283" s="14">
        <v>0</v>
      </c>
      <c r="G283" s="121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143</v>
      </c>
      <c r="B284" t="s">
        <v>147</v>
      </c>
      <c r="C284">
        <v>1</v>
      </c>
      <c r="D284" t="s">
        <v>27</v>
      </c>
      <c r="E284" s="14">
        <v>29007191</v>
      </c>
      <c r="F284" s="14">
        <v>52476035.939999998</v>
      </c>
      <c r="G284" s="121">
        <v>138360</v>
      </c>
      <c r="H284" s="121">
        <v>291119.15000000002</v>
      </c>
      <c r="I284" s="124">
        <v>1060</v>
      </c>
      <c r="J284" s="121">
        <v>49758.41</v>
      </c>
      <c r="K284" s="121">
        <v>-6516</v>
      </c>
      <c r="L284" s="121">
        <v>-182632.39</v>
      </c>
      <c r="M284" s="121">
        <v>0</v>
      </c>
      <c r="N284" s="121">
        <v>0</v>
      </c>
      <c r="O284" s="121">
        <v>41384</v>
      </c>
      <c r="P284" s="121">
        <v>63253.14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143</v>
      </c>
      <c r="B285" t="s">
        <v>147</v>
      </c>
      <c r="C285">
        <v>2</v>
      </c>
      <c r="D285" t="s">
        <v>28</v>
      </c>
      <c r="E285" s="14">
        <v>0</v>
      </c>
      <c r="F285" s="14">
        <v>0</v>
      </c>
      <c r="G285" s="121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143</v>
      </c>
      <c r="B286" t="s">
        <v>147</v>
      </c>
      <c r="C286">
        <v>3</v>
      </c>
      <c r="D286" t="s">
        <v>29</v>
      </c>
      <c r="E286" s="14">
        <v>21559511</v>
      </c>
      <c r="F286" s="14">
        <v>42427816</v>
      </c>
      <c r="G286" s="121">
        <v>-811377</v>
      </c>
      <c r="H286" s="121">
        <v>-1383033</v>
      </c>
      <c r="I286" s="124">
        <v>0</v>
      </c>
      <c r="J286" s="121">
        <v>0</v>
      </c>
      <c r="K286" s="121">
        <v>0</v>
      </c>
      <c r="L286" s="121">
        <v>0</v>
      </c>
      <c r="M286" s="121">
        <v>1019</v>
      </c>
      <c r="N286" s="121">
        <v>-5203</v>
      </c>
      <c r="O286" s="121">
        <v>0</v>
      </c>
      <c r="P286" s="121">
        <v>0</v>
      </c>
      <c r="Q286" s="121">
        <v>1702728</v>
      </c>
      <c r="R286" s="121">
        <v>3094014</v>
      </c>
      <c r="S286" s="121">
        <v>1817663</v>
      </c>
      <c r="T286" s="121">
        <v>3335726</v>
      </c>
      <c r="U286" s="121">
        <v>-2710033</v>
      </c>
      <c r="V286" s="121">
        <v>-5041504</v>
      </c>
      <c r="W286" s="121">
        <v>1631858</v>
      </c>
      <c r="X286" s="121">
        <v>3388224</v>
      </c>
      <c r="Y286" s="121">
        <v>0</v>
      </c>
      <c r="Z286" s="121">
        <v>0</v>
      </c>
      <c r="AA286" s="121">
        <v>-1630696</v>
      </c>
      <c r="AB286" s="121">
        <v>-3385528</v>
      </c>
      <c r="AC286" s="121">
        <v>0</v>
      </c>
      <c r="AD286" s="121">
        <v>0</v>
      </c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143</v>
      </c>
      <c r="B287" t="s">
        <v>147</v>
      </c>
      <c r="C287">
        <v>4</v>
      </c>
      <c r="D287" t="s">
        <v>30</v>
      </c>
      <c r="E287" s="14">
        <v>0</v>
      </c>
      <c r="F287" s="14">
        <v>0</v>
      </c>
      <c r="G287" s="121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143</v>
      </c>
      <c r="B288" t="s">
        <v>147</v>
      </c>
      <c r="C288">
        <v>5</v>
      </c>
      <c r="D288" t="s">
        <v>128</v>
      </c>
      <c r="E288" s="14">
        <v>0</v>
      </c>
      <c r="F288" s="14">
        <v>0</v>
      </c>
      <c r="G288" s="121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143</v>
      </c>
      <c r="B289" t="s">
        <v>147</v>
      </c>
      <c r="C289">
        <v>6</v>
      </c>
      <c r="D289" t="s">
        <v>27</v>
      </c>
      <c r="E289" s="14">
        <v>-31795470</v>
      </c>
      <c r="F289" s="14">
        <v>-52310396.68</v>
      </c>
      <c r="G289" s="121">
        <v>4507</v>
      </c>
      <c r="H289" s="121">
        <v>45278.45</v>
      </c>
      <c r="I289" s="124">
        <v>4500</v>
      </c>
      <c r="J289" s="121">
        <v>31380.2</v>
      </c>
      <c r="K289" s="121">
        <v>10918</v>
      </c>
      <c r="L289" s="121">
        <v>1086.8599999999999</v>
      </c>
      <c r="M289" s="121">
        <v>0</v>
      </c>
      <c r="N289" s="121">
        <v>0</v>
      </c>
      <c r="O289" s="121">
        <v>0</v>
      </c>
      <c r="P289" s="121">
        <v>-50843.28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143</v>
      </c>
      <c r="B290" t="s">
        <v>147</v>
      </c>
      <c r="C290">
        <v>7</v>
      </c>
      <c r="D290" t="s">
        <v>28</v>
      </c>
      <c r="E290" s="14">
        <v>0</v>
      </c>
      <c r="F290" s="14">
        <v>0</v>
      </c>
      <c r="G290" s="121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143</v>
      </c>
      <c r="B291" t="s">
        <v>147</v>
      </c>
      <c r="C291">
        <v>8</v>
      </c>
      <c r="D291" t="s">
        <v>29</v>
      </c>
      <c r="E291" s="14">
        <v>-18975687</v>
      </c>
      <c r="F291" s="14">
        <v>-37786132</v>
      </c>
      <c r="G291" s="121">
        <v>0</v>
      </c>
      <c r="H291" s="121">
        <v>458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-458</v>
      </c>
      <c r="O291" s="121">
        <v>0</v>
      </c>
      <c r="P291" s="121">
        <v>0</v>
      </c>
      <c r="Q291" s="121">
        <v>-1702728</v>
      </c>
      <c r="R291" s="121">
        <v>-3094014</v>
      </c>
      <c r="S291" s="121">
        <v>-1817663</v>
      </c>
      <c r="T291" s="121">
        <v>-3335726</v>
      </c>
      <c r="U291" s="121">
        <v>3520391</v>
      </c>
      <c r="V291" s="121">
        <v>6429740</v>
      </c>
      <c r="W291" s="121">
        <v>-1633020</v>
      </c>
      <c r="X291" s="121">
        <v>-3390920</v>
      </c>
      <c r="Y291" s="121">
        <v>0</v>
      </c>
      <c r="Z291" s="121">
        <v>0</v>
      </c>
      <c r="AA291" s="121">
        <v>1633020</v>
      </c>
      <c r="AB291" s="121">
        <v>3390920</v>
      </c>
      <c r="AC291" s="121">
        <v>0</v>
      </c>
      <c r="AD291" s="121">
        <v>0</v>
      </c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143</v>
      </c>
      <c r="B292" t="s">
        <v>147</v>
      </c>
      <c r="C292">
        <v>9</v>
      </c>
      <c r="D292" t="s">
        <v>30</v>
      </c>
      <c r="E292" s="14">
        <v>0</v>
      </c>
      <c r="F292" s="14">
        <v>0</v>
      </c>
      <c r="G292" s="121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143</v>
      </c>
      <c r="B293" t="s">
        <v>147</v>
      </c>
      <c r="C293">
        <v>10</v>
      </c>
      <c r="D293" t="s">
        <v>34</v>
      </c>
      <c r="E293" s="14">
        <v>271831</v>
      </c>
      <c r="F293" s="14">
        <v>434114.11</v>
      </c>
      <c r="G293" s="121">
        <v>7584</v>
      </c>
      <c r="H293" s="121">
        <v>12111.647999999999</v>
      </c>
      <c r="I293" s="124">
        <v>-1133</v>
      </c>
      <c r="J293" s="121">
        <v>-1809.4010000000001</v>
      </c>
      <c r="K293" s="121">
        <v>1</v>
      </c>
      <c r="L293" s="121">
        <v>1.597</v>
      </c>
      <c r="M293" s="121">
        <v>0</v>
      </c>
      <c r="N293" s="121">
        <v>0</v>
      </c>
      <c r="O293" s="121">
        <v>-9</v>
      </c>
      <c r="P293" s="121">
        <v>-14.372999999999999</v>
      </c>
      <c r="Q293" s="121">
        <v>-99</v>
      </c>
      <c r="R293" s="121">
        <v>-158.10300000000001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143</v>
      </c>
      <c r="B294" t="s">
        <v>147</v>
      </c>
      <c r="C294">
        <v>11</v>
      </c>
      <c r="D294" t="s">
        <v>37</v>
      </c>
      <c r="E294" s="14">
        <v>0</v>
      </c>
      <c r="F294" s="14">
        <v>0</v>
      </c>
      <c r="G294" s="121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143</v>
      </c>
      <c r="B295" t="s">
        <v>147</v>
      </c>
      <c r="C295">
        <v>12</v>
      </c>
      <c r="D295" t="s">
        <v>38</v>
      </c>
      <c r="E295" s="14">
        <v>0</v>
      </c>
      <c r="F295" s="14">
        <v>0</v>
      </c>
      <c r="G295" s="121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143</v>
      </c>
      <c r="B296" t="s">
        <v>147</v>
      </c>
      <c r="C296">
        <v>13</v>
      </c>
      <c r="D296" t="s">
        <v>41</v>
      </c>
      <c r="E296" s="14">
        <v>109832</v>
      </c>
      <c r="F296" s="14">
        <v>175401.71</v>
      </c>
      <c r="G296" s="121">
        <v>233826</v>
      </c>
      <c r="H296" s="121">
        <v>539406.93999999994</v>
      </c>
      <c r="I296" s="124">
        <v>-85142</v>
      </c>
      <c r="J296" s="121">
        <v>-177095.36</v>
      </c>
      <c r="K296" s="121">
        <v>-5005</v>
      </c>
      <c r="L296" s="121">
        <v>-8635.8230000000003</v>
      </c>
      <c r="M296" s="121">
        <v>604</v>
      </c>
      <c r="N296" s="121">
        <v>240636.878</v>
      </c>
      <c r="O296" s="121">
        <v>-41374</v>
      </c>
      <c r="P296" s="121">
        <v>-208928.71900000001</v>
      </c>
      <c r="Q296" s="121">
        <v>87</v>
      </c>
      <c r="R296" s="121">
        <v>419597.64399999997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143</v>
      </c>
      <c r="B297" t="s">
        <v>147</v>
      </c>
      <c r="C297">
        <v>14</v>
      </c>
      <c r="D297" t="s">
        <v>42</v>
      </c>
      <c r="E297" s="14">
        <v>0</v>
      </c>
      <c r="F297" s="14">
        <v>0</v>
      </c>
      <c r="G297" s="121">
        <v>-135759</v>
      </c>
      <c r="H297" s="121">
        <v>-242292.97</v>
      </c>
      <c r="I297" s="124">
        <v>0</v>
      </c>
      <c r="J297" s="121">
        <v>0</v>
      </c>
      <c r="K297" s="121">
        <v>-4402</v>
      </c>
      <c r="L297" s="121">
        <v>-9022.0300000000007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143</v>
      </c>
      <c r="B298" t="s">
        <v>147</v>
      </c>
      <c r="C298">
        <v>15</v>
      </c>
      <c r="D298" t="s">
        <v>43</v>
      </c>
      <c r="E298" s="14">
        <v>0</v>
      </c>
      <c r="F298" s="14">
        <v>0</v>
      </c>
      <c r="G298" s="121">
        <v>5508</v>
      </c>
      <c r="H298" s="121">
        <v>1.6</v>
      </c>
      <c r="I298" s="124">
        <v>0</v>
      </c>
      <c r="J298" s="121">
        <v>0</v>
      </c>
      <c r="K298" s="121">
        <v>4402</v>
      </c>
      <c r="L298" s="121">
        <v>9022.0300000000007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143</v>
      </c>
      <c r="B299" t="s">
        <v>147</v>
      </c>
      <c r="C299">
        <v>16</v>
      </c>
      <c r="D299" t="s">
        <v>44</v>
      </c>
      <c r="E299" s="14">
        <v>-295137</v>
      </c>
      <c r="F299" s="14">
        <v>0.01</v>
      </c>
      <c r="G299" s="121">
        <v>-19425</v>
      </c>
      <c r="H299" s="121">
        <v>0</v>
      </c>
      <c r="I299" s="124">
        <v>0</v>
      </c>
      <c r="J299" s="121">
        <v>0</v>
      </c>
      <c r="K299" s="121">
        <v>0</v>
      </c>
      <c r="L299" s="121">
        <v>0</v>
      </c>
      <c r="M299" s="121">
        <v>0</v>
      </c>
      <c r="N299" s="121">
        <v>-502356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143</v>
      </c>
      <c r="B300" t="s">
        <v>147</v>
      </c>
      <c r="C300">
        <v>17</v>
      </c>
      <c r="D300" t="s">
        <v>129</v>
      </c>
      <c r="E300" s="14">
        <v>0</v>
      </c>
      <c r="F300" s="14">
        <v>0</v>
      </c>
      <c r="G300" s="121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143</v>
      </c>
      <c r="B301" t="s">
        <v>147</v>
      </c>
      <c r="C301">
        <v>18</v>
      </c>
      <c r="D301" t="s">
        <v>130</v>
      </c>
      <c r="E301" s="14">
        <v>-11094</v>
      </c>
      <c r="F301" s="14">
        <v>-18534.63</v>
      </c>
      <c r="G301" s="121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143</v>
      </c>
      <c r="B302" t="s">
        <v>147</v>
      </c>
      <c r="C302">
        <v>19</v>
      </c>
      <c r="D302" t="s">
        <v>49</v>
      </c>
      <c r="E302" s="14">
        <v>0</v>
      </c>
      <c r="F302" s="14">
        <v>0</v>
      </c>
      <c r="G302" s="121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143</v>
      </c>
      <c r="B303" t="s">
        <v>147</v>
      </c>
      <c r="C303">
        <v>20</v>
      </c>
      <c r="D303" t="s">
        <v>131</v>
      </c>
      <c r="E303" s="14">
        <v>0</v>
      </c>
      <c r="F303" s="14">
        <v>0</v>
      </c>
      <c r="G303" s="121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143</v>
      </c>
      <c r="B304" t="s">
        <v>147</v>
      </c>
      <c r="C304">
        <v>21</v>
      </c>
      <c r="D304" t="s">
        <v>132</v>
      </c>
      <c r="E304" s="14">
        <v>0</v>
      </c>
      <c r="F304" s="14">
        <v>0</v>
      </c>
      <c r="G304" s="121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143</v>
      </c>
      <c r="B305" t="s">
        <v>147</v>
      </c>
      <c r="C305">
        <v>22</v>
      </c>
      <c r="D305" t="s">
        <v>133</v>
      </c>
      <c r="E305" s="14">
        <v>129023</v>
      </c>
      <c r="F305" s="14">
        <v>206049.731</v>
      </c>
      <c r="G305" s="121">
        <v>576776</v>
      </c>
      <c r="H305" s="121">
        <v>921111.272</v>
      </c>
      <c r="I305" s="124">
        <v>80715</v>
      </c>
      <c r="J305" s="121">
        <v>128901.855</v>
      </c>
      <c r="K305" s="121">
        <v>602</v>
      </c>
      <c r="L305" s="121">
        <v>961.39400000000001</v>
      </c>
      <c r="M305" s="121">
        <v>-1623</v>
      </c>
      <c r="N305" s="121">
        <v>-2591.931</v>
      </c>
      <c r="O305" s="121">
        <v>-1</v>
      </c>
      <c r="P305" s="121">
        <v>-1.597</v>
      </c>
      <c r="Q305" s="121">
        <v>12</v>
      </c>
      <c r="R305" s="121">
        <v>19.164000000000001</v>
      </c>
      <c r="S305" s="121">
        <v>0</v>
      </c>
      <c r="T305" s="121">
        <v>0</v>
      </c>
      <c r="U305" s="121">
        <v>-810358</v>
      </c>
      <c r="V305" s="121">
        <v>-1294141.726</v>
      </c>
      <c r="W305" s="121">
        <v>1162</v>
      </c>
      <c r="X305" s="121">
        <v>2800.42</v>
      </c>
      <c r="Y305" s="121">
        <v>0</v>
      </c>
      <c r="Z305" s="121">
        <v>0</v>
      </c>
      <c r="AA305" s="121">
        <v>-2324</v>
      </c>
      <c r="AB305" s="121">
        <v>-5600.84</v>
      </c>
      <c r="AC305" s="121">
        <v>0</v>
      </c>
      <c r="AD305" s="121">
        <v>0</v>
      </c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143</v>
      </c>
      <c r="B306" t="s">
        <v>147</v>
      </c>
      <c r="C306">
        <v>23</v>
      </c>
      <c r="D306" t="s">
        <v>134</v>
      </c>
      <c r="E306" s="14">
        <v>-271831</v>
      </c>
      <c r="F306" s="14">
        <v>-434114.11</v>
      </c>
      <c r="G306" s="121">
        <v>-7584</v>
      </c>
      <c r="H306" s="121">
        <v>-12111.647999999999</v>
      </c>
      <c r="I306" s="124">
        <v>1133</v>
      </c>
      <c r="J306" s="121">
        <v>1809.4010000000001</v>
      </c>
      <c r="K306" s="121">
        <v>-1</v>
      </c>
      <c r="L306" s="121">
        <v>-1.597</v>
      </c>
      <c r="M306" s="121">
        <v>0</v>
      </c>
      <c r="N306" s="121">
        <v>0</v>
      </c>
      <c r="O306" s="121">
        <v>9</v>
      </c>
      <c r="P306" s="121">
        <v>14.372999999999999</v>
      </c>
      <c r="Q306" s="121">
        <v>99</v>
      </c>
      <c r="R306" s="121">
        <v>158.10300000000001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143</v>
      </c>
      <c r="B307" t="s">
        <v>147</v>
      </c>
      <c r="C307">
        <v>24</v>
      </c>
      <c r="D307" t="s">
        <v>57</v>
      </c>
      <c r="E307" s="14">
        <v>-12521804</v>
      </c>
      <c r="F307" s="14">
        <v>-184992.53</v>
      </c>
      <c r="G307" s="121">
        <v>-1144987</v>
      </c>
      <c r="H307" s="121">
        <v>-49833.05</v>
      </c>
      <c r="I307" s="124">
        <v>-99</v>
      </c>
      <c r="J307" s="121">
        <v>6000.33</v>
      </c>
      <c r="K307" s="121">
        <v>-493802</v>
      </c>
      <c r="L307" s="121">
        <v>-105.37</v>
      </c>
      <c r="M307" s="121">
        <v>-4420</v>
      </c>
      <c r="N307" s="121">
        <v>-1439.7</v>
      </c>
      <c r="O307" s="121">
        <v>4501</v>
      </c>
      <c r="P307" s="121">
        <v>-384.45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143</v>
      </c>
      <c r="B308" t="s">
        <v>147</v>
      </c>
      <c r="C308">
        <v>25</v>
      </c>
      <c r="D308" t="s">
        <v>58</v>
      </c>
      <c r="E308" s="14">
        <v>0</v>
      </c>
      <c r="F308" s="14">
        <v>-2674409.12</v>
      </c>
      <c r="G308" s="121">
        <v>0</v>
      </c>
      <c r="H308" s="121">
        <v>37333.49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143</v>
      </c>
      <c r="B309" t="s">
        <v>147</v>
      </c>
      <c r="C309">
        <v>26</v>
      </c>
      <c r="D309" t="s">
        <v>135</v>
      </c>
      <c r="E309" s="14">
        <v>0</v>
      </c>
      <c r="F309" s="14">
        <v>0</v>
      </c>
      <c r="G309" s="121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143</v>
      </c>
      <c r="B310" t="s">
        <v>147</v>
      </c>
      <c r="C310">
        <v>27</v>
      </c>
      <c r="D310" t="s">
        <v>136</v>
      </c>
      <c r="E310" s="14">
        <v>0</v>
      </c>
      <c r="F310" s="14">
        <v>0</v>
      </c>
      <c r="G310" s="121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143</v>
      </c>
      <c r="B311" t="s">
        <v>147</v>
      </c>
      <c r="C311">
        <v>28</v>
      </c>
      <c r="D311" t="s">
        <v>137</v>
      </c>
      <c r="E311" s="14">
        <v>0</v>
      </c>
      <c r="F311" s="14">
        <v>0</v>
      </c>
      <c r="G311" s="121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143</v>
      </c>
      <c r="B312" t="s">
        <v>147</v>
      </c>
      <c r="C312">
        <v>29</v>
      </c>
      <c r="D312" t="s">
        <v>138</v>
      </c>
      <c r="E312" s="14">
        <v>0</v>
      </c>
      <c r="F312" s="14">
        <v>0</v>
      </c>
      <c r="G312" s="121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143</v>
      </c>
      <c r="B313" t="s">
        <v>147</v>
      </c>
      <c r="C313">
        <v>30</v>
      </c>
      <c r="D313" t="s">
        <v>139</v>
      </c>
      <c r="E313" s="14">
        <v>0</v>
      </c>
      <c r="F313" s="14">
        <v>0</v>
      </c>
      <c r="G313" s="121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143</v>
      </c>
      <c r="B314" t="s">
        <v>147</v>
      </c>
      <c r="C314">
        <v>31</v>
      </c>
      <c r="D314" t="s">
        <v>140</v>
      </c>
      <c r="E314" s="14">
        <v>0</v>
      </c>
      <c r="F314" s="14">
        <v>0</v>
      </c>
      <c r="G314" s="121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143</v>
      </c>
      <c r="B315" t="s">
        <v>147</v>
      </c>
      <c r="C315">
        <v>32</v>
      </c>
      <c r="D315" t="s">
        <v>72</v>
      </c>
      <c r="E315" s="14">
        <v>0</v>
      </c>
      <c r="F315" s="14">
        <v>0</v>
      </c>
      <c r="G315" s="121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143</v>
      </c>
      <c r="B316" t="s">
        <v>147</v>
      </c>
      <c r="C316">
        <v>33</v>
      </c>
      <c r="D316" t="s">
        <v>73</v>
      </c>
      <c r="E316" s="14">
        <v>0</v>
      </c>
      <c r="F316" s="14">
        <v>0</v>
      </c>
      <c r="G316" s="121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143</v>
      </c>
      <c r="B317" t="s">
        <v>147</v>
      </c>
      <c r="C317">
        <v>34</v>
      </c>
      <c r="D317" t="s">
        <v>74</v>
      </c>
      <c r="E317" s="14">
        <v>0</v>
      </c>
      <c r="F317" s="14">
        <v>0</v>
      </c>
      <c r="G317" s="121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143</v>
      </c>
      <c r="B318" t="s">
        <v>147</v>
      </c>
      <c r="C318">
        <v>35</v>
      </c>
      <c r="D318" t="s">
        <v>75</v>
      </c>
      <c r="E318" s="14">
        <v>0</v>
      </c>
      <c r="F318" s="14">
        <v>-12014.53</v>
      </c>
      <c r="G318" s="121">
        <v>0</v>
      </c>
      <c r="H318" s="121">
        <v>0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143</v>
      </c>
      <c r="B319" t="s">
        <v>147</v>
      </c>
      <c r="C319">
        <v>36</v>
      </c>
      <c r="D319" t="s">
        <v>76</v>
      </c>
      <c r="E319" s="14">
        <v>0</v>
      </c>
      <c r="F319" s="14">
        <v>0</v>
      </c>
      <c r="G319" s="121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143</v>
      </c>
      <c r="B320" t="s">
        <v>147</v>
      </c>
      <c r="C320">
        <v>37</v>
      </c>
      <c r="D320" t="s">
        <v>77</v>
      </c>
      <c r="E320" s="14">
        <v>0</v>
      </c>
      <c r="F320" s="14">
        <v>0</v>
      </c>
      <c r="G320" s="121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143</v>
      </c>
      <c r="B321" t="s">
        <v>147</v>
      </c>
      <c r="C321">
        <v>38</v>
      </c>
      <c r="D321" t="s">
        <v>78</v>
      </c>
      <c r="E321" s="14">
        <v>0</v>
      </c>
      <c r="F321" s="14">
        <v>0</v>
      </c>
      <c r="G321" s="121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143</v>
      </c>
      <c r="B322" t="s">
        <v>147</v>
      </c>
      <c r="C322">
        <v>39</v>
      </c>
      <c r="D322" t="s">
        <v>79</v>
      </c>
      <c r="E322" s="14">
        <v>0</v>
      </c>
      <c r="F322" s="14">
        <v>0</v>
      </c>
      <c r="G322" s="121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143</v>
      </c>
      <c r="B323" t="s">
        <v>147</v>
      </c>
      <c r="C323">
        <v>40</v>
      </c>
      <c r="D323" t="s">
        <v>80</v>
      </c>
      <c r="E323" s="14">
        <v>0</v>
      </c>
      <c r="F323" s="14">
        <v>59658.86</v>
      </c>
      <c r="G323" s="121">
        <v>0</v>
      </c>
      <c r="H323" s="121">
        <v>-3296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148</v>
      </c>
      <c r="B324" t="s">
        <v>149</v>
      </c>
      <c r="C324">
        <v>1</v>
      </c>
      <c r="D324" t="s">
        <v>27</v>
      </c>
      <c r="E324" s="14">
        <v>0</v>
      </c>
      <c r="F324" s="14">
        <v>0</v>
      </c>
      <c r="G324" s="121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148</v>
      </c>
      <c r="B325" t="s">
        <v>149</v>
      </c>
      <c r="C325">
        <v>2</v>
      </c>
      <c r="D325" t="s">
        <v>28</v>
      </c>
      <c r="E325" s="14">
        <v>0</v>
      </c>
      <c r="F325" s="14">
        <v>0</v>
      </c>
      <c r="G325" s="121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148</v>
      </c>
      <c r="B326" t="s">
        <v>149</v>
      </c>
      <c r="C326">
        <v>3</v>
      </c>
      <c r="D326" t="s">
        <v>29</v>
      </c>
      <c r="E326" s="14">
        <v>0</v>
      </c>
      <c r="F326" s="14">
        <v>0</v>
      </c>
      <c r="G326" s="121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148</v>
      </c>
      <c r="B327" t="s">
        <v>149</v>
      </c>
      <c r="C327">
        <v>4</v>
      </c>
      <c r="D327" t="s">
        <v>30</v>
      </c>
      <c r="E327" s="14">
        <v>0</v>
      </c>
      <c r="F327" s="14">
        <v>0</v>
      </c>
      <c r="G327" s="121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148</v>
      </c>
      <c r="B328" t="s">
        <v>149</v>
      </c>
      <c r="C328">
        <v>5</v>
      </c>
      <c r="D328" t="s">
        <v>128</v>
      </c>
      <c r="E328" s="14">
        <v>0</v>
      </c>
      <c r="F328" s="14">
        <v>0</v>
      </c>
      <c r="G328" s="121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148</v>
      </c>
      <c r="B329" t="s">
        <v>149</v>
      </c>
      <c r="C329">
        <v>6</v>
      </c>
      <c r="D329" t="s">
        <v>27</v>
      </c>
      <c r="E329" s="14">
        <v>0</v>
      </c>
      <c r="F329" s="14">
        <v>0</v>
      </c>
      <c r="G329" s="121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148</v>
      </c>
      <c r="B330" t="s">
        <v>149</v>
      </c>
      <c r="C330">
        <v>7</v>
      </c>
      <c r="D330" t="s">
        <v>28</v>
      </c>
      <c r="E330" s="14">
        <v>0</v>
      </c>
      <c r="F330" s="14">
        <v>0</v>
      </c>
      <c r="G330" s="121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148</v>
      </c>
      <c r="B331" t="s">
        <v>149</v>
      </c>
      <c r="C331">
        <v>8</v>
      </c>
      <c r="D331" t="s">
        <v>29</v>
      </c>
      <c r="E331" s="14">
        <v>0</v>
      </c>
      <c r="F331" s="14">
        <v>0</v>
      </c>
      <c r="G331" s="121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148</v>
      </c>
      <c r="B332" t="s">
        <v>149</v>
      </c>
      <c r="C332">
        <v>9</v>
      </c>
      <c r="D332" t="s">
        <v>30</v>
      </c>
      <c r="E332" s="14">
        <v>0</v>
      </c>
      <c r="F332" s="14">
        <v>0</v>
      </c>
      <c r="G332" s="121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148</v>
      </c>
      <c r="B333" t="s">
        <v>149</v>
      </c>
      <c r="C333">
        <v>10</v>
      </c>
      <c r="D333" t="s">
        <v>34</v>
      </c>
      <c r="E333" s="14">
        <v>0</v>
      </c>
      <c r="F333" s="14">
        <v>0</v>
      </c>
      <c r="G333" s="121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148</v>
      </c>
      <c r="B334" t="s">
        <v>149</v>
      </c>
      <c r="C334">
        <v>11</v>
      </c>
      <c r="D334" t="s">
        <v>37</v>
      </c>
      <c r="E334" s="14">
        <v>0</v>
      </c>
      <c r="F334" s="14">
        <v>0</v>
      </c>
      <c r="G334" s="121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148</v>
      </c>
      <c r="B335" t="s">
        <v>149</v>
      </c>
      <c r="C335">
        <v>12</v>
      </c>
      <c r="D335" t="s">
        <v>38</v>
      </c>
      <c r="E335" s="14">
        <v>0</v>
      </c>
      <c r="F335" s="14">
        <v>0</v>
      </c>
      <c r="G335" s="121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148</v>
      </c>
      <c r="B336" t="s">
        <v>149</v>
      </c>
      <c r="C336">
        <v>13</v>
      </c>
      <c r="D336" t="s">
        <v>41</v>
      </c>
      <c r="E336" s="14">
        <v>0</v>
      </c>
      <c r="F336" s="14">
        <v>0</v>
      </c>
      <c r="G336" s="121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148</v>
      </c>
      <c r="B337" t="s">
        <v>149</v>
      </c>
      <c r="C337">
        <v>14</v>
      </c>
      <c r="D337" t="s">
        <v>42</v>
      </c>
      <c r="E337" s="14">
        <v>0</v>
      </c>
      <c r="F337" s="14">
        <v>0</v>
      </c>
      <c r="G337" s="121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148</v>
      </c>
      <c r="B338" t="s">
        <v>149</v>
      </c>
      <c r="C338">
        <v>15</v>
      </c>
      <c r="D338" t="s">
        <v>43</v>
      </c>
      <c r="E338" s="14">
        <v>0</v>
      </c>
      <c r="F338" s="14">
        <v>0</v>
      </c>
      <c r="G338" s="121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148</v>
      </c>
      <c r="B339" t="s">
        <v>149</v>
      </c>
      <c r="C339">
        <v>16</v>
      </c>
      <c r="D339" t="s">
        <v>44</v>
      </c>
      <c r="E339" s="14">
        <v>0</v>
      </c>
      <c r="F339" s="14">
        <v>0</v>
      </c>
      <c r="G339" s="121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148</v>
      </c>
      <c r="B340" t="s">
        <v>149</v>
      </c>
      <c r="C340">
        <v>17</v>
      </c>
      <c r="D340" t="s">
        <v>129</v>
      </c>
      <c r="E340" s="14">
        <v>0</v>
      </c>
      <c r="F340" s="14">
        <v>0</v>
      </c>
      <c r="G340" s="121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148</v>
      </c>
      <c r="B341" s="123" t="s">
        <v>149</v>
      </c>
      <c r="C341" s="123">
        <v>18</v>
      </c>
      <c r="D341" s="123" t="s">
        <v>130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148</v>
      </c>
      <c r="B342" t="s">
        <v>149</v>
      </c>
      <c r="C342">
        <v>19</v>
      </c>
      <c r="D342" t="s">
        <v>49</v>
      </c>
      <c r="E342" s="14">
        <v>0</v>
      </c>
      <c r="F342" s="14">
        <v>0</v>
      </c>
      <c r="G342" s="121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148</v>
      </c>
      <c r="B343" t="s">
        <v>149</v>
      </c>
      <c r="C343">
        <v>20</v>
      </c>
      <c r="D343" t="s">
        <v>131</v>
      </c>
      <c r="E343" s="14">
        <v>0</v>
      </c>
      <c r="F343" s="14">
        <v>0</v>
      </c>
      <c r="G343" s="121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148</v>
      </c>
      <c r="B344" t="s">
        <v>149</v>
      </c>
      <c r="C344">
        <v>21</v>
      </c>
      <c r="D344" t="s">
        <v>132</v>
      </c>
      <c r="E344" s="14">
        <v>0</v>
      </c>
      <c r="F344" s="14">
        <v>0</v>
      </c>
      <c r="G344" s="121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148</v>
      </c>
      <c r="B345" t="s">
        <v>149</v>
      </c>
      <c r="C345">
        <v>22</v>
      </c>
      <c r="D345" t="s">
        <v>133</v>
      </c>
      <c r="E345" s="14">
        <v>0</v>
      </c>
      <c r="F345" s="14">
        <v>0</v>
      </c>
      <c r="G345" s="121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148</v>
      </c>
      <c r="B346" t="s">
        <v>149</v>
      </c>
      <c r="C346">
        <v>23</v>
      </c>
      <c r="D346" t="s">
        <v>134</v>
      </c>
      <c r="E346" s="14">
        <v>0</v>
      </c>
      <c r="F346" s="14">
        <v>0</v>
      </c>
      <c r="G346" s="121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148</v>
      </c>
      <c r="B347" t="s">
        <v>149</v>
      </c>
      <c r="C347">
        <v>24</v>
      </c>
      <c r="D347" t="s">
        <v>57</v>
      </c>
      <c r="E347" s="14">
        <v>0</v>
      </c>
      <c r="F347" s="14">
        <v>0</v>
      </c>
      <c r="G347" s="121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148</v>
      </c>
      <c r="B348" t="s">
        <v>149</v>
      </c>
      <c r="C348">
        <v>25</v>
      </c>
      <c r="D348" t="s">
        <v>58</v>
      </c>
      <c r="E348" s="14">
        <v>0</v>
      </c>
      <c r="F348" s="14">
        <v>0</v>
      </c>
      <c r="G348" s="121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148</v>
      </c>
      <c r="B349" t="s">
        <v>149</v>
      </c>
      <c r="C349">
        <v>26</v>
      </c>
      <c r="D349" t="s">
        <v>135</v>
      </c>
      <c r="E349" s="14">
        <v>0</v>
      </c>
      <c r="F349" s="14">
        <v>0</v>
      </c>
      <c r="G349" s="121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148</v>
      </c>
      <c r="B350" t="s">
        <v>149</v>
      </c>
      <c r="C350">
        <v>27</v>
      </c>
      <c r="D350" t="s">
        <v>136</v>
      </c>
      <c r="E350" s="14">
        <v>0</v>
      </c>
      <c r="F350" s="14">
        <v>0</v>
      </c>
      <c r="G350" s="121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148</v>
      </c>
      <c r="B351" t="s">
        <v>149</v>
      </c>
      <c r="C351">
        <v>28</v>
      </c>
      <c r="D351" t="s">
        <v>137</v>
      </c>
      <c r="E351" s="125">
        <v>0</v>
      </c>
      <c r="F351" s="125">
        <v>0</v>
      </c>
      <c r="G351" s="126">
        <v>0</v>
      </c>
      <c r="H351" s="126">
        <v>0</v>
      </c>
      <c r="I351" s="174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148</v>
      </c>
      <c r="B352" t="s">
        <v>149</v>
      </c>
      <c r="C352">
        <v>29</v>
      </c>
      <c r="D352" t="s">
        <v>138</v>
      </c>
      <c r="E352" s="14">
        <v>0</v>
      </c>
      <c r="F352" s="14">
        <v>0</v>
      </c>
      <c r="G352" s="121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148</v>
      </c>
      <c r="B353" t="s">
        <v>149</v>
      </c>
      <c r="C353">
        <v>30</v>
      </c>
      <c r="D353" t="s">
        <v>139</v>
      </c>
      <c r="E353" s="14">
        <v>0</v>
      </c>
      <c r="F353" s="14">
        <v>0</v>
      </c>
      <c r="G353" s="121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148</v>
      </c>
      <c r="B354" t="s">
        <v>149</v>
      </c>
      <c r="C354">
        <v>31</v>
      </c>
      <c r="D354" t="s">
        <v>140</v>
      </c>
      <c r="E354" s="14">
        <v>0</v>
      </c>
      <c r="F354" s="14">
        <v>0</v>
      </c>
      <c r="G354" s="121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148</v>
      </c>
      <c r="B355" t="s">
        <v>149</v>
      </c>
      <c r="C355">
        <v>32</v>
      </c>
      <c r="D355" t="s">
        <v>72</v>
      </c>
      <c r="E355" s="14">
        <v>0</v>
      </c>
      <c r="F355" s="14">
        <v>0</v>
      </c>
      <c r="G355" s="121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148</v>
      </c>
      <c r="B356" t="s">
        <v>149</v>
      </c>
      <c r="C356">
        <v>33</v>
      </c>
      <c r="D356" t="s">
        <v>73</v>
      </c>
      <c r="E356" s="14">
        <v>0</v>
      </c>
      <c r="F356" s="14">
        <v>0</v>
      </c>
      <c r="G356" s="121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148</v>
      </c>
      <c r="B357" t="s">
        <v>149</v>
      </c>
      <c r="C357">
        <v>34</v>
      </c>
      <c r="D357" t="s">
        <v>74</v>
      </c>
      <c r="E357" s="14">
        <v>0</v>
      </c>
      <c r="F357" s="14">
        <v>0</v>
      </c>
      <c r="G357" s="121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148</v>
      </c>
      <c r="B358" t="s">
        <v>149</v>
      </c>
      <c r="C358">
        <v>35</v>
      </c>
      <c r="D358" t="s">
        <v>75</v>
      </c>
      <c r="E358" s="14">
        <v>0</v>
      </c>
      <c r="F358" s="14">
        <v>0</v>
      </c>
      <c r="G358" s="121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148</v>
      </c>
      <c r="B359" t="s">
        <v>149</v>
      </c>
      <c r="C359">
        <v>36</v>
      </c>
      <c r="D359" t="s">
        <v>76</v>
      </c>
      <c r="E359" s="14">
        <v>0</v>
      </c>
      <c r="F359" s="14">
        <v>0</v>
      </c>
      <c r="G359" s="121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148</v>
      </c>
      <c r="B360" t="s">
        <v>149</v>
      </c>
      <c r="C360">
        <v>37</v>
      </c>
      <c r="D360" t="s">
        <v>77</v>
      </c>
      <c r="E360" s="14">
        <v>0</v>
      </c>
      <c r="F360" s="14">
        <v>0</v>
      </c>
      <c r="G360" s="121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148</v>
      </c>
      <c r="B361" t="s">
        <v>149</v>
      </c>
      <c r="C361">
        <v>38</v>
      </c>
      <c r="D361" t="s">
        <v>78</v>
      </c>
      <c r="E361" s="14">
        <v>0</v>
      </c>
      <c r="F361" s="14">
        <v>0</v>
      </c>
      <c r="G361" s="121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148</v>
      </c>
      <c r="B362" t="s">
        <v>149</v>
      </c>
      <c r="C362">
        <v>39</v>
      </c>
      <c r="D362" t="s">
        <v>79</v>
      </c>
      <c r="E362" s="14">
        <v>0</v>
      </c>
      <c r="F362" s="14">
        <v>0</v>
      </c>
      <c r="G362" s="121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148</v>
      </c>
      <c r="B363" t="s">
        <v>149</v>
      </c>
      <c r="C363">
        <v>40</v>
      </c>
      <c r="D363" t="s">
        <v>80</v>
      </c>
      <c r="E363" s="14">
        <v>0</v>
      </c>
      <c r="F363" s="14">
        <v>0</v>
      </c>
      <c r="G363" s="121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150</v>
      </c>
      <c r="B364" t="s">
        <v>151</v>
      </c>
      <c r="C364">
        <v>1</v>
      </c>
      <c r="D364" t="s">
        <v>27</v>
      </c>
      <c r="E364" s="14">
        <v>0</v>
      </c>
      <c r="F364" s="14">
        <v>0</v>
      </c>
      <c r="G364" s="121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150</v>
      </c>
      <c r="B365" t="s">
        <v>151</v>
      </c>
      <c r="C365">
        <v>2</v>
      </c>
      <c r="D365" t="s">
        <v>28</v>
      </c>
      <c r="E365" s="14">
        <v>0</v>
      </c>
      <c r="F365" s="14">
        <v>0</v>
      </c>
      <c r="G365" s="121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150</v>
      </c>
      <c r="B366" t="s">
        <v>151</v>
      </c>
      <c r="C366">
        <v>3</v>
      </c>
      <c r="D366" t="s">
        <v>29</v>
      </c>
      <c r="E366" s="14">
        <v>0</v>
      </c>
      <c r="F366" s="14">
        <v>0</v>
      </c>
      <c r="G366" s="121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150</v>
      </c>
      <c r="B367" t="s">
        <v>151</v>
      </c>
      <c r="C367">
        <v>4</v>
      </c>
      <c r="D367" t="s">
        <v>30</v>
      </c>
      <c r="E367" s="14">
        <v>0</v>
      </c>
      <c r="F367" s="14">
        <v>0</v>
      </c>
      <c r="G367" s="121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150</v>
      </c>
      <c r="B368" t="s">
        <v>151</v>
      </c>
      <c r="C368">
        <v>5</v>
      </c>
      <c r="D368" t="s">
        <v>128</v>
      </c>
      <c r="E368" s="14">
        <v>0</v>
      </c>
      <c r="F368" s="14">
        <v>0</v>
      </c>
      <c r="G368" s="121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150</v>
      </c>
      <c r="B369" t="s">
        <v>151</v>
      </c>
      <c r="C369">
        <v>6</v>
      </c>
      <c r="D369" t="s">
        <v>27</v>
      </c>
      <c r="E369" s="14">
        <v>0</v>
      </c>
      <c r="F369" s="14">
        <v>0</v>
      </c>
      <c r="G369" s="121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150</v>
      </c>
      <c r="B370" t="s">
        <v>151</v>
      </c>
      <c r="C370">
        <v>7</v>
      </c>
      <c r="D370" t="s">
        <v>28</v>
      </c>
      <c r="E370" s="14">
        <v>0</v>
      </c>
      <c r="F370" s="14">
        <v>0</v>
      </c>
      <c r="G370" s="121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150</v>
      </c>
      <c r="B371" t="s">
        <v>151</v>
      </c>
      <c r="C371">
        <v>8</v>
      </c>
      <c r="D371" t="s">
        <v>29</v>
      </c>
      <c r="E371" s="14">
        <v>0</v>
      </c>
      <c r="F371" s="14">
        <v>0</v>
      </c>
      <c r="G371" s="121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150</v>
      </c>
      <c r="B372" t="s">
        <v>151</v>
      </c>
      <c r="C372">
        <v>9</v>
      </c>
      <c r="D372" t="s">
        <v>30</v>
      </c>
      <c r="E372" s="14">
        <v>0</v>
      </c>
      <c r="F372" s="14">
        <v>0</v>
      </c>
      <c r="G372" s="121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150</v>
      </c>
      <c r="B373" t="s">
        <v>151</v>
      </c>
      <c r="C373">
        <v>10</v>
      </c>
      <c r="D373" t="s">
        <v>34</v>
      </c>
      <c r="E373" s="14">
        <v>0</v>
      </c>
      <c r="F373" s="14">
        <v>0</v>
      </c>
      <c r="G373" s="121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150</v>
      </c>
      <c r="B374" t="s">
        <v>151</v>
      </c>
      <c r="C374">
        <v>11</v>
      </c>
      <c r="D374" t="s">
        <v>37</v>
      </c>
      <c r="E374" s="14">
        <v>0</v>
      </c>
      <c r="F374" s="14">
        <v>0</v>
      </c>
      <c r="G374" s="121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150</v>
      </c>
      <c r="B375" t="s">
        <v>151</v>
      </c>
      <c r="C375">
        <v>12</v>
      </c>
      <c r="D375" t="s">
        <v>38</v>
      </c>
      <c r="E375" s="14">
        <v>0</v>
      </c>
      <c r="F375" s="14">
        <v>0</v>
      </c>
      <c r="G375" s="121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150</v>
      </c>
      <c r="B376" t="s">
        <v>151</v>
      </c>
      <c r="C376">
        <v>13</v>
      </c>
      <c r="D376" t="s">
        <v>41</v>
      </c>
      <c r="E376" s="14">
        <v>0</v>
      </c>
      <c r="F376" s="14">
        <v>0</v>
      </c>
      <c r="G376" s="121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150</v>
      </c>
      <c r="B377" t="s">
        <v>151</v>
      </c>
      <c r="C377">
        <v>14</v>
      </c>
      <c r="D377" t="s">
        <v>42</v>
      </c>
      <c r="E377" s="14">
        <v>0</v>
      </c>
      <c r="F377" s="14">
        <v>0</v>
      </c>
      <c r="G377" s="121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150</v>
      </c>
      <c r="B378" t="s">
        <v>151</v>
      </c>
      <c r="C378">
        <v>15</v>
      </c>
      <c r="D378" t="s">
        <v>43</v>
      </c>
      <c r="E378" s="14">
        <v>0</v>
      </c>
      <c r="F378" s="14">
        <v>0</v>
      </c>
      <c r="G378" s="121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150</v>
      </c>
      <c r="B379" t="s">
        <v>151</v>
      </c>
      <c r="C379">
        <v>16</v>
      </c>
      <c r="D379" t="s">
        <v>44</v>
      </c>
      <c r="E379" s="14">
        <v>0</v>
      </c>
      <c r="F379" s="14">
        <v>0</v>
      </c>
      <c r="G379" s="121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150</v>
      </c>
      <c r="B380" t="s">
        <v>151</v>
      </c>
      <c r="C380">
        <v>17</v>
      </c>
      <c r="D380" t="s">
        <v>129</v>
      </c>
      <c r="E380" s="14">
        <v>0</v>
      </c>
      <c r="F380" s="14">
        <v>0</v>
      </c>
      <c r="G380" s="121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150</v>
      </c>
      <c r="B381" t="s">
        <v>151</v>
      </c>
      <c r="C381">
        <v>18</v>
      </c>
      <c r="D381" t="s">
        <v>130</v>
      </c>
      <c r="E381" s="14">
        <v>0</v>
      </c>
      <c r="F381" s="14">
        <v>0</v>
      </c>
      <c r="G381" s="121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150</v>
      </c>
      <c r="B382" t="s">
        <v>151</v>
      </c>
      <c r="C382">
        <v>19</v>
      </c>
      <c r="D382" t="s">
        <v>49</v>
      </c>
      <c r="E382" s="14">
        <v>0</v>
      </c>
      <c r="F382" s="14">
        <v>0</v>
      </c>
      <c r="G382" s="121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150</v>
      </c>
      <c r="B383" t="s">
        <v>151</v>
      </c>
      <c r="C383">
        <v>20</v>
      </c>
      <c r="D383" t="s">
        <v>131</v>
      </c>
      <c r="E383" s="14">
        <v>0</v>
      </c>
      <c r="F383" s="14">
        <v>0</v>
      </c>
      <c r="G383" s="121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150</v>
      </c>
      <c r="B384" t="s">
        <v>151</v>
      </c>
      <c r="C384">
        <v>21</v>
      </c>
      <c r="D384" t="s">
        <v>132</v>
      </c>
      <c r="E384" s="14">
        <v>0</v>
      </c>
      <c r="F384" s="14">
        <v>0</v>
      </c>
      <c r="G384" s="121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150</v>
      </c>
      <c r="B385" t="s">
        <v>151</v>
      </c>
      <c r="C385">
        <v>22</v>
      </c>
      <c r="D385" t="s">
        <v>133</v>
      </c>
      <c r="E385" s="14">
        <v>0</v>
      </c>
      <c r="F385" s="14">
        <v>0</v>
      </c>
      <c r="G385" s="121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150</v>
      </c>
      <c r="B386" t="s">
        <v>151</v>
      </c>
      <c r="C386">
        <v>23</v>
      </c>
      <c r="D386" t="s">
        <v>134</v>
      </c>
      <c r="E386" s="14">
        <v>0</v>
      </c>
      <c r="F386" s="14">
        <v>0</v>
      </c>
      <c r="G386" s="121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150</v>
      </c>
      <c r="B387" t="s">
        <v>151</v>
      </c>
      <c r="C387">
        <v>24</v>
      </c>
      <c r="D387" t="s">
        <v>57</v>
      </c>
      <c r="E387" s="14">
        <v>0</v>
      </c>
      <c r="F387" s="14">
        <v>0</v>
      </c>
      <c r="G387" s="121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150</v>
      </c>
      <c r="B388" t="s">
        <v>151</v>
      </c>
      <c r="C388">
        <v>25</v>
      </c>
      <c r="D388" t="s">
        <v>58</v>
      </c>
      <c r="E388" s="14">
        <v>0</v>
      </c>
      <c r="F388" s="14">
        <v>0</v>
      </c>
      <c r="G388" s="121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150</v>
      </c>
      <c r="B389" t="s">
        <v>151</v>
      </c>
      <c r="C389">
        <v>26</v>
      </c>
      <c r="D389" t="s">
        <v>135</v>
      </c>
      <c r="E389" s="14">
        <v>0</v>
      </c>
      <c r="F389" s="14">
        <v>0</v>
      </c>
      <c r="G389" s="121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150</v>
      </c>
      <c r="B390" t="s">
        <v>151</v>
      </c>
      <c r="C390">
        <v>27</v>
      </c>
      <c r="D390" t="s">
        <v>136</v>
      </c>
      <c r="E390" s="14">
        <v>0</v>
      </c>
      <c r="F390" s="14">
        <v>0</v>
      </c>
      <c r="G390" s="121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150</v>
      </c>
      <c r="B391" t="s">
        <v>151</v>
      </c>
      <c r="C391">
        <v>28</v>
      </c>
      <c r="D391" t="s">
        <v>137</v>
      </c>
      <c r="E391" s="14">
        <v>0</v>
      </c>
      <c r="F391" s="14">
        <v>0</v>
      </c>
      <c r="G391" s="121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150</v>
      </c>
      <c r="B392" t="s">
        <v>151</v>
      </c>
      <c r="C392">
        <v>29</v>
      </c>
      <c r="D392" t="s">
        <v>138</v>
      </c>
      <c r="E392" s="14">
        <v>0</v>
      </c>
      <c r="F392" s="14">
        <v>0</v>
      </c>
      <c r="G392" s="121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150</v>
      </c>
      <c r="B393" t="s">
        <v>151</v>
      </c>
      <c r="C393">
        <v>30</v>
      </c>
      <c r="D393" t="s">
        <v>139</v>
      </c>
      <c r="E393" s="14">
        <v>0</v>
      </c>
      <c r="F393" s="14">
        <v>0</v>
      </c>
      <c r="G393" s="121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150</v>
      </c>
      <c r="B394" t="s">
        <v>151</v>
      </c>
      <c r="C394">
        <v>31</v>
      </c>
      <c r="D394" t="s">
        <v>140</v>
      </c>
      <c r="E394" s="14">
        <v>0</v>
      </c>
      <c r="F394" s="14">
        <v>0</v>
      </c>
      <c r="G394" s="121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150</v>
      </c>
      <c r="B395" t="s">
        <v>151</v>
      </c>
      <c r="C395">
        <v>32</v>
      </c>
      <c r="D395" t="s">
        <v>72</v>
      </c>
      <c r="E395" s="14">
        <v>0</v>
      </c>
      <c r="F395" s="14">
        <v>0</v>
      </c>
      <c r="G395" s="121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150</v>
      </c>
      <c r="B396" t="s">
        <v>151</v>
      </c>
      <c r="C396">
        <v>33</v>
      </c>
      <c r="D396" t="s">
        <v>73</v>
      </c>
      <c r="E396" s="14">
        <v>0</v>
      </c>
      <c r="F396" s="14">
        <v>0</v>
      </c>
      <c r="G396" s="121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150</v>
      </c>
      <c r="B397" t="s">
        <v>151</v>
      </c>
      <c r="C397">
        <v>34</v>
      </c>
      <c r="D397" t="s">
        <v>74</v>
      </c>
      <c r="E397" s="14">
        <v>0</v>
      </c>
      <c r="F397" s="14">
        <v>0</v>
      </c>
      <c r="G397" s="121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150</v>
      </c>
      <c r="B398" t="s">
        <v>151</v>
      </c>
      <c r="C398">
        <v>35</v>
      </c>
      <c r="D398" t="s">
        <v>75</v>
      </c>
      <c r="E398" s="14">
        <v>0</v>
      </c>
      <c r="F398" s="14">
        <v>0</v>
      </c>
      <c r="G398" s="121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150</v>
      </c>
      <c r="B399" t="s">
        <v>151</v>
      </c>
      <c r="C399">
        <v>36</v>
      </c>
      <c r="D399" t="s">
        <v>76</v>
      </c>
      <c r="E399" s="14">
        <v>0</v>
      </c>
      <c r="F399" s="14">
        <v>0</v>
      </c>
      <c r="G399" s="121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150</v>
      </c>
      <c r="B400" t="s">
        <v>151</v>
      </c>
      <c r="C400">
        <v>37</v>
      </c>
      <c r="D400" t="s">
        <v>77</v>
      </c>
      <c r="E400" s="14">
        <v>0</v>
      </c>
      <c r="F400" s="14">
        <v>0</v>
      </c>
      <c r="G400" s="121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150</v>
      </c>
      <c r="B401" t="s">
        <v>151</v>
      </c>
      <c r="C401">
        <v>38</v>
      </c>
      <c r="D401" t="s">
        <v>78</v>
      </c>
      <c r="E401" s="14">
        <v>0</v>
      </c>
      <c r="F401" s="14">
        <v>0</v>
      </c>
      <c r="G401" s="121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150</v>
      </c>
      <c r="B402" t="s">
        <v>151</v>
      </c>
      <c r="C402">
        <v>39</v>
      </c>
      <c r="D402" t="s">
        <v>79</v>
      </c>
      <c r="E402" s="14">
        <v>0</v>
      </c>
      <c r="F402" s="14">
        <v>0</v>
      </c>
      <c r="G402" s="121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150</v>
      </c>
      <c r="B403" t="s">
        <v>151</v>
      </c>
      <c r="C403">
        <v>40</v>
      </c>
      <c r="D403" t="s">
        <v>80</v>
      </c>
      <c r="E403" s="14">
        <v>0</v>
      </c>
      <c r="F403" s="14">
        <v>0</v>
      </c>
      <c r="G403" s="121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118" x14ac:dyDescent="0.2"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118" x14ac:dyDescent="0.2"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118" x14ac:dyDescent="0.2"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118" x14ac:dyDescent="0.2"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118" x14ac:dyDescent="0.2"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118" x14ac:dyDescent="0.2"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118" x14ac:dyDescent="0.2"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118" x14ac:dyDescent="0.2"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118" x14ac:dyDescent="0.2"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118" x14ac:dyDescent="0.2"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118" x14ac:dyDescent="0.2">
      <c r="I415" s="175"/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118" x14ac:dyDescent="0.2"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23:30" x14ac:dyDescent="0.2"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23:30" x14ac:dyDescent="0.2"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23:30" x14ac:dyDescent="0.2"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23:30" x14ac:dyDescent="0.2"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23:30" x14ac:dyDescent="0.2"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23:30" x14ac:dyDescent="0.2"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23:30" x14ac:dyDescent="0.2"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23:30" x14ac:dyDescent="0.2"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23:30" x14ac:dyDescent="0.2"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23:30" x14ac:dyDescent="0.2"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23:30" x14ac:dyDescent="0.2"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23:30" x14ac:dyDescent="0.2"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23:30" x14ac:dyDescent="0.2"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23:30" x14ac:dyDescent="0.2"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23:30" x14ac:dyDescent="0.2"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23:30" x14ac:dyDescent="0.2"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23:30" x14ac:dyDescent="0.2"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23:30" x14ac:dyDescent="0.2"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23:30" x14ac:dyDescent="0.2"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23:30" x14ac:dyDescent="0.2"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23:30" x14ac:dyDescent="0.2"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23:30" x14ac:dyDescent="0.2"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23:30" x14ac:dyDescent="0.2"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23:30" x14ac:dyDescent="0.2"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23:30" x14ac:dyDescent="0.2"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23:30" x14ac:dyDescent="0.2"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23:30" x14ac:dyDescent="0.2"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23:30" x14ac:dyDescent="0.2">
      <c r="W444">
        <v>-50000</v>
      </c>
      <c r="X444">
        <v>-102675.19</v>
      </c>
      <c r="Y444">
        <v>-5067</v>
      </c>
      <c r="Z444">
        <v>-9105.99</v>
      </c>
      <c r="AA444">
        <v>0</v>
      </c>
      <c r="AB444">
        <v>0</v>
      </c>
      <c r="AC444">
        <v>0</v>
      </c>
      <c r="AD444">
        <v>12211</v>
      </c>
    </row>
    <row r="445" spans="23:30" x14ac:dyDescent="0.2"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23:30" x14ac:dyDescent="0.2">
      <c r="W446">
        <v>-182564</v>
      </c>
      <c r="X446">
        <v>-302913</v>
      </c>
      <c r="Y446">
        <v>0</v>
      </c>
      <c r="Z446">
        <v>0</v>
      </c>
      <c r="AA446">
        <v>182564</v>
      </c>
      <c r="AB446">
        <v>302913</v>
      </c>
      <c r="AC446">
        <v>0</v>
      </c>
      <c r="AD446">
        <v>0</v>
      </c>
    </row>
    <row r="447" spans="23:30" x14ac:dyDescent="0.2"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23:30" x14ac:dyDescent="0.2"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23:30" x14ac:dyDescent="0.2">
      <c r="W449">
        <v>0</v>
      </c>
      <c r="X449">
        <v>0</v>
      </c>
      <c r="Y449">
        <v>5067</v>
      </c>
      <c r="Z449">
        <v>9409.08</v>
      </c>
      <c r="AA449">
        <v>0</v>
      </c>
      <c r="AB449">
        <v>0</v>
      </c>
      <c r="AC449">
        <v>0</v>
      </c>
      <c r="AD449">
        <v>0</v>
      </c>
    </row>
    <row r="450" spans="23:30" x14ac:dyDescent="0.2"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23:30" x14ac:dyDescent="0.2">
      <c r="W451">
        <v>791874</v>
      </c>
      <c r="X451">
        <v>1349062</v>
      </c>
      <c r="Y451">
        <v>0</v>
      </c>
      <c r="Z451">
        <v>0</v>
      </c>
      <c r="AA451">
        <v>-791874</v>
      </c>
      <c r="AB451">
        <v>-1349062</v>
      </c>
      <c r="AC451">
        <v>0</v>
      </c>
      <c r="AD451">
        <v>0</v>
      </c>
    </row>
    <row r="452" spans="23:30" x14ac:dyDescent="0.2"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23:30" x14ac:dyDescent="0.2"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23:30" x14ac:dyDescent="0.2">
      <c r="W454">
        <v>0</v>
      </c>
      <c r="X454">
        <v>0</v>
      </c>
      <c r="Y454">
        <v>0</v>
      </c>
      <c r="Z454">
        <v>0</v>
      </c>
      <c r="AA454">
        <v>4323</v>
      </c>
      <c r="AB454">
        <v>8040.78</v>
      </c>
      <c r="AC454">
        <v>0</v>
      </c>
      <c r="AD454">
        <v>0</v>
      </c>
    </row>
    <row r="455" spans="23:30" x14ac:dyDescent="0.2"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2759</v>
      </c>
      <c r="AD455">
        <v>5131.74</v>
      </c>
    </row>
    <row r="456" spans="23:30" x14ac:dyDescent="0.2">
      <c r="W456">
        <v>-159000</v>
      </c>
      <c r="X456">
        <v>-289062</v>
      </c>
      <c r="Y456">
        <v>27732</v>
      </c>
      <c r="Z456">
        <v>60483.49</v>
      </c>
      <c r="AA456">
        <v>3618</v>
      </c>
      <c r="AB456">
        <v>6577.5240000000003</v>
      </c>
      <c r="AC456">
        <v>-4934</v>
      </c>
      <c r="AD456">
        <v>-8970.0120000000006</v>
      </c>
    </row>
    <row r="457" spans="23:30" x14ac:dyDescent="0.2"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23:30" x14ac:dyDescent="0.2"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23:30" x14ac:dyDescent="0.2"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23:30" x14ac:dyDescent="0.2">
      <c r="W460">
        <v>0</v>
      </c>
      <c r="X460">
        <v>0</v>
      </c>
      <c r="Y460">
        <v>0</v>
      </c>
      <c r="Z460">
        <v>0</v>
      </c>
      <c r="AA460">
        <v>-2110</v>
      </c>
      <c r="AB460">
        <v>-3956.25</v>
      </c>
      <c r="AC460">
        <v>0</v>
      </c>
      <c r="AD460">
        <v>-93984</v>
      </c>
    </row>
    <row r="461" spans="23:30" x14ac:dyDescent="0.2"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23:30" x14ac:dyDescent="0.2"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23:30" x14ac:dyDescent="0.2"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23:30" x14ac:dyDescent="0.2"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23:30" x14ac:dyDescent="0.2">
      <c r="W465">
        <v>-400310</v>
      </c>
      <c r="X465">
        <v>-727763.58</v>
      </c>
      <c r="Y465">
        <v>-27732</v>
      </c>
      <c r="Z465">
        <v>-50416.775999999998</v>
      </c>
      <c r="AA465">
        <v>603479</v>
      </c>
      <c r="AB465">
        <v>1097124.8219999999</v>
      </c>
      <c r="AC465">
        <v>2175</v>
      </c>
      <c r="AD465">
        <v>3954.15</v>
      </c>
    </row>
    <row r="466" spans="23:30" x14ac:dyDescent="0.2"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23:30" x14ac:dyDescent="0.2">
      <c r="W467">
        <v>-5730</v>
      </c>
      <c r="X467">
        <v>-1145.99</v>
      </c>
      <c r="Y467">
        <v>109617</v>
      </c>
      <c r="Z467">
        <v>9937.67</v>
      </c>
      <c r="AA467">
        <v>-121542</v>
      </c>
      <c r="AB467">
        <v>-9711.59</v>
      </c>
      <c r="AC467">
        <v>585244</v>
      </c>
      <c r="AD467">
        <v>46091.38</v>
      </c>
    </row>
    <row r="468" spans="23:30" x14ac:dyDescent="0.2">
      <c r="W468">
        <v>0</v>
      </c>
      <c r="X468">
        <v>93300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23:30" x14ac:dyDescent="0.2"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23:30" x14ac:dyDescent="0.2"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23:30" x14ac:dyDescent="0.2">
      <c r="W471">
        <v>0</v>
      </c>
      <c r="X471">
        <v>0</v>
      </c>
      <c r="Y471">
        <v>0</v>
      </c>
      <c r="Z471">
        <v>0.01</v>
      </c>
      <c r="AA471">
        <v>0</v>
      </c>
      <c r="AB471">
        <v>0</v>
      </c>
      <c r="AC471">
        <v>0</v>
      </c>
      <c r="AD471">
        <v>0</v>
      </c>
    </row>
    <row r="472" spans="23:30" x14ac:dyDescent="0.2"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23:30" x14ac:dyDescent="0.2"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23:30" x14ac:dyDescent="0.2"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23:30" x14ac:dyDescent="0.2"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23:30" x14ac:dyDescent="0.2"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23:30" x14ac:dyDescent="0.2"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23:30" x14ac:dyDescent="0.2"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23:30" x14ac:dyDescent="0.2"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23:30" x14ac:dyDescent="0.2"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23:30" x14ac:dyDescent="0.2"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23:30" x14ac:dyDescent="0.2"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23:30" x14ac:dyDescent="0.2"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23:30" x14ac:dyDescent="0.2"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23:30" x14ac:dyDescent="0.2"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23:30" x14ac:dyDescent="0.2">
      <c r="W486">
        <v>2710033</v>
      </c>
      <c r="X486">
        <v>5041504</v>
      </c>
      <c r="Y486">
        <v>0</v>
      </c>
      <c r="Z486">
        <v>0</v>
      </c>
      <c r="AA486">
        <v>-2710033</v>
      </c>
      <c r="AB486">
        <v>-5041504</v>
      </c>
      <c r="AC486">
        <v>0</v>
      </c>
      <c r="AD486">
        <v>0</v>
      </c>
    </row>
    <row r="487" spans="23:30" x14ac:dyDescent="0.2"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23:30" x14ac:dyDescent="0.2"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23:30" x14ac:dyDescent="0.2">
      <c r="W489">
        <v>0</v>
      </c>
      <c r="X489">
        <v>0</v>
      </c>
      <c r="Y489">
        <v>0</v>
      </c>
      <c r="Z489">
        <v>0</v>
      </c>
      <c r="AA489">
        <v>0</v>
      </c>
      <c r="AB489">
        <v>-1131</v>
      </c>
      <c r="AC489">
        <v>0</v>
      </c>
      <c r="AD489">
        <v>0</v>
      </c>
    </row>
    <row r="490" spans="23:30" x14ac:dyDescent="0.2"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23:30" x14ac:dyDescent="0.2">
      <c r="W491">
        <v>-3520391</v>
      </c>
      <c r="X491">
        <v>-6429740</v>
      </c>
      <c r="Y491">
        <v>0</v>
      </c>
      <c r="Z491">
        <v>0</v>
      </c>
      <c r="AA491">
        <v>3520391</v>
      </c>
      <c r="AB491">
        <v>6429740</v>
      </c>
      <c r="AC491">
        <v>0</v>
      </c>
      <c r="AD491">
        <v>0</v>
      </c>
    </row>
    <row r="492" spans="23:30" x14ac:dyDescent="0.2"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23:30" x14ac:dyDescent="0.2"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23:30" x14ac:dyDescent="0.2"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23:30" x14ac:dyDescent="0.2"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23:30" x14ac:dyDescent="0.2"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23:30" x14ac:dyDescent="0.2"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23:30" x14ac:dyDescent="0.2"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23:30" x14ac:dyDescent="0.2"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23:30" x14ac:dyDescent="0.2"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23:30" x14ac:dyDescent="0.2"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23:30" x14ac:dyDescent="0.2"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23:30" x14ac:dyDescent="0.2"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23:30" x14ac:dyDescent="0.2"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23:30" x14ac:dyDescent="0.2">
      <c r="W505">
        <v>810358</v>
      </c>
      <c r="X505">
        <v>1294141.726</v>
      </c>
      <c r="Y505">
        <v>0</v>
      </c>
      <c r="Z505">
        <v>0</v>
      </c>
      <c r="AA505">
        <v>-810358</v>
      </c>
      <c r="AB505">
        <v>-1294141.726</v>
      </c>
      <c r="AC505">
        <v>0</v>
      </c>
      <c r="AD505">
        <v>0</v>
      </c>
    </row>
    <row r="506" spans="23:30" x14ac:dyDescent="0.2"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23:30" x14ac:dyDescent="0.2">
      <c r="W507">
        <v>0</v>
      </c>
      <c r="X507">
        <v>0</v>
      </c>
      <c r="Y507">
        <v>0</v>
      </c>
      <c r="Z507">
        <v>477.22</v>
      </c>
      <c r="AA507">
        <v>0</v>
      </c>
      <c r="AB507">
        <v>0</v>
      </c>
      <c r="AC507">
        <v>0</v>
      </c>
      <c r="AD507">
        <v>0</v>
      </c>
    </row>
    <row r="508" spans="23:30" x14ac:dyDescent="0.2">
      <c r="W508">
        <v>0</v>
      </c>
      <c r="X508">
        <v>0</v>
      </c>
      <c r="Y508">
        <v>0</v>
      </c>
      <c r="Z508">
        <v>-8193.73</v>
      </c>
      <c r="AA508">
        <v>0</v>
      </c>
      <c r="AB508">
        <v>0</v>
      </c>
      <c r="AC508">
        <v>0</v>
      </c>
      <c r="AD508">
        <v>0</v>
      </c>
    </row>
    <row r="509" spans="23:30" x14ac:dyDescent="0.2"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23:30" x14ac:dyDescent="0.2"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23:30" x14ac:dyDescent="0.2"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23:30" x14ac:dyDescent="0.2"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23:30" x14ac:dyDescent="0.2"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23:30" x14ac:dyDescent="0.2"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23:30" x14ac:dyDescent="0.2"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23:30" x14ac:dyDescent="0.2"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23:30" x14ac:dyDescent="0.2"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23:30" x14ac:dyDescent="0.2"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23:30" x14ac:dyDescent="0.2"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23:30" x14ac:dyDescent="0.2"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23:30" x14ac:dyDescent="0.2"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23:30" x14ac:dyDescent="0.2"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23:30" x14ac:dyDescent="0.2"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23:30" x14ac:dyDescent="0.2"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23:30" x14ac:dyDescent="0.2"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23:30" x14ac:dyDescent="0.2"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23:30" x14ac:dyDescent="0.2"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23:30" x14ac:dyDescent="0.2"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23:30" x14ac:dyDescent="0.2"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23:30" x14ac:dyDescent="0.2"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23:30" x14ac:dyDescent="0.2"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23:30" x14ac:dyDescent="0.2"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23:30" x14ac:dyDescent="0.2"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23:30" x14ac:dyDescent="0.2"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23:30" x14ac:dyDescent="0.2"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23:30" x14ac:dyDescent="0.2"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23:30" x14ac:dyDescent="0.2"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23:30" x14ac:dyDescent="0.2"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23:30" x14ac:dyDescent="0.2"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23:30" x14ac:dyDescent="0.2"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23:30" x14ac:dyDescent="0.2"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23:30" x14ac:dyDescent="0.2"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23:30" x14ac:dyDescent="0.2"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23:30" x14ac:dyDescent="0.2"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23:30" x14ac:dyDescent="0.2"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23:30" x14ac:dyDescent="0.2"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23:30" x14ac:dyDescent="0.2"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23:30" x14ac:dyDescent="0.2"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23:30" x14ac:dyDescent="0.2"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23:30" x14ac:dyDescent="0.2"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23:30" x14ac:dyDescent="0.2"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23:30" x14ac:dyDescent="0.2"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23:30" x14ac:dyDescent="0.2"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23:30" x14ac:dyDescent="0.2"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23:30" x14ac:dyDescent="0.2"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23:30" x14ac:dyDescent="0.2"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23:30" x14ac:dyDescent="0.2"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23:30" x14ac:dyDescent="0.2"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23:30" x14ac:dyDescent="0.2"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23:30" x14ac:dyDescent="0.2"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23:30" x14ac:dyDescent="0.2"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23:30" x14ac:dyDescent="0.2"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23:30" x14ac:dyDescent="0.2"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23:30" x14ac:dyDescent="0.2"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23:30" x14ac:dyDescent="0.2"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23:30" x14ac:dyDescent="0.2"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23:30" x14ac:dyDescent="0.2"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23:30" x14ac:dyDescent="0.2"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23:30" x14ac:dyDescent="0.2"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23:30" x14ac:dyDescent="0.2"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23:30" x14ac:dyDescent="0.2"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23:30" x14ac:dyDescent="0.2"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23:30" x14ac:dyDescent="0.2"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23:30" x14ac:dyDescent="0.2"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23:30" x14ac:dyDescent="0.2"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23:30" x14ac:dyDescent="0.2"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23:30" x14ac:dyDescent="0.2"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23:30" x14ac:dyDescent="0.2"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23:30" x14ac:dyDescent="0.2"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23:30" x14ac:dyDescent="0.2"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23:30" x14ac:dyDescent="0.2"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23:30" x14ac:dyDescent="0.2"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23:30" x14ac:dyDescent="0.2"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23:30" x14ac:dyDescent="0.2"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23:30" x14ac:dyDescent="0.2"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23:30" x14ac:dyDescent="0.2"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23:30" x14ac:dyDescent="0.2"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23:30" x14ac:dyDescent="0.2"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23:30" x14ac:dyDescent="0.2"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23:30" x14ac:dyDescent="0.2"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23:30" x14ac:dyDescent="0.2"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23:30" x14ac:dyDescent="0.2"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23:30" x14ac:dyDescent="0.2"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23:30" x14ac:dyDescent="0.2"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23:30" x14ac:dyDescent="0.2"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23:30" x14ac:dyDescent="0.2"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23:30" x14ac:dyDescent="0.2"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23:30" x14ac:dyDescent="0.2"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23:30" x14ac:dyDescent="0.2"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23:30" x14ac:dyDescent="0.2"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23:30" x14ac:dyDescent="0.2"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23:30" x14ac:dyDescent="0.2"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23:30" x14ac:dyDescent="0.2"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38" spans="4:31" x14ac:dyDescent="0.2">
      <c r="F638" s="203">
        <v>36251</v>
      </c>
      <c r="G638" s="204"/>
      <c r="H638" s="205">
        <f>+F638+31</f>
        <v>36282</v>
      </c>
      <c r="I638" s="206"/>
      <c r="J638" s="200">
        <f>+H638+31</f>
        <v>36313</v>
      </c>
      <c r="K638" s="201"/>
      <c r="L638" s="200">
        <f>+J638+31</f>
        <v>36344</v>
      </c>
      <c r="M638" s="201"/>
      <c r="N638" s="200">
        <f>+L638+31</f>
        <v>36375</v>
      </c>
      <c r="O638" s="201"/>
      <c r="P638" s="200">
        <f>+N638+31</f>
        <v>36406</v>
      </c>
      <c r="Q638" s="201"/>
      <c r="R638" s="200">
        <f>+P638+31</f>
        <v>36437</v>
      </c>
      <c r="S638" s="201"/>
      <c r="T638" s="200">
        <f>+R638+31</f>
        <v>36468</v>
      </c>
      <c r="U638" s="201"/>
      <c r="V638" s="200">
        <f>+T638+31</f>
        <v>36499</v>
      </c>
      <c r="W638" s="201"/>
      <c r="X638" s="200">
        <f>+V638+31</f>
        <v>36530</v>
      </c>
      <c r="Y638" s="201"/>
      <c r="Z638" s="200">
        <f>+X638+31</f>
        <v>36561</v>
      </c>
      <c r="AA638" s="201"/>
      <c r="AB638" s="200">
        <f>+Z638+31</f>
        <v>36592</v>
      </c>
      <c r="AC638" s="201"/>
      <c r="AD638" s="200">
        <f>+AB638+31</f>
        <v>36623</v>
      </c>
      <c r="AE638" s="201"/>
    </row>
    <row r="639" spans="4:31" x14ac:dyDescent="0.2">
      <c r="F639" s="132" t="s">
        <v>24</v>
      </c>
      <c r="G639" s="132" t="s">
        <v>152</v>
      </c>
      <c r="H639" s="132" t="s">
        <v>24</v>
      </c>
      <c r="I639" s="176" t="s">
        <v>152</v>
      </c>
      <c r="J639" s="132" t="s">
        <v>24</v>
      </c>
      <c r="K639" s="132" t="s">
        <v>152</v>
      </c>
      <c r="L639" s="132" t="s">
        <v>24</v>
      </c>
      <c r="M639" s="132" t="s">
        <v>152</v>
      </c>
      <c r="N639" s="132" t="s">
        <v>24</v>
      </c>
      <c r="O639" s="132" t="s">
        <v>152</v>
      </c>
      <c r="P639" s="132" t="s">
        <v>24</v>
      </c>
      <c r="Q639" s="132" t="s">
        <v>152</v>
      </c>
      <c r="R639" s="132" t="s">
        <v>24</v>
      </c>
      <c r="S639" s="132" t="s">
        <v>152</v>
      </c>
      <c r="T639" s="132" t="s">
        <v>24</v>
      </c>
      <c r="U639" s="132" t="s">
        <v>152</v>
      </c>
      <c r="V639" s="132" t="s">
        <v>24</v>
      </c>
      <c r="W639" s="132" t="s">
        <v>152</v>
      </c>
      <c r="X639" s="132" t="s">
        <v>24</v>
      </c>
      <c r="Y639" s="132" t="s">
        <v>152</v>
      </c>
      <c r="Z639" s="132" t="s">
        <v>24</v>
      </c>
      <c r="AA639" s="132" t="s">
        <v>152</v>
      </c>
      <c r="AB639" s="132" t="s">
        <v>24</v>
      </c>
      <c r="AC639" s="132" t="s">
        <v>152</v>
      </c>
      <c r="AD639" s="132" t="s">
        <v>24</v>
      </c>
      <c r="AE639" s="132" t="s">
        <v>152</v>
      </c>
    </row>
    <row r="640" spans="4:31" x14ac:dyDescent="0.2">
      <c r="D640" s="133" t="s">
        <v>116</v>
      </c>
      <c r="E640" s="134"/>
      <c r="F640" s="135">
        <f>BUG_GL!H82</f>
        <v>0</v>
      </c>
      <c r="G640" s="136">
        <f>BUG_GL!I82</f>
        <v>5781155</v>
      </c>
      <c r="H640" s="135">
        <f>BUG_GL!J82</f>
        <v>0</v>
      </c>
      <c r="I640" s="162">
        <f>BUG_GL!K82</f>
        <v>-23921923.149999999</v>
      </c>
      <c r="J640" s="135">
        <f>BUG_GL!L82</f>
        <v>0</v>
      </c>
      <c r="K640" s="135">
        <f>BUG_GL!M82</f>
        <v>-564257</v>
      </c>
      <c r="L640" s="135">
        <f>BUG_GL!N82</f>
        <v>10</v>
      </c>
      <c r="M640" s="135">
        <f>BUG_GL!O82</f>
        <v>-933188</v>
      </c>
      <c r="N640" s="135">
        <f>BUG_GL!P82</f>
        <v>0</v>
      </c>
      <c r="O640" s="135">
        <f>BUG_GL!Q82</f>
        <v>-3088</v>
      </c>
      <c r="P640" s="135">
        <f>BUG_GL!R82</f>
        <v>0</v>
      </c>
      <c r="Q640" s="135">
        <f>BUG_GL!S82</f>
        <v>1690</v>
      </c>
      <c r="R640" s="135">
        <f>BUG_GL!T82</f>
        <v>0</v>
      </c>
      <c r="S640" s="136">
        <f>BUG_GL!U82</f>
        <v>9830683</v>
      </c>
      <c r="T640" s="135">
        <f>BUG_GL!V82</f>
        <v>0</v>
      </c>
      <c r="U640" s="135">
        <f>BUG_GL!W82</f>
        <v>0</v>
      </c>
      <c r="V640" s="135">
        <f>BUG_GL!X82</f>
        <v>0</v>
      </c>
      <c r="W640" s="135">
        <f>BUG_GL!Y82</f>
        <v>-104</v>
      </c>
      <c r="X640" s="135">
        <f>BUG_GL!Z82</f>
        <v>0</v>
      </c>
      <c r="Y640" s="136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199">
        <f>BUG_GL!AE82</f>
        <v>-870.49800000000005</v>
      </c>
      <c r="AD640" s="135">
        <f>BUG_GL!AF82</f>
        <v>0</v>
      </c>
      <c r="AE640" s="199">
        <f>BUG_GL!AG82</f>
        <v>0</v>
      </c>
    </row>
    <row r="641" spans="4:31" x14ac:dyDescent="0.2">
      <c r="D641" s="133" t="s">
        <v>144</v>
      </c>
      <c r="E641" s="134"/>
      <c r="F641" s="135">
        <f>CE_GL!H82</f>
        <v>0</v>
      </c>
      <c r="G641" s="136">
        <f>CE_GL!I82</f>
        <v>9278092.4209999964</v>
      </c>
      <c r="H641" s="135">
        <f>CE_GL!J82</f>
        <v>0</v>
      </c>
      <c r="I641" s="136">
        <f>CE_GL!K82</f>
        <v>-3581999.7760000005</v>
      </c>
      <c r="J641" s="135">
        <f>CE_GL!L82</f>
        <v>0</v>
      </c>
      <c r="K641" s="135">
        <f>CE_GL!M82</f>
        <v>-2963153.6474000001</v>
      </c>
      <c r="L641" s="135">
        <f>CE_GL!N82</f>
        <v>0</v>
      </c>
      <c r="M641" s="135">
        <f>CE_GL!O82</f>
        <v>-3408.2096000000161</v>
      </c>
      <c r="N641" s="135">
        <f>CE_GL!P82</f>
        <v>0</v>
      </c>
      <c r="O641" s="135">
        <f>CE_GL!Q82</f>
        <v>2673137.9040000001</v>
      </c>
      <c r="P641" s="135">
        <f>CE_GL!R82</f>
        <v>0</v>
      </c>
      <c r="Q641" s="135">
        <f>CE_GL!S82</f>
        <v>243334.81099999999</v>
      </c>
      <c r="R641" s="135">
        <f>CE_GL!T82</f>
        <v>0</v>
      </c>
      <c r="S641" s="136">
        <f>CE_GL!U82</f>
        <v>-75881.994000000283</v>
      </c>
      <c r="T641" s="135">
        <f>CE_GL!V82</f>
        <v>0</v>
      </c>
      <c r="U641" s="135">
        <f>CE_GL!W82</f>
        <v>-64789.194000000331</v>
      </c>
      <c r="V641" s="135">
        <f>CE_GL!X82</f>
        <v>0</v>
      </c>
      <c r="W641" s="135">
        <f>CE_GL!Y82</f>
        <v>-275972.76800000016</v>
      </c>
      <c r="X641" s="135">
        <f>CE_GL!Z82</f>
        <v>0</v>
      </c>
      <c r="Y641" s="136">
        <f>CE_GL!AA82</f>
        <v>-173126.22199999986</v>
      </c>
      <c r="Z641" s="135">
        <f>CE_GL!AB82</f>
        <v>0</v>
      </c>
      <c r="AA641" s="136">
        <f>CE_GL!AC82</f>
        <v>48429.074999999997</v>
      </c>
      <c r="AB641" s="135">
        <f>CE_GL!AD82</f>
        <v>0</v>
      </c>
      <c r="AC641" s="199">
        <f>CE_GL!AE82</f>
        <v>23089.797999999701</v>
      </c>
      <c r="AD641" s="135">
        <f>CE_GL!AF82</f>
        <v>0</v>
      </c>
      <c r="AE641" s="199">
        <f>CE_GL!AG82</f>
        <v>2969.563999999973</v>
      </c>
    </row>
    <row r="642" spans="4:31" x14ac:dyDescent="0.2">
      <c r="D642" s="133" t="s">
        <v>145</v>
      </c>
      <c r="E642" s="134"/>
      <c r="F642" s="135">
        <f>+'EAST-EGM-GL'!H82</f>
        <v>0</v>
      </c>
      <c r="G642" s="162">
        <f>+'EAST-EGM-GL'!I82</f>
        <v>419950.02199995983</v>
      </c>
      <c r="H642" s="135">
        <f>+'EAST-EGM-GL'!J82</f>
        <v>0</v>
      </c>
      <c r="I642" s="136">
        <f>+'EAST-EGM-GL'!K82</f>
        <v>12461221.511999998</v>
      </c>
      <c r="J642" s="135">
        <f>+'EAST-EGM-GL'!L82</f>
        <v>0</v>
      </c>
      <c r="K642" s="135">
        <f>+'EAST-EGM-GL'!M82</f>
        <v>-43879.392000000007</v>
      </c>
      <c r="L642" s="135">
        <f>+'EAST-EGM-GL'!N82</f>
        <v>0</v>
      </c>
      <c r="M642" s="135">
        <f>+'EAST-EGM-GL'!O82</f>
        <v>-667084.59999999986</v>
      </c>
      <c r="N642" s="135">
        <f>+'EAST-EGM-GL'!P82</f>
        <v>0</v>
      </c>
      <c r="O642" s="135">
        <f>+'EAST-EGM-GL'!Q82</f>
        <v>337135.03200000006</v>
      </c>
      <c r="P642" s="135">
        <f>+'EAST-EGM-GL'!R82</f>
        <v>0</v>
      </c>
      <c r="Q642" s="135">
        <f>+'EAST-EGM-GL'!S82</f>
        <v>-90130.783999999985</v>
      </c>
      <c r="R642" s="135">
        <f>+'EAST-EGM-GL'!T82</f>
        <v>0</v>
      </c>
      <c r="S642" s="136">
        <f>+'EAST-EGM-GL'!U82</f>
        <v>-10061344.194</v>
      </c>
      <c r="T642" s="135">
        <f>+'EAST-EGM-GL'!V82</f>
        <v>0</v>
      </c>
      <c r="U642" s="135">
        <f>+'EAST-EGM-GL'!W82</f>
        <v>0</v>
      </c>
      <c r="V642" s="135">
        <f>+'EAST-EGM-GL'!X82</f>
        <v>0</v>
      </c>
      <c r="W642" s="135">
        <f>+'EAST-EGM-GL'!Y82</f>
        <v>39584.412000000011</v>
      </c>
      <c r="X642" s="135">
        <f>+'EAST-EGM-GL'!Z82</f>
        <v>0</v>
      </c>
      <c r="Y642" s="136">
        <f>+'EAST-EGM-GL'!AA82</f>
        <v>-39584.412000000011</v>
      </c>
      <c r="Z642" s="135">
        <f>+'EAST-EGM-GL'!AB82</f>
        <v>0</v>
      </c>
      <c r="AA642" s="135">
        <f>+'EAST-EGM-GL'!AC82</f>
        <v>0</v>
      </c>
      <c r="AB642" s="135">
        <f>+'EAST-EGM-GL'!AD82</f>
        <v>0</v>
      </c>
      <c r="AC642" s="199">
        <f>+'EAST-EGM-GL'!AE82</f>
        <v>39584.412000000011</v>
      </c>
      <c r="AD642" s="135">
        <f>+'EAST-EGM-GL'!AF82</f>
        <v>0</v>
      </c>
      <c r="AE642" s="199">
        <f>+'EAST-EGM-GL'!AG82</f>
        <v>0</v>
      </c>
    </row>
    <row r="643" spans="4:31" x14ac:dyDescent="0.2">
      <c r="D643" s="133" t="s">
        <v>153</v>
      </c>
      <c r="E643" s="134"/>
      <c r="F643" s="135">
        <f>+'EAST-LRC-GL'!H82</f>
        <v>0</v>
      </c>
      <c r="G643" s="162">
        <f>+'EAST-LRC-GL'!I82</f>
        <v>-876715.08500000194</v>
      </c>
      <c r="H643" s="135">
        <f>+'EAST-LRC-GL'!J82</f>
        <v>0</v>
      </c>
      <c r="I643" s="136">
        <f>+'EAST-LRC-GL'!K82</f>
        <v>-147001.70400000009</v>
      </c>
      <c r="J643" s="135">
        <f>+'EAST-LRC-GL'!L82</f>
        <v>5928</v>
      </c>
      <c r="K643" s="135">
        <f>+'EAST-LRC-GL'!M82</f>
        <v>41451.325999999986</v>
      </c>
      <c r="L643" s="135">
        <f>+'EAST-LRC-GL'!N82</f>
        <v>0</v>
      </c>
      <c r="M643" s="135">
        <f>+'EAST-LRC-GL'!O82</f>
        <v>-12006.053999999998</v>
      </c>
      <c r="N643" s="135">
        <f>+'EAST-LRC-GL'!P82</f>
        <v>0</v>
      </c>
      <c r="O643" s="135">
        <f>+'EAST-LRC-GL'!Q82</f>
        <v>74593.159</v>
      </c>
      <c r="P643" s="135">
        <f>+'EAST-LRC-GL'!R82</f>
        <v>0</v>
      </c>
      <c r="Q643" s="135">
        <f>+'EAST-LRC-GL'!S82</f>
        <v>-170723.04000000004</v>
      </c>
      <c r="R643" s="135">
        <f>+'EAST-LRC-GL'!T82</f>
        <v>0</v>
      </c>
      <c r="S643" s="136">
        <f>+'EAST-LRC-GL'!U82</f>
        <v>44741.945999999974</v>
      </c>
      <c r="T643" s="135">
        <f>+'EAST-LRC-GL'!V82</f>
        <v>0</v>
      </c>
      <c r="U643" s="135">
        <f>+'EAST-LRC-GL'!W82</f>
        <v>-110481.96000000002</v>
      </c>
      <c r="V643" s="135">
        <f>+'EAST-LRC-GL'!X82</f>
        <v>0</v>
      </c>
      <c r="W643" s="135">
        <f>+'EAST-LRC-GL'!Y82</f>
        <v>11793.642000000002</v>
      </c>
      <c r="X643" s="135">
        <f>+'EAST-LRC-GL'!Z82</f>
        <v>0</v>
      </c>
      <c r="Y643" s="136">
        <f>+'EAST-LRC-GL'!AA82</f>
        <v>1218.4299999999982</v>
      </c>
      <c r="Z643" s="135">
        <f>+'EAST-LRC-GL'!AB82</f>
        <v>0</v>
      </c>
      <c r="AA643" s="136">
        <f>+'EAST-LRC-GL'!AC82</f>
        <v>34064.962000000014</v>
      </c>
      <c r="AB643" s="135">
        <f>+'EAST-LRC-GL'!AD82</f>
        <v>0</v>
      </c>
      <c r="AC643" s="137">
        <f>+'EAST-LRC-GL'!AE82</f>
        <v>0.10200000000000009</v>
      </c>
      <c r="AD643" s="135">
        <f>+'EAST-LRC-GL'!AF82</f>
        <v>0</v>
      </c>
      <c r="AE643" s="137">
        <f>+'EAST-LRC-GL'!AG82</f>
        <v>-2</v>
      </c>
    </row>
    <row r="644" spans="4:31" x14ac:dyDescent="0.2">
      <c r="D644" s="133" t="s">
        <v>154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5">
        <f>+'BGC-EGM-GL'!M82</f>
        <v>0</v>
      </c>
      <c r="L644" s="135">
        <f>+'BGC-EGM-GL'!N82</f>
        <v>0</v>
      </c>
      <c r="M644" s="135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5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5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</row>
    <row r="645" spans="4:31" x14ac:dyDescent="0.2">
      <c r="D645" s="133" t="s">
        <v>155</v>
      </c>
      <c r="E645" s="134"/>
      <c r="F645" s="135">
        <f>+'EAST-CON-GL '!H82</f>
        <v>0</v>
      </c>
      <c r="G645" s="162">
        <f>+'EAST-CON-GL '!I82</f>
        <v>-456765.06300007633</v>
      </c>
      <c r="H645" s="135">
        <f>+'EAST-CON-GL '!J82</f>
        <v>0</v>
      </c>
      <c r="I645" s="136">
        <f>+'EAST-CON-GL '!K82</f>
        <v>12314219.807999998</v>
      </c>
      <c r="J645" s="135">
        <f>+'EAST-CON-GL '!L82</f>
        <v>5928</v>
      </c>
      <c r="K645" s="135">
        <f>+'EAST-CON-GL '!M82</f>
        <v>-2428.0660000000516</v>
      </c>
      <c r="L645" s="135">
        <f>+'EAST-CON-GL '!N82</f>
        <v>0</v>
      </c>
      <c r="M645" s="135">
        <f>+'EAST-CON-GL '!O82</f>
        <v>-679090.65399999963</v>
      </c>
      <c r="N645" s="135">
        <f>+'EAST-CON-GL '!P82</f>
        <v>0</v>
      </c>
      <c r="O645" s="135">
        <f>+'EAST-CON-GL '!Q82</f>
        <v>411728.21100000007</v>
      </c>
      <c r="P645" s="135">
        <f>+'EAST-CON-GL '!R82</f>
        <v>0</v>
      </c>
      <c r="Q645" s="135">
        <f>+'EAST-CON-GL '!S82</f>
        <v>-260853.82400000005</v>
      </c>
      <c r="R645" s="135">
        <f>+'EAST-CON-GL '!T82</f>
        <v>0</v>
      </c>
      <c r="S645" s="135">
        <f>+'EAST-CON-GL '!U82</f>
        <v>-10016602.257999998</v>
      </c>
      <c r="T645" s="135">
        <f>+'EAST-CON-GL '!V82</f>
        <v>0</v>
      </c>
      <c r="U645" s="135">
        <f>+'EAST-CON-GL '!W82</f>
        <v>-110481.94999999995</v>
      </c>
      <c r="V645" s="135">
        <f>+'EAST-CON-GL '!X82</f>
        <v>0</v>
      </c>
      <c r="W645" s="135">
        <f>+'EAST-CON-GL '!Y82</f>
        <v>51378.064000000013</v>
      </c>
      <c r="X645" s="135">
        <f>+'EAST-CON-GL '!Z82</f>
        <v>0</v>
      </c>
      <c r="Y645" s="135">
        <f>+'EAST-CON-GL '!AA82</f>
        <v>-38365.992000000027</v>
      </c>
      <c r="Z645" s="135">
        <f>+'EAST-CON-GL '!AB82</f>
        <v>0</v>
      </c>
      <c r="AA645" s="135">
        <f>+'EAST-CON-GL '!AC82</f>
        <v>34064.962000000014</v>
      </c>
      <c r="AB645" s="135">
        <f>+'EAST-CON-GL '!AD82</f>
        <v>0</v>
      </c>
      <c r="AC645" s="199">
        <f>+'EAST-CON-GL '!AE82</f>
        <v>39584.514000000025</v>
      </c>
      <c r="AD645" s="135">
        <f>+'EAST-CON-GL '!AF82</f>
        <v>0</v>
      </c>
      <c r="AE645" s="199">
        <f>+'EAST-CON-GL '!AG82</f>
        <v>-2</v>
      </c>
    </row>
    <row r="646" spans="4:31" x14ac:dyDescent="0.2">
      <c r="D646" s="133" t="s">
        <v>156</v>
      </c>
      <c r="E646" s="134"/>
      <c r="F646" s="135">
        <f>+'TX-EGM-GL'!H82</f>
        <v>0</v>
      </c>
      <c r="G646" s="136">
        <f>+'TX-EGM-GL'!I82</f>
        <v>3541478.4579999661</v>
      </c>
      <c r="H646" s="135">
        <f>+'TX-EGM-GL'!J82</f>
        <v>0</v>
      </c>
      <c r="I646" s="136">
        <f>+'TX-EGM-GL'!K91</f>
        <v>-3072274.4580000015</v>
      </c>
      <c r="J646" s="135">
        <f>+'TX-EGM-GL'!L82</f>
        <v>0</v>
      </c>
      <c r="K646" s="135">
        <f>+'TX-EGM-GL'!M82</f>
        <v>2254661.4939999999</v>
      </c>
      <c r="L646" s="135">
        <f>+'TX-EGM-GL'!N82</f>
        <v>0</v>
      </c>
      <c r="M646" s="135">
        <f>+'TX-EGM-GL'!O82</f>
        <v>1232066.9980000006</v>
      </c>
      <c r="N646" s="135">
        <f>+'TX-EGM-GL'!P82</f>
        <v>0</v>
      </c>
      <c r="O646" s="135">
        <f>+'TX-EGM-GL'!Q82</f>
        <v>-3600352.0180000002</v>
      </c>
      <c r="P646" s="135">
        <f>+'TX-EGM-GL'!R82</f>
        <v>0</v>
      </c>
      <c r="Q646" s="135">
        <f>+'TX-EGM-GL'!S82</f>
        <v>1358620.5459999999</v>
      </c>
      <c r="R646" s="135">
        <f>+'TX-EGM-GL'!T82</f>
        <v>0</v>
      </c>
      <c r="S646" s="136">
        <f>+'TX-EGM-GL'!U82</f>
        <v>-25663.083999999959</v>
      </c>
      <c r="T646" s="135">
        <f>+'TX-EGM-GL'!V82</f>
        <v>0</v>
      </c>
      <c r="U646" s="135">
        <f>+'TX-EGM-GL'!W82</f>
        <v>13631.088999999976</v>
      </c>
      <c r="V646" s="135">
        <f>+'TX-EGM-GL'!X82</f>
        <v>0</v>
      </c>
      <c r="W646" s="135">
        <f>+'TX-EGM-GL'!Y82</f>
        <v>-5372.5899999999911</v>
      </c>
      <c r="X646" s="135">
        <f>+'TX-EGM-GL'!Z82</f>
        <v>0</v>
      </c>
      <c r="Y646" s="135">
        <f>+'TX-EGM-GL'!AA82</f>
        <v>18802.240000000093</v>
      </c>
      <c r="Z646" s="135">
        <f>+'TX-EGM-GL'!AB82</f>
        <v>0</v>
      </c>
      <c r="AA646" s="136">
        <f>+'TX-EGM-GL'!AC82</f>
        <v>20307.484</v>
      </c>
      <c r="AB646" s="135">
        <f>+'TX-EGM-GL'!AD82</f>
        <v>0</v>
      </c>
      <c r="AC646" s="199">
        <f>+'TX-EGM-GL'!AE82</f>
        <v>48163.285999999935</v>
      </c>
      <c r="AD646" s="135">
        <f>+'TX-EGM-GL'!AF82</f>
        <v>0</v>
      </c>
      <c r="AE646" s="199">
        <f>+'TX-EGM-GL'!AG82</f>
        <v>-35565.742000000006</v>
      </c>
    </row>
    <row r="647" spans="4:31" x14ac:dyDescent="0.2">
      <c r="D647" s="133" t="s">
        <v>157</v>
      </c>
      <c r="E647" s="134"/>
      <c r="F647" s="135">
        <f>+'TX-HPL-GL '!H82</f>
        <v>1206651</v>
      </c>
      <c r="G647" s="136">
        <f>+'TX-HPL-GL '!I82</f>
        <v>2018380.25</v>
      </c>
      <c r="H647" s="135">
        <f>+'TX-HPL-GL '!J82</f>
        <v>-1206651</v>
      </c>
      <c r="I647" s="136">
        <f>+'TX-HPL-GL '!K82</f>
        <v>-2744977.7609999999</v>
      </c>
      <c r="J647" s="135">
        <f>+'TX-HPL-GL '!L82</f>
        <v>0</v>
      </c>
      <c r="K647" s="135">
        <f>+'TX-HPL-GL '!M82</f>
        <v>-43434.434999999983</v>
      </c>
      <c r="L647" s="135">
        <f>+'TX-HPL-GL '!N82</f>
        <v>0</v>
      </c>
      <c r="M647" s="135">
        <f>+'TX-HPL-GL '!O82</f>
        <v>236079.66200000001</v>
      </c>
      <c r="N647" s="135">
        <f>+'TX-HPL-GL '!P82</f>
        <v>0</v>
      </c>
      <c r="O647" s="135">
        <f>+'TX-HPL-GL '!Q82</f>
        <v>-4845.1371999999992</v>
      </c>
      <c r="P647" s="135">
        <f>+'TX-HPL-GL '!R82</f>
        <v>0</v>
      </c>
      <c r="Q647" s="135">
        <f>+'TX-HPL-GL '!S82</f>
        <v>-31885.86</v>
      </c>
      <c r="R647" s="135">
        <f>+'TX-HPL-GL '!T82</f>
        <v>0</v>
      </c>
      <c r="S647" s="136">
        <f>+'TX-HPL-GL '!U82</f>
        <v>4233.9199999999983</v>
      </c>
      <c r="T647" s="135">
        <f>+'TX-HPL-GL '!V82</f>
        <v>0</v>
      </c>
      <c r="U647" s="135">
        <f>+'TX-HPL-GL '!W82</f>
        <v>70904.34</v>
      </c>
      <c r="V647" s="135">
        <f>+'TX-HPL-GL '!X82</f>
        <v>0</v>
      </c>
      <c r="W647" s="135">
        <f>+'TX-HPL-GL '!Y82</f>
        <v>-4078.36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5">
        <f>+'TX-HPL-GL '!AC82</f>
        <v>0</v>
      </c>
      <c r="AB647" s="135">
        <f>+'TX-HPL-GL '!AD82</f>
        <v>0</v>
      </c>
      <c r="AC647" s="199">
        <f>+'TX-HPL-GL '!AE82</f>
        <v>1243.6690000000001</v>
      </c>
      <c r="AD647" s="135">
        <f>+'TX-HPL-GL '!AF82</f>
        <v>0</v>
      </c>
      <c r="AE647" s="199">
        <f>+'TX-HPL-GL '!AG82</f>
        <v>0</v>
      </c>
    </row>
    <row r="648" spans="4:31" x14ac:dyDescent="0.2">
      <c r="D648" s="133" t="s">
        <v>158</v>
      </c>
      <c r="E648" s="134"/>
      <c r="F648" s="135">
        <f>+'TX-CON-GL '!H82</f>
        <v>1206651</v>
      </c>
      <c r="G648" s="136">
        <f>+'TX-CON-GL '!I82</f>
        <v>5559858.7080000062</v>
      </c>
      <c r="H648" s="135">
        <f>+'TX-CON-GL '!J82</f>
        <v>-1206651</v>
      </c>
      <c r="I648" s="136">
        <f>+'TX-CON-GL '!K82</f>
        <v>-2017252.2190000014</v>
      </c>
      <c r="J648" s="135">
        <f>+'TX-CON-GL '!L82</f>
        <v>0</v>
      </c>
      <c r="K648" s="135">
        <f>+'TX-CON-GL '!M82</f>
        <v>2211227.0590000008</v>
      </c>
      <c r="L648" s="135">
        <f>+'TX-CON-GL '!N82</f>
        <v>0</v>
      </c>
      <c r="M648" s="135">
        <f>+'TX-CON-GL '!O82</f>
        <v>1468146.6600000001</v>
      </c>
      <c r="N648" s="135">
        <f>+'TX-CON-GL '!P82</f>
        <v>0</v>
      </c>
      <c r="O648" s="135">
        <f>+'TX-CON-GL '!Q82</f>
        <v>-3605197.1551999999</v>
      </c>
      <c r="P648" s="135">
        <f>+'TX-CON-GL '!R82</f>
        <v>0</v>
      </c>
      <c r="Q648" s="135">
        <f>+'TX-CON-GL '!S82</f>
        <v>1326734.6860000005</v>
      </c>
      <c r="R648" s="135">
        <f>+'TX-CON-GL '!T82</f>
        <v>0</v>
      </c>
      <c r="S648" s="136">
        <f>+'TX-CON-GL '!U82</f>
        <v>-21429.163999999979</v>
      </c>
      <c r="T648" s="135">
        <f>+'TX-CON-GL '!V82</f>
        <v>0</v>
      </c>
      <c r="U648" s="135">
        <f>+'TX-CON-GL '!W82</f>
        <v>84535.429000000076</v>
      </c>
      <c r="V648" s="135">
        <f>+'TX-CON-GL '!X82</f>
        <v>0</v>
      </c>
      <c r="W648" s="135">
        <f>+'TX-CON-GL '!Y82</f>
        <v>-9450.9499999999771</v>
      </c>
      <c r="X648" s="135">
        <f>+'TX-CON-GL '!Z82</f>
        <v>0</v>
      </c>
      <c r="Y648" s="135">
        <f>+'TX-CON-GL '!AA82</f>
        <v>18802.240000000093</v>
      </c>
      <c r="Z648" s="135">
        <f>+'TX-CON-GL '!AB82</f>
        <v>0</v>
      </c>
      <c r="AA648" s="135">
        <f>+'TX-CON-GL '!AC82</f>
        <v>20307.484</v>
      </c>
      <c r="AB648" s="135">
        <f>+'TX-CON-GL '!AD82</f>
        <v>0</v>
      </c>
      <c r="AC648" s="199">
        <f>+'TX-CON-GL '!AE82</f>
        <v>49406.954999999827</v>
      </c>
      <c r="AD648" s="135">
        <f>+'TX-CON-GL '!AF82</f>
        <v>0</v>
      </c>
      <c r="AE648" s="199">
        <f>+'TX-CON-GL '!AG82</f>
        <v>-35565.742000000006</v>
      </c>
    </row>
    <row r="649" spans="4:31" x14ac:dyDescent="0.2">
      <c r="D649" s="133" t="s">
        <v>147</v>
      </c>
      <c r="E649" s="134"/>
      <c r="F649" s="135">
        <f>+'WE-GL '!H82</f>
        <v>0</v>
      </c>
      <c r="G649" s="136">
        <f>+'WE-GL '!I82</f>
        <v>2358482.7609999874</v>
      </c>
      <c r="H649" s="135">
        <f>+'WE-GL '!J82</f>
        <v>0</v>
      </c>
      <c r="I649" s="136">
        <f>+'WE-GL '!K82</f>
        <v>156253.88199999987</v>
      </c>
      <c r="J649" s="135">
        <f>+'WE-GL '!L82</f>
        <v>0</v>
      </c>
      <c r="K649" s="135">
        <f>+'WE-GL '!M82</f>
        <v>38945.435000000012</v>
      </c>
      <c r="L649" s="135">
        <f>+'WE-GL '!N82</f>
        <v>0</v>
      </c>
      <c r="M649" s="135">
        <f>+'WE-GL '!O82</f>
        <v>-189325.32900000003</v>
      </c>
      <c r="N649" s="135">
        <f>+'WE-GL '!P82</f>
        <v>0</v>
      </c>
      <c r="O649" s="135">
        <f>+'WE-GL '!Q82</f>
        <v>-271411.75299999997</v>
      </c>
      <c r="P649" s="135">
        <f>+'WE-GL '!R82</f>
        <v>0</v>
      </c>
      <c r="Q649" s="135">
        <f>+'WE-GL '!S82</f>
        <v>895523.09400000004</v>
      </c>
      <c r="R649" s="135">
        <f>+'WE-GL '!T82</f>
        <v>0</v>
      </c>
      <c r="S649" s="136">
        <f>+'WE-GL '!U82</f>
        <v>-672811.19200000016</v>
      </c>
      <c r="T649" s="135">
        <f>+'WE-GL '!V82</f>
        <v>0</v>
      </c>
      <c r="U649" s="135">
        <f>+'WE-GL '!W82</f>
        <v>0</v>
      </c>
      <c r="V649" s="135">
        <f>+'WE-GL '!X82</f>
        <v>0</v>
      </c>
      <c r="W649" s="135">
        <f>+'WE-GL '!Y82</f>
        <v>94094.273999999976</v>
      </c>
      <c r="X649" s="135">
        <f>+'WE-GL '!Z82</f>
        <v>0</v>
      </c>
      <c r="Y649" s="135">
        <f>+'WE-GL '!AA82</f>
        <v>-94094.273999999976</v>
      </c>
      <c r="Z649" s="135">
        <f>+'WE-GL '!AB82</f>
        <v>0</v>
      </c>
      <c r="AA649" s="136">
        <f>+'WE-GL '!AC82</f>
        <v>-7716.5099999999993</v>
      </c>
      <c r="AB649" s="135">
        <f>+'WE-GL '!AD82</f>
        <v>0</v>
      </c>
      <c r="AC649" s="199">
        <f>+'WE-GL '!AE82</f>
        <v>92963.273999999976</v>
      </c>
      <c r="AD649" s="135">
        <f>+'WE-GL '!AF82</f>
        <v>0</v>
      </c>
      <c r="AE649" s="199">
        <f>+'WE-GL '!AG82</f>
        <v>0</v>
      </c>
    </row>
    <row r="650" spans="4:31" x14ac:dyDescent="0.2">
      <c r="D650" t="s">
        <v>149</v>
      </c>
      <c r="F650" s="138">
        <f>+STG_GL!H82</f>
        <v>0</v>
      </c>
      <c r="G650" s="163">
        <f>+STG_GL!I82</f>
        <v>146417</v>
      </c>
      <c r="H650" s="138">
        <f>+STG_GL!J82</f>
        <v>0</v>
      </c>
      <c r="I650" s="163">
        <f>+STG_GL!K82</f>
        <v>-4881471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-746833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38">
        <f>+STG_GL!S82</f>
        <v>96833</v>
      </c>
      <c r="R650" s="138">
        <f>+STG_GL!T82</f>
        <v>0</v>
      </c>
      <c r="S650" s="138">
        <f>+STG_GL!U82</f>
        <v>-539886</v>
      </c>
      <c r="T650" s="138">
        <f>+STG_GL!V82</f>
        <v>0</v>
      </c>
      <c r="U650" s="138">
        <f>+STG_GL!W82</f>
        <v>-24457</v>
      </c>
      <c r="V650" s="138">
        <f>+STG_GL!X82</f>
        <v>0</v>
      </c>
      <c r="W650" s="138">
        <f>+STG_GL!Y82</f>
        <v>635000</v>
      </c>
      <c r="X650" s="138">
        <f>+STG_GL!Z82</f>
        <v>0</v>
      </c>
      <c r="Y650" s="138">
        <f>+STG_GL!AA82</f>
        <v>-108643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-3760</v>
      </c>
      <c r="AD650" s="138">
        <f>+STG_GL!AF82</f>
        <v>0</v>
      </c>
      <c r="AE650" s="138">
        <f>+STG_GL!AG82</f>
        <v>161471</v>
      </c>
    </row>
    <row r="651" spans="4:31" x14ac:dyDescent="0.2">
      <c r="D651" t="s">
        <v>170</v>
      </c>
      <c r="F651" s="138">
        <f>+'ONT_GL '!H82</f>
        <v>0</v>
      </c>
      <c r="G651" s="172">
        <f>+'ONT_GL '!I82</f>
        <v>965773</v>
      </c>
      <c r="H651" s="138">
        <f>+'ONT_GL '!J82</f>
        <v>0</v>
      </c>
      <c r="I651" s="163">
        <f>+'ONT_GL '!K82</f>
        <v>709303</v>
      </c>
      <c r="J651" s="138">
        <f>+'ONT_GL '!L82</f>
        <v>0</v>
      </c>
      <c r="K651" s="138">
        <f>+'ONT_GL '!M82</f>
        <v>176108</v>
      </c>
      <c r="L651" s="138">
        <f>+'ONT_GL '!N82</f>
        <v>0</v>
      </c>
      <c r="M651" s="138">
        <f>+'ONT_GL '!O82</f>
        <v>-664770</v>
      </c>
      <c r="N651" s="138">
        <f>+'ONT_GL '!P82</f>
        <v>0</v>
      </c>
      <c r="O651" s="138">
        <f>+'ONT_GL '!Q82</f>
        <v>-450727</v>
      </c>
      <c r="P651" s="138">
        <f>+'ONT_GL '!R82</f>
        <v>0</v>
      </c>
      <c r="Q651" s="138">
        <f>+'ONT_GL '!S82</f>
        <v>1036577</v>
      </c>
      <c r="R651" s="138">
        <f>+'ONT_GL '!T82</f>
        <v>0</v>
      </c>
      <c r="S651" s="138">
        <f>+'ONT_GL '!U82</f>
        <v>0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72">
        <f>+'ONT_GL '!AA82</f>
        <v>104.42000000000007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72">
        <f>+'ONT_GL '!AE82</f>
        <v>-531991.84</v>
      </c>
      <c r="AD651" s="138">
        <f>+'ONT_GL '!AF82</f>
        <v>0</v>
      </c>
      <c r="AE651" s="172">
        <f>+'ONT_GL '!AG82</f>
        <v>0</v>
      </c>
    </row>
    <row r="652" spans="4:31" x14ac:dyDescent="0.2">
      <c r="G652" s="45"/>
    </row>
    <row r="653" spans="4:31" x14ac:dyDescent="0.2">
      <c r="D653" t="s">
        <v>2</v>
      </c>
    </row>
  </sheetData>
  <mergeCells count="28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AB638:AC638"/>
    <mergeCell ref="AD638:AE638"/>
    <mergeCell ref="T638:U638"/>
    <mergeCell ref="V638:W638"/>
    <mergeCell ref="X638:Y638"/>
    <mergeCell ref="Z638:AA638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G74" activePane="bottomRight" state="frozen"/>
      <selection activeCell="D10" sqref="D10"/>
      <selection pane="topRight" activeCell="D10" sqref="D10"/>
      <selection pane="bottomLeft" activeCell="D10" sqref="D10"/>
      <selection pane="bottomRight" activeCell="I86" sqref="I8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68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86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6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9904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167</v>
      </c>
      <c r="W8" s="27"/>
      <c r="X8" s="26" t="s">
        <v>116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16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65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0">
        <f t="shared" si="0"/>
        <v>0</v>
      </c>
      <c r="E12" s="65">
        <f t="shared" si="0"/>
        <v>-16739468.590000004</v>
      </c>
      <c r="F12" s="65"/>
      <c r="G12" s="38">
        <f>-8172907.77-182645.36</f>
        <v>-8355553.1299999999</v>
      </c>
      <c r="H12" s="65">
        <v>0</v>
      </c>
      <c r="I12" s="38">
        <f>-3271051.99-37177.04</f>
        <v>-3308229.0300000003</v>
      </c>
      <c r="J12" s="65"/>
      <c r="K12" s="38">
        <v>154134.26999999999</v>
      </c>
      <c r="L12" s="65"/>
      <c r="M12" s="38">
        <v>0</v>
      </c>
      <c r="N12" s="65"/>
      <c r="O12" s="38">
        <f>-794179.9-2840.16</f>
        <v>-797020.06</v>
      </c>
      <c r="P12" s="65"/>
      <c r="Q12" s="38">
        <f>-679713.44-56307.48</f>
        <v>-736020.91999999993</v>
      </c>
      <c r="R12" s="65"/>
      <c r="S12" s="38">
        <f>-3877402.5-123172.33</f>
        <v>-4000574.83</v>
      </c>
      <c r="T12" s="65"/>
      <c r="U12" s="38">
        <v>0</v>
      </c>
      <c r="V12" s="65"/>
      <c r="W12" s="38">
        <v>303795.11</v>
      </c>
      <c r="X12" s="65"/>
      <c r="Y12" s="38">
        <v>0</v>
      </c>
    </row>
    <row r="13" spans="1:25" x14ac:dyDescent="0.2">
      <c r="A13" s="9">
        <v>3</v>
      </c>
      <c r="B13" s="7"/>
      <c r="C13" s="18" t="s">
        <v>29</v>
      </c>
      <c r="D13" s="60">
        <f t="shared" si="0"/>
        <v>0</v>
      </c>
      <c r="E13" s="65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0">
        <f t="shared" si="0"/>
        <v>0</v>
      </c>
      <c r="E14" s="65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0">
        <f t="shared" si="0"/>
        <v>0</v>
      </c>
      <c r="E15" s="65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Y16" si="1">SUM(D11:D15)</f>
        <v>0</v>
      </c>
      <c r="E16" s="70">
        <f t="shared" si="1"/>
        <v>-16739468.590000004</v>
      </c>
      <c r="F16" s="61">
        <f t="shared" si="1"/>
        <v>0</v>
      </c>
      <c r="G16" s="39">
        <f t="shared" si="1"/>
        <v>-8355553.1299999999</v>
      </c>
      <c r="H16" s="61">
        <f t="shared" si="1"/>
        <v>0</v>
      </c>
      <c r="I16" s="39">
        <f t="shared" si="1"/>
        <v>-3308229.0300000003</v>
      </c>
      <c r="J16" s="61">
        <f t="shared" si="1"/>
        <v>0</v>
      </c>
      <c r="K16" s="39">
        <f t="shared" si="1"/>
        <v>154134.26999999999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-797020.06</v>
      </c>
      <c r="P16" s="61">
        <f t="shared" si="1"/>
        <v>0</v>
      </c>
      <c r="Q16" s="39">
        <f t="shared" si="1"/>
        <v>-736020.91999999993</v>
      </c>
      <c r="R16" s="61">
        <f t="shared" si="1"/>
        <v>0</v>
      </c>
      <c r="S16" s="39">
        <f t="shared" si="1"/>
        <v>-4000574.83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303795.11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6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6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65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0">
        <f t="shared" si="2"/>
        <v>0</v>
      </c>
      <c r="E20" s="65">
        <f t="shared" si="2"/>
        <v>-433145.72000000003</v>
      </c>
      <c r="F20" s="65"/>
      <c r="G20" s="38">
        <f>235805.63+331190.36</f>
        <v>566995.99</v>
      </c>
      <c r="H20" s="65"/>
      <c r="I20" s="38">
        <f>26615.16-423607.94</f>
        <v>-396992.78</v>
      </c>
      <c r="J20" s="65"/>
      <c r="K20" s="38">
        <v>-259669.53</v>
      </c>
      <c r="L20" s="65"/>
      <c r="M20" s="38">
        <v>0</v>
      </c>
      <c r="N20" s="65"/>
      <c r="O20" s="38">
        <v>-180226.52</v>
      </c>
      <c r="P20" s="65"/>
      <c r="Q20" s="38">
        <f>1055.94-40413.24</f>
        <v>-39357.299999999996</v>
      </c>
      <c r="R20" s="65"/>
      <c r="S20" s="38">
        <f>57082.32+233474.09</f>
        <v>290556.40999999997</v>
      </c>
      <c r="T20" s="65"/>
      <c r="U20" s="38">
        <v>0</v>
      </c>
      <c r="V20" s="65"/>
      <c r="W20" s="38">
        <v>-414451.99</v>
      </c>
      <c r="X20" s="65"/>
      <c r="Y20" s="38">
        <v>0</v>
      </c>
    </row>
    <row r="21" spans="1:25" x14ac:dyDescent="0.2">
      <c r="A21" s="9">
        <v>8</v>
      </c>
      <c r="B21" s="7"/>
      <c r="C21" s="18" t="s">
        <v>29</v>
      </c>
      <c r="D21" s="60">
        <f t="shared" si="2"/>
        <v>0</v>
      </c>
      <c r="E21" s="65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0">
        <f t="shared" si="2"/>
        <v>0</v>
      </c>
      <c r="E22" s="65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0">
        <f t="shared" si="2"/>
        <v>0</v>
      </c>
      <c r="E23" s="65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Y24" si="3">SUM(D19:D23)</f>
        <v>0</v>
      </c>
      <c r="E24" s="70">
        <f t="shared" si="3"/>
        <v>-433145.72000000003</v>
      </c>
      <c r="F24" s="61">
        <f t="shared" si="3"/>
        <v>0</v>
      </c>
      <c r="G24" s="39">
        <f t="shared" si="3"/>
        <v>566995.99</v>
      </c>
      <c r="H24" s="61">
        <f t="shared" si="3"/>
        <v>0</v>
      </c>
      <c r="I24" s="39">
        <f t="shared" si="3"/>
        <v>-396992.78</v>
      </c>
      <c r="J24" s="61">
        <f t="shared" si="3"/>
        <v>0</v>
      </c>
      <c r="K24" s="39">
        <f t="shared" si="3"/>
        <v>-259669.53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-180226.52</v>
      </c>
      <c r="P24" s="61">
        <f t="shared" si="3"/>
        <v>0</v>
      </c>
      <c r="Q24" s="39">
        <f t="shared" si="3"/>
        <v>-39357.299999999996</v>
      </c>
      <c r="R24" s="61">
        <f t="shared" si="3"/>
        <v>0</v>
      </c>
      <c r="S24" s="39">
        <f t="shared" si="3"/>
        <v>290556.40999999997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-414451.99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6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6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0">
        <f>F27+H27+J27+L27+N27+P27+R27+T27+V27+X27</f>
        <v>0</v>
      </c>
      <c r="E27" s="65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0">
        <f>F28+H28+J28+L28+N28+P28+R28+T28+V28+X28</f>
        <v>0</v>
      </c>
      <c r="E28" s="65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Y29" si="4">SUM(D27:D28)</f>
        <v>0</v>
      </c>
      <c r="E29" s="7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6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6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65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0">
        <f t="shared" si="5"/>
        <v>0</v>
      </c>
      <c r="E33" s="65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0">
        <f t="shared" si="5"/>
        <v>0</v>
      </c>
      <c r="E34" s="65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0">
        <f t="shared" si="5"/>
        <v>0</v>
      </c>
      <c r="E35" s="65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7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6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6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65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0">
        <f t="shared" si="7"/>
        <v>0</v>
      </c>
      <c r="E40" s="65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0">
        <f t="shared" si="7"/>
        <v>0</v>
      </c>
      <c r="E41" s="65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50</v>
      </c>
      <c r="D42" s="61">
        <f t="shared" ref="D42:Y42" si="8">SUM(D40:D41)</f>
        <v>0</v>
      </c>
      <c r="E42" s="7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Y43" si="9">D42+D39</f>
        <v>0</v>
      </c>
      <c r="E43" s="7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6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0">
        <f>F45+H45+J45+L45+N45+P45+R45+T45+V45+X45</f>
        <v>0</v>
      </c>
      <c r="E45" s="65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6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0">
        <f>F47+H47+J47+L47+N47+P47+R47+T47+V47+X47</f>
        <v>0</v>
      </c>
      <c r="E47" s="65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6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0">
        <f>F49+H49+J49+L49+N49+P49+R49+T49+V49+X49</f>
        <v>0</v>
      </c>
      <c r="E49" s="65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6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0">
        <f>F51+H51+J51+L51+N51+P51+R51+T51+V51+X51</f>
        <v>0</v>
      </c>
      <c r="E51" s="65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6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6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0">
        <f>F54+H54+J54+L54+N54+P54+R54+T54+V54+X54</f>
        <v>0</v>
      </c>
      <c r="E54" s="65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0">
        <f>F55+H55+J55+L55+N55+P55+R55+T55+V55+X55</f>
        <v>0</v>
      </c>
      <c r="E55" s="65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59</v>
      </c>
      <c r="C56" s="6"/>
      <c r="D56" s="61">
        <f t="shared" ref="D56:Y56" si="10">SUM(D54:D55)</f>
        <v>0</v>
      </c>
      <c r="E56" s="70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6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6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0">
        <f>F59+H59+J59+L59+N59+P59+R59+T59+V59+X59</f>
        <v>0</v>
      </c>
      <c r="E59" s="65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62</v>
      </c>
      <c r="D60" s="60">
        <f>F60+H60+J60+L60+N60+P60+R60+T60+V60+X60</f>
        <v>0</v>
      </c>
      <c r="E60" s="65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Y61" si="11">SUM(D59:D60)</f>
        <v>0</v>
      </c>
      <c r="E61" s="7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6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6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0">
        <f>F64+H64+J64+L64+N64+P64+R64+T64+V64+X64</f>
        <v>0</v>
      </c>
      <c r="E64" s="65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0">
        <f>F65+H65+J65+L65+N65+P65+R65+T65+V65+X65</f>
        <v>0</v>
      </c>
      <c r="E65" s="65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Y66" si="12">SUM(D64:D65)</f>
        <v>0</v>
      </c>
      <c r="E66" s="70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6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6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6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0">
        <f>F70+H70+J70+L70+N70+P70+R70+T70+V70+X70</f>
        <v>0</v>
      </c>
      <c r="E70" s="170">
        <f>G70+I70+K70+M70+O70+Q70+S70+U70+W70+Y70</f>
        <v>17944315.149999999</v>
      </c>
      <c r="F70" s="60"/>
      <c r="G70" s="38">
        <v>1513816.64</v>
      </c>
      <c r="H70" s="60"/>
      <c r="I70" s="38">
        <f>-196194.06</f>
        <v>-196194.06</v>
      </c>
      <c r="J70" s="60"/>
      <c r="K70" s="38">
        <v>0</v>
      </c>
      <c r="L70" s="60"/>
      <c r="M70" s="38">
        <v>0</v>
      </c>
      <c r="N70" s="60"/>
      <c r="O70" s="38">
        <v>709561.76</v>
      </c>
      <c r="P70" s="60"/>
      <c r="Q70" s="38">
        <v>0</v>
      </c>
      <c r="R70" s="60"/>
      <c r="S70" s="38">
        <f>1054678.81</f>
        <v>1054678.81</v>
      </c>
      <c r="T70" s="60"/>
      <c r="U70" s="38">
        <v>7305078</v>
      </c>
      <c r="V70" s="60"/>
      <c r="W70" s="38">
        <f>-237236.88+24034.88</f>
        <v>-213202</v>
      </c>
      <c r="X70" s="60"/>
      <c r="Y70" s="38">
        <v>7770576</v>
      </c>
    </row>
    <row r="71" spans="1:25" x14ac:dyDescent="0.2">
      <c r="A71" s="9">
        <v>31</v>
      </c>
      <c r="B71" s="3"/>
      <c r="C71" s="10" t="s">
        <v>70</v>
      </c>
      <c r="D71" s="60">
        <f>F71+H71+J71+L71+N71+P71+R71+T71+V71+X71</f>
        <v>0</v>
      </c>
      <c r="E71" s="170">
        <f>G71+I71+K71+M71+O71+Q71+S71+U71+W71+Y71</f>
        <v>-6829676</v>
      </c>
      <c r="F71" s="60"/>
      <c r="G71" s="38">
        <v>91871</v>
      </c>
      <c r="H71" s="60"/>
      <c r="I71" s="38">
        <v>-6061806</v>
      </c>
      <c r="J71" s="60"/>
      <c r="K71" s="38">
        <v>0</v>
      </c>
      <c r="L71" s="60"/>
      <c r="M71" s="38">
        <v>0</v>
      </c>
      <c r="N71" s="60"/>
      <c r="O71" s="38">
        <v>-559245</v>
      </c>
      <c r="P71" s="60"/>
      <c r="Q71" s="38">
        <v>0</v>
      </c>
      <c r="R71" s="60"/>
      <c r="S71" s="38">
        <v>-300496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71</v>
      </c>
      <c r="D72" s="61">
        <f t="shared" ref="D72:Y72" si="13">SUM(D70:D71)</f>
        <v>0</v>
      </c>
      <c r="E72" s="171">
        <f t="shared" si="13"/>
        <v>11114639.149999999</v>
      </c>
      <c r="F72" s="61">
        <f t="shared" si="13"/>
        <v>0</v>
      </c>
      <c r="G72" s="39">
        <f t="shared" si="13"/>
        <v>1605687.64</v>
      </c>
      <c r="H72" s="61">
        <f t="shared" si="13"/>
        <v>0</v>
      </c>
      <c r="I72" s="39">
        <f t="shared" si="13"/>
        <v>-6258000.0599999996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150316.76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754182.81</v>
      </c>
      <c r="T72" s="61">
        <f t="shared" si="13"/>
        <v>0</v>
      </c>
      <c r="U72" s="39">
        <f t="shared" si="13"/>
        <v>7305078</v>
      </c>
      <c r="V72" s="61">
        <f t="shared" si="13"/>
        <v>0</v>
      </c>
      <c r="W72" s="39">
        <f t="shared" si="13"/>
        <v>-213202</v>
      </c>
      <c r="X72" s="61">
        <f t="shared" si="13"/>
        <v>0</v>
      </c>
      <c r="Y72" s="39">
        <f t="shared" si="13"/>
        <v>7770576</v>
      </c>
    </row>
    <row r="73" spans="1:25" x14ac:dyDescent="0.2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65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0">
        <f t="shared" si="14"/>
        <v>0</v>
      </c>
      <c r="E74" s="65">
        <f t="shared" si="15"/>
        <v>9622599.290000001</v>
      </c>
      <c r="F74" s="65"/>
      <c r="G74" s="66">
        <v>-521533.97</v>
      </c>
      <c r="H74" s="65"/>
      <c r="I74" s="66">
        <f>625721.07-17823.42</f>
        <v>607897.64999999991</v>
      </c>
      <c r="J74" s="65"/>
      <c r="K74" s="66">
        <v>0</v>
      </c>
      <c r="L74" s="65"/>
      <c r="M74" s="66">
        <v>0</v>
      </c>
      <c r="N74" s="65"/>
      <c r="O74" s="66">
        <v>286975.68</v>
      </c>
      <c r="P74" s="65"/>
      <c r="Q74" s="66">
        <v>0</v>
      </c>
      <c r="R74" s="65"/>
      <c r="S74" s="66">
        <f>-171693.87-1983615</f>
        <v>-2155308.87</v>
      </c>
      <c r="T74" s="65"/>
      <c r="U74" s="66">
        <v>938484.68</v>
      </c>
      <c r="V74" s="65"/>
      <c r="W74" s="66">
        <v>345252.22</v>
      </c>
      <c r="X74" s="65"/>
      <c r="Y74" s="66">
        <v>10120831.9</v>
      </c>
    </row>
    <row r="75" spans="1:25" x14ac:dyDescent="0.2">
      <c r="A75" s="9">
        <v>34</v>
      </c>
      <c r="B75" s="3"/>
      <c r="C75" s="10" t="s">
        <v>74</v>
      </c>
      <c r="D75" s="60">
        <f t="shared" si="14"/>
        <v>0</v>
      </c>
      <c r="E75" s="170">
        <f t="shared" si="15"/>
        <v>224400</v>
      </c>
      <c r="F75" s="65"/>
      <c r="G75" s="38">
        <v>92100</v>
      </c>
      <c r="H75" s="65"/>
      <c r="I75" s="38">
        <v>400</v>
      </c>
      <c r="J75" s="65"/>
      <c r="K75" s="38">
        <v>0</v>
      </c>
      <c r="L75" s="65"/>
      <c r="M75" s="38">
        <v>0</v>
      </c>
      <c r="N75" s="65"/>
      <c r="O75" s="38">
        <v>13200</v>
      </c>
      <c r="P75" s="65"/>
      <c r="Q75" s="38">
        <v>0</v>
      </c>
      <c r="R75" s="65"/>
      <c r="S75" s="38">
        <f>5600+113100</f>
        <v>118700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75</v>
      </c>
      <c r="D76" s="60">
        <f t="shared" si="14"/>
        <v>0</v>
      </c>
      <c r="E76" s="170">
        <f t="shared" si="15"/>
        <v>-4573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-4573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0">
        <f t="shared" si="14"/>
        <v>0</v>
      </c>
      <c r="E77" s="170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77</v>
      </c>
      <c r="D78" s="60">
        <f t="shared" si="14"/>
        <v>0</v>
      </c>
      <c r="E78" s="65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0">
        <f t="shared" si="14"/>
        <v>0</v>
      </c>
      <c r="E79" s="65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0">
        <f t="shared" si="14"/>
        <v>0</v>
      </c>
      <c r="E80" s="65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0">
        <f t="shared" si="14"/>
        <v>0</v>
      </c>
      <c r="E81" s="65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183</v>
      </c>
      <c r="D82" s="92">
        <f>D16+D24+D29+D36+D43+D45+D47+D49</f>
        <v>0</v>
      </c>
      <c r="E82" s="93">
        <f>SUM(E72:E81)+E16+E24+E29+E36+E43+E45+E47+E49+E51+E56+E61+E66</f>
        <v>-149357.87000000599</v>
      </c>
      <c r="F82" s="92">
        <f>F16+F24+F29+F36+F43+F45+F47+F49</f>
        <v>0</v>
      </c>
      <c r="G82" s="93">
        <f>SUM(G72:G81)+G16+G24+G29+G36+G43+G45+G47+G49+G51+G56+G61+G66</f>
        <v>-6612303.4699999997</v>
      </c>
      <c r="H82" s="92">
        <f>H16+H24+H29+H36+H43+H45+H47+H49</f>
        <v>0</v>
      </c>
      <c r="I82" s="93">
        <f>SUM(I72:I81)+I16+I24+I29+I36+I43+I45+I47+I49+I51+I56+I61+I66</f>
        <v>-12391733.220000001</v>
      </c>
      <c r="J82" s="92">
        <f>J16+J24+J29+J36+J43+J45+J47+J49</f>
        <v>0</v>
      </c>
      <c r="K82" s="93">
        <f>SUM(K72:K81)+K16+K24+K29+K36+K43+K45+K47+K49+K51+K56+K61+K66</f>
        <v>-105535.26000000001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-526754.14</v>
      </c>
      <c r="P82" s="92">
        <f>P16+P24+P29+P36+P43+P45+P47+P49</f>
        <v>0</v>
      </c>
      <c r="Q82" s="93">
        <f>SUM(Q72:Q81)+Q16+Q24+Q29+Q36+Q43+Q45+Q47+Q49+Q51+Q56+Q61+Q66</f>
        <v>-775378.22</v>
      </c>
      <c r="R82" s="92">
        <f>R16+R24+R29+R36+R43+R45+R47+R49</f>
        <v>0</v>
      </c>
      <c r="S82" s="93">
        <f>SUM(S72:S81)+S16+S24+S29+S36+S43+S45+S47+S49+S51+S56+S61+S66</f>
        <v>-4992444.4800000004</v>
      </c>
      <c r="T82" s="92">
        <f>T16+T24+T29+T36+T43+T45+T47+T49</f>
        <v>0</v>
      </c>
      <c r="U82" s="93">
        <f>SUM(U72:U81)+U16+U24+U29+U36+U43+U45+U47+U49+U51+U56+U61+U66</f>
        <v>7341989.6799999997</v>
      </c>
      <c r="V82" s="92">
        <f>V16+V24+V29+V36+V43+V45+V47+V49</f>
        <v>0</v>
      </c>
      <c r="W82" s="93">
        <f>SUM(W72:W81)+W16+W24+W29+W36+W43+W45+W47+W49+W51+W56+W61+W66</f>
        <v>21393.339999999967</v>
      </c>
      <c r="X82" s="92">
        <f>X16+X24+X29+X36+X43+X45+X47+X49</f>
        <v>0</v>
      </c>
      <c r="Y82" s="93">
        <f>SUM(Y72:Y81)+Y16+Y24+Y29+Y36+Y43+Y45+Y47+Y49+Y51+Y56+Y61+Y66</f>
        <v>17891407.899999999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180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77"/>
      <c r="C86" s="10" t="s">
        <v>181</v>
      </c>
      <c r="D86" s="178">
        <f>F86+H86+J86+L86+N86+P86+R86+T86+V86+X86</f>
        <v>0</v>
      </c>
      <c r="E86" s="178">
        <f>G86+I86+K86+M86+O86+Q86+S86+U86+W86+Y86</f>
        <v>3988366.6300000004</v>
      </c>
      <c r="F86" s="178"/>
      <c r="G86" s="178"/>
      <c r="H86" s="178"/>
      <c r="I86" s="178">
        <v>98335.37</v>
      </c>
      <c r="J86" s="178"/>
      <c r="K86" s="178"/>
      <c r="L86" s="178"/>
      <c r="M86" s="178"/>
      <c r="N86" s="178"/>
      <c r="O86" s="178"/>
      <c r="P86" s="178"/>
      <c r="Q86" s="178"/>
      <c r="R86" s="178"/>
      <c r="S86" s="178">
        <v>3914066.14</v>
      </c>
      <c r="T86" s="178"/>
      <c r="U86" s="178"/>
      <c r="V86" s="178"/>
      <c r="W86" s="178">
        <v>-24034.880000000001</v>
      </c>
      <c r="X86" s="178"/>
      <c r="Y86" s="178"/>
    </row>
    <row r="87" spans="1:26" s="3" customFormat="1" x14ac:dyDescent="0.2">
      <c r="A87" s="177"/>
      <c r="C87" s="10" t="s">
        <v>73</v>
      </c>
      <c r="D87" s="179">
        <v>0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f>U87+W87+Y87+AA87+AC87+AE87+AG87+AI87+AK87+AM87</f>
        <v>0</v>
      </c>
      <c r="T87" s="179">
        <f>V87+X87+Z87+AB87+AD87+AF87+AH87+AJ87+AL87+AN87</f>
        <v>0</v>
      </c>
      <c r="U87" s="179"/>
      <c r="V87" s="179"/>
      <c r="W87" s="179"/>
      <c r="X87" s="179"/>
      <c r="Y87" s="179"/>
    </row>
    <row r="88" spans="1:26" s="3" customFormat="1" x14ac:dyDescent="0.2">
      <c r="A88" s="177"/>
      <c r="C88" s="10" t="s">
        <v>74</v>
      </c>
      <c r="D88" s="180">
        <v>0</v>
      </c>
      <c r="E88" s="180">
        <v>0</v>
      </c>
      <c r="F88" s="180">
        <v>0</v>
      </c>
      <c r="G88" s="180"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-113100</v>
      </c>
      <c r="T88" s="180">
        <f>V88+X88+Z88+AB88+AD88+AF88+AH88+AJ88+AL88+AN88</f>
        <v>0</v>
      </c>
      <c r="U88" s="180"/>
      <c r="V88" s="180"/>
      <c r="W88" s="180"/>
      <c r="X88" s="180"/>
      <c r="Y88" s="180"/>
    </row>
    <row r="89" spans="1:26" s="143" customFormat="1" ht="20.25" customHeight="1" x14ac:dyDescent="0.2">
      <c r="A89" s="191"/>
      <c r="B89" s="192"/>
      <c r="C89" s="194" t="s">
        <v>189</v>
      </c>
      <c r="D89" s="193">
        <f>SUM(D86:D88)</f>
        <v>0</v>
      </c>
      <c r="E89" s="193">
        <f t="shared" ref="E89:M89" si="16">SUM(E86:E88)</f>
        <v>3988366.6300000004</v>
      </c>
      <c r="F89" s="193">
        <f t="shared" si="16"/>
        <v>0</v>
      </c>
      <c r="G89" s="193">
        <f t="shared" si="16"/>
        <v>0</v>
      </c>
      <c r="H89" s="193">
        <f t="shared" si="16"/>
        <v>0</v>
      </c>
      <c r="I89" s="193">
        <f t="shared" si="16"/>
        <v>98335.37</v>
      </c>
      <c r="J89" s="193">
        <f t="shared" si="16"/>
        <v>0</v>
      </c>
      <c r="K89" s="193">
        <f t="shared" si="16"/>
        <v>0</v>
      </c>
      <c r="L89" s="193">
        <f t="shared" si="16"/>
        <v>0</v>
      </c>
      <c r="M89" s="193">
        <f t="shared" si="16"/>
        <v>0</v>
      </c>
      <c r="N89" s="193">
        <f t="shared" ref="N89:Y89" si="17">SUM(N86:N88)</f>
        <v>0</v>
      </c>
      <c r="O89" s="193">
        <f t="shared" si="17"/>
        <v>0</v>
      </c>
      <c r="P89" s="193">
        <f t="shared" si="17"/>
        <v>0</v>
      </c>
      <c r="Q89" s="193">
        <f t="shared" si="17"/>
        <v>0</v>
      </c>
      <c r="R89" s="193">
        <f t="shared" si="17"/>
        <v>0</v>
      </c>
      <c r="S89" s="193">
        <f t="shared" si="17"/>
        <v>3800966.14</v>
      </c>
      <c r="T89" s="193">
        <f t="shared" si="17"/>
        <v>0</v>
      </c>
      <c r="U89" s="193">
        <f t="shared" si="17"/>
        <v>0</v>
      </c>
      <c r="V89" s="193">
        <f t="shared" si="17"/>
        <v>0</v>
      </c>
      <c r="W89" s="193">
        <f t="shared" si="17"/>
        <v>-24034.880000000001</v>
      </c>
      <c r="X89" s="193">
        <f t="shared" si="17"/>
        <v>0</v>
      </c>
      <c r="Y89" s="193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3" customFormat="1" ht="20.25" customHeight="1" x14ac:dyDescent="0.2">
      <c r="A91" s="191"/>
      <c r="B91" s="192"/>
      <c r="C91" s="190" t="s">
        <v>190</v>
      </c>
      <c r="D91" s="193">
        <f>+D82+D89</f>
        <v>0</v>
      </c>
      <c r="E91" s="193">
        <f t="shared" ref="E91:M91" si="18">+E82+E89</f>
        <v>3839008.7599999942</v>
      </c>
      <c r="F91" s="193">
        <f t="shared" si="18"/>
        <v>0</v>
      </c>
      <c r="G91" s="193">
        <f t="shared" si="18"/>
        <v>-6612303.4699999997</v>
      </c>
      <c r="H91" s="193">
        <f t="shared" si="18"/>
        <v>0</v>
      </c>
      <c r="I91" s="193">
        <f t="shared" si="18"/>
        <v>-12293397.850000001</v>
      </c>
      <c r="J91" s="193">
        <f t="shared" si="18"/>
        <v>0</v>
      </c>
      <c r="K91" s="193">
        <f t="shared" si="18"/>
        <v>-105535.26000000001</v>
      </c>
      <c r="L91" s="193">
        <f t="shared" si="18"/>
        <v>0</v>
      </c>
      <c r="M91" s="193">
        <f t="shared" si="18"/>
        <v>0</v>
      </c>
      <c r="N91" s="193">
        <f t="shared" ref="N91:Y91" si="19">+N82+N89</f>
        <v>0</v>
      </c>
      <c r="O91" s="193">
        <f t="shared" si="19"/>
        <v>-526754.14</v>
      </c>
      <c r="P91" s="193">
        <f t="shared" si="19"/>
        <v>0</v>
      </c>
      <c r="Q91" s="193">
        <f t="shared" si="19"/>
        <v>-775378.22</v>
      </c>
      <c r="R91" s="193">
        <f t="shared" si="19"/>
        <v>0</v>
      </c>
      <c r="S91" s="193">
        <f t="shared" si="19"/>
        <v>-1191478.3400000003</v>
      </c>
      <c r="T91" s="193">
        <f t="shared" si="19"/>
        <v>0</v>
      </c>
      <c r="U91" s="193">
        <f t="shared" si="19"/>
        <v>7341989.6799999997</v>
      </c>
      <c r="V91" s="193">
        <f t="shared" si="19"/>
        <v>0</v>
      </c>
      <c r="W91" s="193">
        <f t="shared" si="19"/>
        <v>-2641.5400000000336</v>
      </c>
      <c r="X91" s="193">
        <f t="shared" si="19"/>
        <v>0</v>
      </c>
      <c r="Y91" s="193">
        <f t="shared" si="19"/>
        <v>17891407.899999999</v>
      </c>
    </row>
    <row r="92" spans="1:26" x14ac:dyDescent="0.2">
      <c r="A92" s="4"/>
      <c r="B92" s="3"/>
      <c r="D92" s="31">
        <v>0</v>
      </c>
      <c r="E92" s="168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">
      <c r="A93" s="4"/>
      <c r="B93" s="3"/>
    </row>
    <row r="94" spans="1:26" x14ac:dyDescent="0.2">
      <c r="A94" s="4"/>
      <c r="B94" s="3"/>
      <c r="E94" s="168">
        <f>+E12+E20+E74</f>
        <v>-7550015.0200000014</v>
      </c>
    </row>
    <row r="95" spans="1:26" x14ac:dyDescent="0.2">
      <c r="A95" s="4"/>
      <c r="B95" s="3"/>
      <c r="E95" s="168">
        <f>-5809063+78213-1983615</f>
        <v>-7714465</v>
      </c>
    </row>
    <row r="96" spans="1:26" x14ac:dyDescent="0.2">
      <c r="A96" s="4"/>
      <c r="B96" s="3"/>
      <c r="E96" s="168">
        <f>+E94-E95</f>
        <v>164449.97999999858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24" activePane="bottomRight" state="frozen"/>
      <selection activeCell="A91" sqref="A91"/>
      <selection pane="topRight" activeCell="A91" sqref="A91"/>
      <selection pane="bottomLeft" activeCell="A91" sqref="A91"/>
      <selection pane="bottomRight"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2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45194806</v>
      </c>
      <c r="E11" s="65">
        <v>84386708</v>
      </c>
      <c r="F11" s="60">
        <f>H11-D11</f>
        <v>0</v>
      </c>
      <c r="G11" s="37">
        <f>I11-E11</f>
        <v>0</v>
      </c>
      <c r="H11" s="65">
        <f t="shared" ref="H11:I15" si="0">D11</f>
        <v>45194806</v>
      </c>
      <c r="I11" s="66">
        <f t="shared" si="0"/>
        <v>84386708</v>
      </c>
      <c r="J11" s="37"/>
      <c r="K11" s="38"/>
      <c r="L11" s="60">
        <f t="shared" ref="L11:M15" si="1">H11+J11</f>
        <v>45194806</v>
      </c>
      <c r="M11" s="38">
        <f t="shared" si="1"/>
        <v>84386708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29</v>
      </c>
      <c r="D13" s="65">
        <v>20611258</v>
      </c>
      <c r="E13" s="65">
        <v>43053097</v>
      </c>
      <c r="F13" s="60">
        <f t="shared" si="2"/>
        <v>0</v>
      </c>
      <c r="G13" s="37">
        <f t="shared" si="2"/>
        <v>0</v>
      </c>
      <c r="H13" s="65">
        <f t="shared" si="0"/>
        <v>20611258</v>
      </c>
      <c r="I13" s="66">
        <f t="shared" si="0"/>
        <v>43053097</v>
      </c>
      <c r="J13" s="37"/>
      <c r="K13" s="38"/>
      <c r="L13" s="60">
        <f t="shared" si="1"/>
        <v>20611258</v>
      </c>
      <c r="M13" s="38">
        <f t="shared" si="1"/>
        <v>43053097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32</v>
      </c>
      <c r="C16" s="6"/>
      <c r="D16" s="61">
        <v>65806064</v>
      </c>
      <c r="E16" s="39">
        <v>127439805</v>
      </c>
      <c r="F16" s="61">
        <f t="shared" ref="F16:M16" si="3">SUM(F11:F15)</f>
        <v>0</v>
      </c>
      <c r="G16" s="39">
        <f t="shared" si="3"/>
        <v>0</v>
      </c>
      <c r="H16" s="61">
        <f>SUM(H11:H15)</f>
        <v>65806064</v>
      </c>
      <c r="I16" s="39">
        <f>SUM(I11:I15)</f>
        <v>127439805</v>
      </c>
      <c r="J16" s="151">
        <f t="shared" si="3"/>
        <v>0</v>
      </c>
      <c r="K16" s="39">
        <f t="shared" si="3"/>
        <v>0</v>
      </c>
      <c r="L16" s="61">
        <f t="shared" si="3"/>
        <v>65806064</v>
      </c>
      <c r="M16" s="39">
        <f t="shared" si="3"/>
        <v>127439805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-37082673</v>
      </c>
      <c r="E19" s="65">
        <v>-69793193</v>
      </c>
      <c r="F19" s="60">
        <f>H19-D19</f>
        <v>0</v>
      </c>
      <c r="G19" s="37">
        <f>I19-E19</f>
        <v>0</v>
      </c>
      <c r="H19" s="65">
        <f t="shared" si="4"/>
        <v>-37082673</v>
      </c>
      <c r="I19" s="66">
        <f t="shared" si="4"/>
        <v>-69793193</v>
      </c>
      <c r="J19" s="37">
        <v>0</v>
      </c>
      <c r="K19" s="38">
        <v>0</v>
      </c>
      <c r="L19" s="60">
        <f t="shared" ref="L19:M23" si="5">H19+J19</f>
        <v>-37082673</v>
      </c>
      <c r="M19" s="38">
        <f t="shared" si="5"/>
        <v>-69793193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-28052522</v>
      </c>
      <c r="E21" s="65">
        <v>-56479927</v>
      </c>
      <c r="F21" s="60">
        <f t="shared" si="6"/>
        <v>0</v>
      </c>
      <c r="G21" s="37">
        <f t="shared" si="6"/>
        <v>0</v>
      </c>
      <c r="H21" s="65">
        <f t="shared" si="4"/>
        <v>-28052522</v>
      </c>
      <c r="I21" s="66">
        <f t="shared" si="4"/>
        <v>-56479927</v>
      </c>
      <c r="J21" s="37"/>
      <c r="K21" s="38"/>
      <c r="L21" s="60">
        <f t="shared" si="5"/>
        <v>-28052522</v>
      </c>
      <c r="M21" s="38">
        <f t="shared" si="5"/>
        <v>-56479927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282963</v>
      </c>
      <c r="E23" s="65">
        <v>576717</v>
      </c>
      <c r="F23" s="60">
        <f t="shared" si="6"/>
        <v>0</v>
      </c>
      <c r="G23" s="37">
        <f t="shared" si="6"/>
        <v>0</v>
      </c>
      <c r="H23" s="65">
        <f t="shared" si="4"/>
        <v>282963</v>
      </c>
      <c r="I23" s="66">
        <f t="shared" si="4"/>
        <v>576717</v>
      </c>
      <c r="J23" s="37"/>
      <c r="K23" s="38"/>
      <c r="L23" s="60">
        <f t="shared" si="5"/>
        <v>282963</v>
      </c>
      <c r="M23" s="38">
        <f t="shared" si="5"/>
        <v>576717</v>
      </c>
    </row>
    <row r="24" spans="1:13" x14ac:dyDescent="0.2">
      <c r="A24" s="9"/>
      <c r="B24" s="7" t="s">
        <v>35</v>
      </c>
      <c r="C24" s="6"/>
      <c r="D24" s="61">
        <v>-64852232</v>
      </c>
      <c r="E24" s="39">
        <v>-125696403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-64852232</v>
      </c>
      <c r="I24" s="39">
        <f>SUM(I19:I23)</f>
        <v>-125696403</v>
      </c>
      <c r="J24" s="151">
        <f t="shared" si="7"/>
        <v>0</v>
      </c>
      <c r="K24" s="39">
        <f t="shared" si="7"/>
        <v>0</v>
      </c>
      <c r="L24" s="61">
        <f t="shared" si="7"/>
        <v>-64852232</v>
      </c>
      <c r="M24" s="39">
        <f t="shared" si="7"/>
        <v>-125696403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4358962</v>
      </c>
      <c r="E32" s="65">
        <v>9374910</v>
      </c>
      <c r="F32" s="60">
        <f>H32-D32</f>
        <v>0</v>
      </c>
      <c r="G32" s="37">
        <f>I32-E32</f>
        <v>0</v>
      </c>
      <c r="H32" s="65">
        <f t="shared" ref="H32:I35" si="9">D32</f>
        <v>4358962</v>
      </c>
      <c r="I32" s="66">
        <f t="shared" si="9"/>
        <v>9374910</v>
      </c>
      <c r="J32" s="37"/>
      <c r="K32" s="38"/>
      <c r="L32" s="60">
        <f t="shared" ref="L32:M35" si="10">H32+J32</f>
        <v>4358962</v>
      </c>
      <c r="M32" s="38">
        <f t="shared" si="10"/>
        <v>9374910</v>
      </c>
    </row>
    <row r="33" spans="1:13" x14ac:dyDescent="0.2">
      <c r="A33" s="9">
        <v>14</v>
      </c>
      <c r="B33" s="7"/>
      <c r="C33" s="18" t="s">
        <v>42</v>
      </c>
      <c r="D33" s="65">
        <v>-4262794</v>
      </c>
      <c r="E33" s="65">
        <v>-9065205.4835439865</v>
      </c>
      <c r="F33" s="60">
        <f t="shared" ref="F33:G35" si="11">H33-D33</f>
        <v>0</v>
      </c>
      <c r="G33" s="37">
        <f t="shared" si="11"/>
        <v>0</v>
      </c>
      <c r="H33" s="65">
        <f t="shared" si="9"/>
        <v>-4262794</v>
      </c>
      <c r="I33" s="66">
        <f t="shared" si="9"/>
        <v>-9065205.4835439865</v>
      </c>
      <c r="J33" s="37"/>
      <c r="K33" s="38"/>
      <c r="L33" s="60">
        <f t="shared" si="10"/>
        <v>-4262794</v>
      </c>
      <c r="M33" s="38">
        <f t="shared" si="10"/>
        <v>-9065205.4835439865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96168</v>
      </c>
      <c r="E36" s="39">
        <v>309704.51645601355</v>
      </c>
      <c r="F36" s="61">
        <f>SUM(F32:F35)</f>
        <v>0</v>
      </c>
      <c r="G36" s="39">
        <f>SUM(G32:G35)</f>
        <v>0</v>
      </c>
      <c r="H36" s="61">
        <f>SUM(H32:H35)</f>
        <v>96168</v>
      </c>
      <c r="I36" s="39">
        <f>SUM(I32:I35)</f>
        <v>309704.51645601355</v>
      </c>
      <c r="J36" s="151">
        <f>SUM(J32:J34)</f>
        <v>0</v>
      </c>
      <c r="K36" s="39">
        <f>SUM(K32:K34)</f>
        <v>0</v>
      </c>
      <c r="L36" s="61">
        <f>SUM(L32:L35)</f>
        <v>96168</v>
      </c>
      <c r="M36" s="39">
        <f>SUM(M32:M35)</f>
        <v>309704.51645601355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900000</v>
      </c>
      <c r="E39" s="65">
        <v>1773000</v>
      </c>
      <c r="F39" s="60">
        <f t="shared" ref="F39:G41" si="13">H39-D39</f>
        <v>0</v>
      </c>
      <c r="G39" s="37">
        <f t="shared" si="13"/>
        <v>0</v>
      </c>
      <c r="H39" s="65">
        <f t="shared" si="12"/>
        <v>900000</v>
      </c>
      <c r="I39" s="66">
        <f t="shared" si="12"/>
        <v>1773000</v>
      </c>
      <c r="J39" s="37"/>
      <c r="K39" s="38"/>
      <c r="L39" s="60">
        <f t="shared" ref="L39:M41" si="14">H39+J39</f>
        <v>900000</v>
      </c>
      <c r="M39" s="38">
        <f t="shared" si="14"/>
        <v>1773000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-1950000</v>
      </c>
      <c r="E40" s="65">
        <v>-3832200</v>
      </c>
      <c r="F40" s="60">
        <f t="shared" si="13"/>
        <v>0</v>
      </c>
      <c r="G40" s="37">
        <f t="shared" si="13"/>
        <v>0</v>
      </c>
      <c r="H40" s="65">
        <f t="shared" si="12"/>
        <v>-1950000</v>
      </c>
      <c r="I40" s="66">
        <f t="shared" si="12"/>
        <v>-3832200</v>
      </c>
      <c r="J40" s="37"/>
      <c r="K40" s="38"/>
      <c r="L40" s="60">
        <f t="shared" si="14"/>
        <v>-1950000</v>
      </c>
      <c r="M40" s="38">
        <f t="shared" si="14"/>
        <v>-3832200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-1950000</v>
      </c>
      <c r="E42" s="39">
        <v>-3832200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-1950000</v>
      </c>
      <c r="I42" s="39">
        <f>SUM(I40:I41)</f>
        <v>-3832200</v>
      </c>
      <c r="J42" s="151">
        <f t="shared" si="15"/>
        <v>0</v>
      </c>
      <c r="K42" s="39">
        <f t="shared" si="15"/>
        <v>0</v>
      </c>
      <c r="L42" s="61">
        <f t="shared" si="15"/>
        <v>-1950000</v>
      </c>
      <c r="M42" s="39">
        <f t="shared" si="15"/>
        <v>-3832200</v>
      </c>
    </row>
    <row r="43" spans="1:13" ht="21" customHeight="1" x14ac:dyDescent="0.2">
      <c r="A43" s="9"/>
      <c r="B43" s="7" t="s">
        <v>51</v>
      </c>
      <c r="C43" s="6"/>
      <c r="D43" s="61">
        <v>-1050000</v>
      </c>
      <c r="E43" s="39">
        <v>-2059200</v>
      </c>
      <c r="F43" s="61">
        <f t="shared" ref="F43:M43" si="16">F42+F39</f>
        <v>0</v>
      </c>
      <c r="G43" s="39">
        <f t="shared" si="16"/>
        <v>0</v>
      </c>
      <c r="H43" s="61">
        <f>H42+H39</f>
        <v>-1050000</v>
      </c>
      <c r="I43" s="39">
        <f>I42+I39</f>
        <v>-2059200</v>
      </c>
      <c r="J43" s="151">
        <f t="shared" si="16"/>
        <v>0</v>
      </c>
      <c r="K43" s="39">
        <f t="shared" si="16"/>
        <v>0</v>
      </c>
      <c r="L43" s="61">
        <f t="shared" si="16"/>
        <v>-1050000</v>
      </c>
      <c r="M43" s="39">
        <f t="shared" si="16"/>
        <v>-2059200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-282963</v>
      </c>
      <c r="E51" s="65">
        <v>-576717</v>
      </c>
      <c r="F51" s="60">
        <f>H51-D51</f>
        <v>0</v>
      </c>
      <c r="G51" s="37">
        <f>I51-E51</f>
        <v>0</v>
      </c>
      <c r="H51" s="65">
        <f>D51</f>
        <v>-282963</v>
      </c>
      <c r="I51" s="66">
        <f>E51</f>
        <v>-576717</v>
      </c>
      <c r="J51" s="37"/>
      <c r="K51" s="38"/>
      <c r="L51" s="60">
        <f>H51+J51</f>
        <v>-282963</v>
      </c>
      <c r="M51" s="38">
        <f>I51+K51</f>
        <v>-576717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-12786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-12786</v>
      </c>
      <c r="J54" s="37"/>
      <c r="K54" s="38"/>
      <c r="L54" s="60">
        <f>H54+J54</f>
        <v>0</v>
      </c>
      <c r="M54" s="38">
        <f>I54+K54</f>
        <v>-12786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-1930351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-1930351</v>
      </c>
      <c r="J55" s="37"/>
      <c r="K55" s="38"/>
      <c r="L55" s="60">
        <f>H55+J55</f>
        <v>0</v>
      </c>
      <c r="M55" s="38">
        <f>I55+K55</f>
        <v>-1930351</v>
      </c>
    </row>
    <row r="56" spans="1:15" x14ac:dyDescent="0.2">
      <c r="A56" s="9"/>
      <c r="B56" s="7" t="s">
        <v>59</v>
      </c>
      <c r="C56" s="6"/>
      <c r="D56" s="61">
        <v>0</v>
      </c>
      <c r="E56" s="39">
        <v>-1943137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-1943137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-1943137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1975516.6388235297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1975516.6388235297</v>
      </c>
      <c r="J70" s="37"/>
      <c r="K70" s="38"/>
      <c r="L70" s="60">
        <f t="shared" si="20"/>
        <v>0</v>
      </c>
      <c r="M70" s="38">
        <f t="shared" si="20"/>
        <v>1975516.6388235297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91873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91873</v>
      </c>
      <c r="J71" s="37"/>
      <c r="K71" s="38"/>
      <c r="L71" s="60">
        <f t="shared" si="20"/>
        <v>0</v>
      </c>
      <c r="M71" s="38">
        <f t="shared" si="20"/>
        <v>91873</v>
      </c>
    </row>
    <row r="72" spans="1:13" x14ac:dyDescent="0.2">
      <c r="A72" s="9"/>
      <c r="B72" s="3"/>
      <c r="C72" s="55" t="s">
        <v>71</v>
      </c>
      <c r="D72" s="61">
        <v>0</v>
      </c>
      <c r="E72" s="39">
        <v>2067389.6388235297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2067389.6388235297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2067389.6388235297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-1068647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-1068647</v>
      </c>
      <c r="J74" s="37"/>
      <c r="K74" s="38"/>
      <c r="L74" s="60">
        <f t="shared" si="24"/>
        <v>0</v>
      </c>
      <c r="M74" s="38">
        <f t="shared" si="24"/>
        <v>-1068647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92059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92059</v>
      </c>
      <c r="J75" s="37"/>
      <c r="K75" s="38"/>
      <c r="L75" s="60">
        <f t="shared" si="24"/>
        <v>0</v>
      </c>
      <c r="M75" s="38">
        <f t="shared" si="24"/>
        <v>92059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-18252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-18252</v>
      </c>
      <c r="J76" s="37"/>
      <c r="K76" s="38"/>
      <c r="L76" s="60">
        <f t="shared" si="24"/>
        <v>0</v>
      </c>
      <c r="M76" s="38">
        <f t="shared" si="24"/>
        <v>-18252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1442186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1442186</v>
      </c>
      <c r="J79" s="37"/>
      <c r="K79" s="38"/>
      <c r="L79" s="60">
        <f t="shared" si="24"/>
        <v>0</v>
      </c>
      <c r="M79" s="38">
        <f t="shared" si="24"/>
        <v>1442186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-89689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-89689</v>
      </c>
      <c r="J81" s="37"/>
      <c r="K81" s="38"/>
      <c r="L81" s="60">
        <f t="shared" si="24"/>
        <v>0</v>
      </c>
      <c r="M81" s="38">
        <f t="shared" si="24"/>
        <v>-89689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165">
        <f>SUM(E72:E81)+E16+E24+E29+E36+E43+E45+E47+E49+E51+E56+E61+E66</f>
        <v>-100900.84472046234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-100900.84472046234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-100900.84472046234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I75" activePane="bottomRight" state="frozen"/>
      <selection activeCell="A91" sqref="A91"/>
      <selection pane="topRight" activeCell="A91" sqref="A91"/>
      <selection pane="bottomLeft" activeCell="A91" sqref="A91"/>
      <selection pane="bottomRight" activeCell="E83" sqref="E8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64434638</v>
      </c>
      <c r="E11" s="38">
        <v>125065023</v>
      </c>
      <c r="F11" s="60">
        <f>H11-D11</f>
        <v>0</v>
      </c>
      <c r="G11" s="37">
        <f>I11-E11</f>
        <v>0</v>
      </c>
      <c r="H11" s="65">
        <f>D11</f>
        <v>64434638</v>
      </c>
      <c r="I11" s="66">
        <f>E11</f>
        <v>125065023</v>
      </c>
      <c r="J11" s="60"/>
      <c r="K11" s="38"/>
      <c r="L11" s="60">
        <f t="shared" ref="L11:M15" si="0">H11+J11</f>
        <v>64434638</v>
      </c>
      <c r="M11" s="38">
        <f t="shared" si="0"/>
        <v>125065023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62829980</v>
      </c>
      <c r="E13" s="38">
        <v>130019511.88</v>
      </c>
      <c r="F13" s="60">
        <f t="shared" si="1"/>
        <v>0</v>
      </c>
      <c r="G13" s="37">
        <f t="shared" si="1"/>
        <v>0</v>
      </c>
      <c r="H13" s="65">
        <f t="shared" si="2"/>
        <v>62829980</v>
      </c>
      <c r="I13" s="66">
        <f t="shared" si="2"/>
        <v>130019511.88</v>
      </c>
      <c r="J13" s="60"/>
      <c r="K13" s="38"/>
      <c r="L13" s="60">
        <f t="shared" si="0"/>
        <v>62829980</v>
      </c>
      <c r="M13" s="38">
        <f t="shared" si="0"/>
        <v>130019511.88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23988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23988</v>
      </c>
      <c r="J14" s="60"/>
      <c r="K14" s="38"/>
      <c r="L14" s="60">
        <f t="shared" si="0"/>
        <v>0</v>
      </c>
      <c r="M14" s="38">
        <f t="shared" si="0"/>
        <v>23988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127264618</v>
      </c>
      <c r="E16" s="39">
        <v>255108522.88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127264618</v>
      </c>
      <c r="I16" s="39">
        <f>SUM(I11:I15)</f>
        <v>255108522.88</v>
      </c>
      <c r="J16" s="61">
        <f t="shared" si="3"/>
        <v>0</v>
      </c>
      <c r="K16" s="39">
        <f t="shared" si="3"/>
        <v>0</v>
      </c>
      <c r="L16" s="61">
        <f t="shared" si="3"/>
        <v>127264618</v>
      </c>
      <c r="M16" s="39">
        <f t="shared" si="3"/>
        <v>255108522.88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-83832810</v>
      </c>
      <c r="E19" s="38">
        <v>-162098232</v>
      </c>
      <c r="F19" s="60">
        <f>H19-D19</f>
        <v>0</v>
      </c>
      <c r="G19" s="37">
        <f>I19-E19</f>
        <v>0</v>
      </c>
      <c r="H19" s="65">
        <f t="shared" si="4"/>
        <v>-83832810</v>
      </c>
      <c r="I19" s="66">
        <f t="shared" si="4"/>
        <v>-162098232</v>
      </c>
      <c r="J19" s="60"/>
      <c r="K19" s="38"/>
      <c r="L19" s="60">
        <f t="shared" ref="L19:M23" si="5">H19+J19</f>
        <v>-83832810</v>
      </c>
      <c r="M19" s="38">
        <f t="shared" si="5"/>
        <v>-162098232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-44139634</v>
      </c>
      <c r="E21" s="38">
        <v>-93887345</v>
      </c>
      <c r="F21" s="60">
        <f t="shared" si="6"/>
        <v>0</v>
      </c>
      <c r="G21" s="37">
        <f t="shared" si="6"/>
        <v>0</v>
      </c>
      <c r="H21" s="65">
        <f t="shared" si="4"/>
        <v>-44139634</v>
      </c>
      <c r="I21" s="66">
        <f t="shared" si="4"/>
        <v>-93887345</v>
      </c>
      <c r="J21" s="60"/>
      <c r="K21" s="38"/>
      <c r="L21" s="60">
        <f t="shared" si="5"/>
        <v>-44139634</v>
      </c>
      <c r="M21" s="38">
        <f t="shared" si="5"/>
        <v>-93887345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216351</v>
      </c>
      <c r="E23" s="38">
        <v>447093</v>
      </c>
      <c r="F23" s="60">
        <f t="shared" si="6"/>
        <v>0</v>
      </c>
      <c r="G23" s="37">
        <f t="shared" si="6"/>
        <v>0</v>
      </c>
      <c r="H23" s="65">
        <f t="shared" si="4"/>
        <v>216351</v>
      </c>
      <c r="I23" s="66">
        <f t="shared" si="4"/>
        <v>447093</v>
      </c>
      <c r="J23" s="60"/>
      <c r="K23" s="38"/>
      <c r="L23" s="60">
        <f t="shared" si="5"/>
        <v>216351</v>
      </c>
      <c r="M23" s="38">
        <f t="shared" si="5"/>
        <v>447093</v>
      </c>
    </row>
    <row r="24" spans="1:13" x14ac:dyDescent="0.2">
      <c r="A24" s="9"/>
      <c r="B24" s="7" t="s">
        <v>35</v>
      </c>
      <c r="C24" s="6"/>
      <c r="D24" s="61">
        <v>-127756093</v>
      </c>
      <c r="E24" s="39">
        <v>-255538484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-127756093</v>
      </c>
      <c r="I24" s="39">
        <f>SUM(I19:I23)</f>
        <v>-255538484</v>
      </c>
      <c r="J24" s="61">
        <f t="shared" si="7"/>
        <v>0</v>
      </c>
      <c r="K24" s="39">
        <f t="shared" si="7"/>
        <v>0</v>
      </c>
      <c r="L24" s="61">
        <f t="shared" si="7"/>
        <v>-127756093</v>
      </c>
      <c r="M24" s="39">
        <f t="shared" si="7"/>
        <v>-255538484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-1048761</v>
      </c>
      <c r="E27" s="38">
        <v>-2237340</v>
      </c>
      <c r="F27" s="60">
        <f>H27-D27</f>
        <v>0</v>
      </c>
      <c r="G27" s="37">
        <f>I27-E27</f>
        <v>0</v>
      </c>
      <c r="H27" s="65">
        <f>D27</f>
        <v>-1048761</v>
      </c>
      <c r="I27" s="66">
        <f>E27</f>
        <v>-2237340</v>
      </c>
      <c r="J27" s="60"/>
      <c r="K27" s="38"/>
      <c r="L27" s="60">
        <f>H27+J27</f>
        <v>-1048761</v>
      </c>
      <c r="M27" s="38">
        <f>I27+K27</f>
        <v>-2237340</v>
      </c>
    </row>
    <row r="28" spans="1:13" x14ac:dyDescent="0.2">
      <c r="A28" s="9">
        <v>12</v>
      </c>
      <c r="B28" s="7"/>
      <c r="C28" s="18" t="s">
        <v>38</v>
      </c>
      <c r="D28" s="60">
        <v>465252</v>
      </c>
      <c r="E28" s="38">
        <v>1000242</v>
      </c>
      <c r="F28" s="60">
        <f>H28-D28</f>
        <v>0</v>
      </c>
      <c r="G28" s="37">
        <f>I28-E28</f>
        <v>0</v>
      </c>
      <c r="H28" s="65">
        <f>D28</f>
        <v>465252</v>
      </c>
      <c r="I28" s="66">
        <f>E28</f>
        <v>1000242</v>
      </c>
      <c r="J28" s="60"/>
      <c r="K28" s="38"/>
      <c r="L28" s="60">
        <f>H28+J28</f>
        <v>465252</v>
      </c>
      <c r="M28" s="38">
        <f>I28+K28</f>
        <v>1000242</v>
      </c>
    </row>
    <row r="29" spans="1:13" x14ac:dyDescent="0.2">
      <c r="A29" s="9"/>
      <c r="B29" s="7" t="s">
        <v>39</v>
      </c>
      <c r="C29" s="6"/>
      <c r="D29" s="61">
        <v>-583509</v>
      </c>
      <c r="E29" s="39">
        <v>-1237098</v>
      </c>
      <c r="F29" s="61">
        <f t="shared" ref="F29:M29" si="8">SUM(F27:F28)</f>
        <v>0</v>
      </c>
      <c r="G29" s="39">
        <f t="shared" si="8"/>
        <v>0</v>
      </c>
      <c r="H29" s="61">
        <f>SUM(H27:H28)</f>
        <v>-583509</v>
      </c>
      <c r="I29" s="39">
        <f>SUM(I27:I28)</f>
        <v>-1237098</v>
      </c>
      <c r="J29" s="61">
        <f t="shared" si="8"/>
        <v>0</v>
      </c>
      <c r="K29" s="39">
        <f t="shared" si="8"/>
        <v>0</v>
      </c>
      <c r="L29" s="61">
        <f t="shared" si="8"/>
        <v>-583509</v>
      </c>
      <c r="M29" s="39">
        <f t="shared" si="8"/>
        <v>-1237098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219015</v>
      </c>
      <c r="E32" s="38">
        <v>450193</v>
      </c>
      <c r="F32" s="60">
        <f>H32-D32</f>
        <v>0</v>
      </c>
      <c r="G32" s="37">
        <f>I32-E32</f>
        <v>0</v>
      </c>
      <c r="H32" s="65">
        <f t="shared" ref="H32:I35" si="9">D32</f>
        <v>219015</v>
      </c>
      <c r="I32" s="66">
        <f t="shared" si="9"/>
        <v>450193</v>
      </c>
      <c r="J32" s="60"/>
      <c r="K32" s="38"/>
      <c r="L32" s="60">
        <f t="shared" ref="L32:M35" si="10">H32+J32</f>
        <v>219015</v>
      </c>
      <c r="M32" s="38">
        <f t="shared" si="10"/>
        <v>450193</v>
      </c>
    </row>
    <row r="33" spans="1:13" x14ac:dyDescent="0.2">
      <c r="A33" s="9">
        <v>14</v>
      </c>
      <c r="B33" s="7"/>
      <c r="C33" s="18" t="s">
        <v>42</v>
      </c>
      <c r="D33" s="60">
        <v>-90042</v>
      </c>
      <c r="E33" s="38">
        <v>-210654.13123970717</v>
      </c>
      <c r="F33" s="60">
        <f t="shared" ref="F33:G35" si="11">H33-D33</f>
        <v>0</v>
      </c>
      <c r="G33" s="37">
        <f t="shared" si="11"/>
        <v>0</v>
      </c>
      <c r="H33" s="65">
        <f t="shared" si="9"/>
        <v>-90042</v>
      </c>
      <c r="I33" s="66">
        <f t="shared" si="9"/>
        <v>-210654.13123970717</v>
      </c>
      <c r="J33" s="60"/>
      <c r="K33" s="38"/>
      <c r="L33" s="60">
        <f t="shared" si="10"/>
        <v>-90042</v>
      </c>
      <c r="M33" s="38">
        <f t="shared" si="10"/>
        <v>-210654.13123970717</v>
      </c>
    </row>
    <row r="34" spans="1:13" x14ac:dyDescent="0.2">
      <c r="A34" s="9">
        <v>15</v>
      </c>
      <c r="B34" s="7"/>
      <c r="C34" s="18" t="s">
        <v>43</v>
      </c>
      <c r="D34" s="60">
        <v>312593</v>
      </c>
      <c r="E34" s="38">
        <v>647665</v>
      </c>
      <c r="F34" s="60">
        <f t="shared" si="11"/>
        <v>0</v>
      </c>
      <c r="G34" s="37">
        <f t="shared" si="11"/>
        <v>0</v>
      </c>
      <c r="H34" s="65">
        <f t="shared" si="9"/>
        <v>312593</v>
      </c>
      <c r="I34" s="66">
        <f t="shared" si="9"/>
        <v>647665</v>
      </c>
      <c r="J34" s="60"/>
      <c r="K34" s="38"/>
      <c r="L34" s="60">
        <f t="shared" si="10"/>
        <v>312593</v>
      </c>
      <c r="M34" s="38">
        <f t="shared" si="10"/>
        <v>647665</v>
      </c>
    </row>
    <row r="35" spans="1:13" x14ac:dyDescent="0.2">
      <c r="A35" s="9">
        <v>16</v>
      </c>
      <c r="B35" s="7"/>
      <c r="C35" s="18" t="s">
        <v>44</v>
      </c>
      <c r="D35" s="60">
        <v>-607651</v>
      </c>
      <c r="E35" s="38">
        <v>-1210618</v>
      </c>
      <c r="F35" s="60">
        <f t="shared" si="11"/>
        <v>0</v>
      </c>
      <c r="G35" s="37">
        <f t="shared" si="11"/>
        <v>0</v>
      </c>
      <c r="H35" s="65">
        <f t="shared" si="9"/>
        <v>-607651</v>
      </c>
      <c r="I35" s="66">
        <f t="shared" si="9"/>
        <v>-1210618</v>
      </c>
      <c r="J35" s="60"/>
      <c r="K35" s="38"/>
      <c r="L35" s="60">
        <f t="shared" si="10"/>
        <v>-607651</v>
      </c>
      <c r="M35" s="38">
        <f t="shared" si="10"/>
        <v>-1210618</v>
      </c>
    </row>
    <row r="36" spans="1:13" x14ac:dyDescent="0.2">
      <c r="A36" s="9"/>
      <c r="B36" s="7" t="s">
        <v>45</v>
      </c>
      <c r="C36" s="6"/>
      <c r="D36" s="61">
        <v>-166085</v>
      </c>
      <c r="E36" s="39">
        <v>-323414.13123970712</v>
      </c>
      <c r="F36" s="61">
        <f>SUM(F32:F35)</f>
        <v>0</v>
      </c>
      <c r="G36" s="39">
        <f>SUM(G32:G35)</f>
        <v>0</v>
      </c>
      <c r="H36" s="61">
        <f>SUM(H32:H35)</f>
        <v>-166085</v>
      </c>
      <c r="I36" s="39">
        <f>SUM(I32:I35)</f>
        <v>-323414.13123970712</v>
      </c>
      <c r="J36" s="61">
        <f>SUM(J32:J34)</f>
        <v>0</v>
      </c>
      <c r="K36" s="39">
        <f>SUM(K32:K34)</f>
        <v>0</v>
      </c>
      <c r="L36" s="61">
        <f>SUM(L32:L35)</f>
        <v>-166085</v>
      </c>
      <c r="M36" s="39">
        <f>SUM(M32:M35)</f>
        <v>-323414.13123970712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162406</v>
      </c>
      <c r="E39" s="38">
        <v>-51817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162406</v>
      </c>
      <c r="I39" s="66">
        <f t="shared" si="12"/>
        <v>-51817</v>
      </c>
      <c r="J39" s="60"/>
      <c r="K39" s="38"/>
      <c r="L39" s="60">
        <f t="shared" ref="L39:M41" si="14">H39+J39</f>
        <v>162406</v>
      </c>
      <c r="M39" s="38">
        <f t="shared" si="14"/>
        <v>-51817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162406</v>
      </c>
      <c r="E43" s="39">
        <v>-51817</v>
      </c>
      <c r="F43" s="61">
        <f t="shared" ref="F43:M43" si="16">F42+F39</f>
        <v>0</v>
      </c>
      <c r="G43" s="39">
        <f t="shared" si="16"/>
        <v>0</v>
      </c>
      <c r="H43" s="61">
        <f>H42+H39</f>
        <v>162406</v>
      </c>
      <c r="I43" s="39">
        <f>I42+I39</f>
        <v>-51817</v>
      </c>
      <c r="J43" s="61">
        <f t="shared" si="16"/>
        <v>0</v>
      </c>
      <c r="K43" s="39">
        <f t="shared" si="16"/>
        <v>0</v>
      </c>
      <c r="L43" s="61">
        <f t="shared" si="16"/>
        <v>162406</v>
      </c>
      <c r="M43" s="39">
        <f t="shared" si="16"/>
        <v>-51817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1138663</v>
      </c>
      <c r="E49" s="38">
        <v>2379012.4176088842</v>
      </c>
      <c r="F49" s="60">
        <f>H49-D49</f>
        <v>0</v>
      </c>
      <c r="G49" s="37">
        <f>I49-E49</f>
        <v>0</v>
      </c>
      <c r="H49" s="65">
        <f>D49</f>
        <v>1138663</v>
      </c>
      <c r="I49" s="66">
        <f>E49</f>
        <v>2379012.4176088842</v>
      </c>
      <c r="J49" s="60"/>
      <c r="K49" s="38"/>
      <c r="L49" s="60">
        <f>H49+J49</f>
        <v>1138663</v>
      </c>
      <c r="M49" s="38">
        <f>I49+K49</f>
        <v>2379012.4176088842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-216351</v>
      </c>
      <c r="E51" s="38">
        <v>-447093</v>
      </c>
      <c r="F51" s="60">
        <f>H51-D51</f>
        <v>0</v>
      </c>
      <c r="G51" s="37">
        <f>I51-E51</f>
        <v>0</v>
      </c>
      <c r="H51" s="65">
        <f>D51</f>
        <v>-216351</v>
      </c>
      <c r="I51" s="66">
        <f>E51</f>
        <v>-447093</v>
      </c>
      <c r="J51" s="60"/>
      <c r="K51" s="38"/>
      <c r="L51" s="60">
        <f>H51+J51</f>
        <v>-216351</v>
      </c>
      <c r="M51" s="38">
        <f>I51+K51</f>
        <v>-447093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-633096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-633096</v>
      </c>
      <c r="J54" s="60"/>
      <c r="K54" s="38"/>
      <c r="L54" s="60">
        <f>H54+J54</f>
        <v>0</v>
      </c>
      <c r="M54" s="38">
        <f>I54+K54</f>
        <v>-633096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-1418498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-1418498</v>
      </c>
      <c r="J55" s="60"/>
      <c r="K55" s="38"/>
      <c r="L55" s="60">
        <f>H55+J55</f>
        <v>0</v>
      </c>
      <c r="M55" s="38">
        <f>I55+K55</f>
        <v>-1418498</v>
      </c>
    </row>
    <row r="56" spans="1:15" x14ac:dyDescent="0.2">
      <c r="A56" s="9"/>
      <c r="B56" s="7" t="s">
        <v>59</v>
      </c>
      <c r="C56" s="6"/>
      <c r="D56" s="61">
        <v>0</v>
      </c>
      <c r="E56" s="39">
        <v>-2051594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-2051594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-2051594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-124631.32105263158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-124631.32105263158</v>
      </c>
      <c r="J60" s="60"/>
      <c r="K60" s="38"/>
      <c r="L60" s="60">
        <f>H60+J60</f>
        <v>0</v>
      </c>
      <c r="M60" s="38">
        <f>I60+K60</f>
        <v>-124631.32105263158</v>
      </c>
    </row>
    <row r="61" spans="1:15" x14ac:dyDescent="0.2">
      <c r="A61" s="9"/>
      <c r="B61" s="62" t="s">
        <v>63</v>
      </c>
      <c r="C61" s="6"/>
      <c r="D61" s="61">
        <v>0</v>
      </c>
      <c r="E61" s="39">
        <v>-124631.32105263158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-124631.32105263158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-124631.32105263158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124631.32105263158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124631.32105263158</v>
      </c>
      <c r="J64" s="60"/>
      <c r="K64" s="38"/>
      <c r="L64" s="60">
        <f>H64+J64</f>
        <v>0</v>
      </c>
      <c r="M64" s="38">
        <f>I64+K64</f>
        <v>124631.32105263158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124631.32105263158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124631.32105263158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124631.32105263158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-196194.05499999993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-196194.05499999993</v>
      </c>
      <c r="J70" s="60"/>
      <c r="K70" s="38"/>
      <c r="L70" s="60">
        <f>H70+J70</f>
        <v>0</v>
      </c>
      <c r="M70" s="38">
        <f>I70+K70</f>
        <v>-196194.05499999993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1948024.15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1948024.15</v>
      </c>
      <c r="J71" s="60"/>
      <c r="K71" s="38"/>
      <c r="L71" s="60">
        <f>H71+J71</f>
        <v>0</v>
      </c>
      <c r="M71" s="38">
        <f>I71+K71</f>
        <v>1948024.15</v>
      </c>
    </row>
    <row r="72" spans="1:13" x14ac:dyDescent="0.2">
      <c r="A72" s="9"/>
      <c r="B72" s="3"/>
      <c r="C72" s="55" t="s">
        <v>71</v>
      </c>
      <c r="D72" s="61">
        <v>0</v>
      </c>
      <c r="E72" s="39">
        <v>1751830.095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1751830.095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1751830.095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932209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932209</v>
      </c>
      <c r="J74" s="60"/>
      <c r="K74" s="38"/>
      <c r="L74" s="60">
        <f t="shared" si="22"/>
        <v>0</v>
      </c>
      <c r="M74" s="38">
        <f t="shared" si="22"/>
        <v>932209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388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388</v>
      </c>
      <c r="J75" s="60"/>
      <c r="K75" s="38"/>
      <c r="L75" s="60">
        <f t="shared" si="22"/>
        <v>0</v>
      </c>
      <c r="M75" s="38">
        <f t="shared" si="22"/>
        <v>388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-27437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-27437</v>
      </c>
      <c r="J76" s="60"/>
      <c r="K76" s="38"/>
      <c r="L76" s="60">
        <f t="shared" si="22"/>
        <v>0</v>
      </c>
      <c r="M76" s="38">
        <f t="shared" si="22"/>
        <v>-27437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1773191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1773191</v>
      </c>
      <c r="J77" s="60"/>
      <c r="K77" s="38"/>
      <c r="L77" s="60">
        <f t="shared" si="22"/>
        <v>0</v>
      </c>
      <c r="M77" s="38">
        <f t="shared" si="22"/>
        <v>1773191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23732.85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23732.85</v>
      </c>
      <c r="J78" s="60"/>
      <c r="K78" s="38"/>
      <c r="L78" s="60">
        <f t="shared" si="22"/>
        <v>0</v>
      </c>
      <c r="M78" s="38">
        <f t="shared" si="22"/>
        <v>23732.85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924052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924052</v>
      </c>
      <c r="J79" s="60"/>
      <c r="K79" s="38"/>
      <c r="L79" s="60">
        <f t="shared" si="22"/>
        <v>0</v>
      </c>
      <c r="M79" s="38">
        <f t="shared" si="22"/>
        <v>924052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-2054264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-2054264</v>
      </c>
      <c r="J81" s="60"/>
      <c r="K81" s="38"/>
      <c r="L81" s="60">
        <f t="shared" si="22"/>
        <v>0</v>
      </c>
      <c r="M81" s="38">
        <f t="shared" si="22"/>
        <v>-2054264</v>
      </c>
    </row>
    <row r="82" spans="1:67" s="44" customFormat="1" ht="20.25" customHeight="1" thickBot="1" x14ac:dyDescent="0.25">
      <c r="A82" s="40"/>
      <c r="B82" s="41"/>
      <c r="C82" s="42" t="s">
        <v>183</v>
      </c>
      <c r="D82" s="166">
        <f>D16+D24+D29+D36+D43+D45+D47+D49</f>
        <v>60000</v>
      </c>
      <c r="E82" s="165">
        <f>SUM(E72:E81)+E16+E24+E29+E36+E43+E45+E47+E49+E51+E56+E61+E66</f>
        <v>1161737.1113691651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1161737.1113691651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1161737.1113691651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178</v>
      </c>
      <c r="B85" s="3"/>
      <c r="K85" s="45"/>
    </row>
    <row r="86" spans="1:67" s="3" customFormat="1" x14ac:dyDescent="0.2">
      <c r="A86" s="177"/>
      <c r="C86" s="10" t="s">
        <v>181</v>
      </c>
      <c r="D86" s="181">
        <v>0</v>
      </c>
      <c r="E86" s="181">
        <f>142094-65000-931</f>
        <v>76163</v>
      </c>
      <c r="F86" s="181">
        <f t="shared" ref="F86:G88" si="24">H86-D86</f>
        <v>0</v>
      </c>
      <c r="G86" s="181">
        <f t="shared" si="24"/>
        <v>0</v>
      </c>
      <c r="H86" s="181">
        <f t="shared" ref="H86:I88" si="25">D86</f>
        <v>0</v>
      </c>
      <c r="I86" s="181">
        <f t="shared" si="25"/>
        <v>76163</v>
      </c>
      <c r="J86" s="181"/>
      <c r="K86" s="181"/>
      <c r="L86" s="181">
        <f t="shared" ref="L86:M88" si="26">H86+J86</f>
        <v>0</v>
      </c>
      <c r="M86" s="181">
        <f t="shared" si="26"/>
        <v>76163</v>
      </c>
    </row>
    <row r="87" spans="1:67" s="3" customFormat="1" x14ac:dyDescent="0.2">
      <c r="A87" s="177"/>
      <c r="C87" s="10" t="s">
        <v>73</v>
      </c>
      <c r="D87" s="182">
        <v>0</v>
      </c>
      <c r="E87" s="182">
        <v>0</v>
      </c>
      <c r="F87" s="182">
        <f t="shared" si="24"/>
        <v>0</v>
      </c>
      <c r="G87" s="182">
        <f t="shared" si="24"/>
        <v>0</v>
      </c>
      <c r="H87" s="182">
        <f t="shared" si="25"/>
        <v>0</v>
      </c>
      <c r="I87" s="182">
        <f t="shared" si="25"/>
        <v>0</v>
      </c>
      <c r="J87" s="182"/>
      <c r="K87" s="182"/>
      <c r="L87" s="182">
        <f t="shared" si="26"/>
        <v>0</v>
      </c>
      <c r="M87" s="182">
        <f t="shared" si="26"/>
        <v>0</v>
      </c>
    </row>
    <row r="88" spans="1:67" s="3" customFormat="1" x14ac:dyDescent="0.2">
      <c r="A88" s="177"/>
      <c r="C88" s="10" t="s">
        <v>74</v>
      </c>
      <c r="D88" s="183">
        <v>0</v>
      </c>
      <c r="E88" s="183">
        <v>0</v>
      </c>
      <c r="F88" s="183">
        <f t="shared" si="24"/>
        <v>0</v>
      </c>
      <c r="G88" s="183">
        <f t="shared" si="24"/>
        <v>0</v>
      </c>
      <c r="H88" s="183">
        <f t="shared" si="25"/>
        <v>0</v>
      </c>
      <c r="I88" s="183">
        <f t="shared" si="25"/>
        <v>0</v>
      </c>
      <c r="J88" s="183"/>
      <c r="K88" s="183"/>
      <c r="L88" s="183">
        <f t="shared" si="26"/>
        <v>0</v>
      </c>
      <c r="M88" s="183">
        <f t="shared" si="26"/>
        <v>0</v>
      </c>
    </row>
    <row r="89" spans="1:67" s="44" customFormat="1" ht="20.25" customHeight="1" x14ac:dyDescent="0.2">
      <c r="A89" s="184"/>
      <c r="B89" s="185"/>
      <c r="C89" s="186" t="s">
        <v>184</v>
      </c>
      <c r="D89" s="189">
        <f>SUM(D86:D88)</f>
        <v>0</v>
      </c>
      <c r="E89" s="189">
        <f t="shared" ref="E89:M89" si="27">SUM(E86:E88)</f>
        <v>76163</v>
      </c>
      <c r="F89" s="189">
        <f t="shared" si="27"/>
        <v>0</v>
      </c>
      <c r="G89" s="189">
        <f t="shared" si="27"/>
        <v>0</v>
      </c>
      <c r="H89" s="189">
        <f t="shared" si="27"/>
        <v>0</v>
      </c>
      <c r="I89" s="189">
        <f t="shared" si="27"/>
        <v>76163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76163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4"/>
      <c r="B91" s="185"/>
      <c r="C91" s="186" t="s">
        <v>182</v>
      </c>
      <c r="D91" s="189">
        <f>+D82+D89</f>
        <v>60000</v>
      </c>
      <c r="E91" s="189">
        <f t="shared" ref="E91:M91" si="28">+E82+E89</f>
        <v>1237900.1113691651</v>
      </c>
      <c r="F91" s="189">
        <f t="shared" si="28"/>
        <v>0</v>
      </c>
      <c r="G91" s="189">
        <f t="shared" si="28"/>
        <v>0</v>
      </c>
      <c r="H91" s="189">
        <f t="shared" si="28"/>
        <v>60000</v>
      </c>
      <c r="I91" s="189">
        <f t="shared" si="28"/>
        <v>1237900.1113691651</v>
      </c>
      <c r="J91" s="189">
        <f t="shared" si="28"/>
        <v>0</v>
      </c>
      <c r="K91" s="189">
        <f t="shared" si="28"/>
        <v>0</v>
      </c>
      <c r="L91" s="189">
        <f t="shared" si="28"/>
        <v>60000</v>
      </c>
      <c r="M91" s="189">
        <f t="shared" si="28"/>
        <v>1237900.1113691651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C90" sqref="C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7716384</v>
      </c>
      <c r="E11" s="65">
        <v>14963892</v>
      </c>
      <c r="F11" s="65">
        <f>H11-D11</f>
        <v>0</v>
      </c>
      <c r="G11" s="63">
        <f>I11-E11</f>
        <v>0</v>
      </c>
      <c r="H11" s="65">
        <f>D11</f>
        <v>7716384</v>
      </c>
      <c r="I11" s="66">
        <f>E11</f>
        <v>14963892</v>
      </c>
      <c r="J11" s="60"/>
      <c r="K11" s="38"/>
      <c r="L11" s="60">
        <f t="shared" ref="L11:M15" si="0">H11+J11</f>
        <v>7716384</v>
      </c>
      <c r="M11" s="38">
        <f t="shared" si="0"/>
        <v>14963892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2158387</v>
      </c>
      <c r="E13" s="65">
        <v>4539991.12</v>
      </c>
      <c r="F13" s="65">
        <f t="shared" si="1"/>
        <v>0</v>
      </c>
      <c r="G13" s="63">
        <f t="shared" si="1"/>
        <v>0</v>
      </c>
      <c r="H13" s="65">
        <f t="shared" si="2"/>
        <v>2158387</v>
      </c>
      <c r="I13" s="66">
        <f t="shared" si="2"/>
        <v>4539991.12</v>
      </c>
      <c r="J13" s="60"/>
      <c r="K13" s="38"/>
      <c r="L13" s="60">
        <f t="shared" si="0"/>
        <v>2158387</v>
      </c>
      <c r="M13" s="38">
        <f t="shared" si="0"/>
        <v>4539991.12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9874771</v>
      </c>
      <c r="E16" s="39">
        <v>19503883.120000001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9874771</v>
      </c>
      <c r="I16" s="39">
        <f>SUM(I11:I15)</f>
        <v>19503883.120000001</v>
      </c>
      <c r="J16" s="61">
        <f t="shared" si="3"/>
        <v>0</v>
      </c>
      <c r="K16" s="39">
        <f t="shared" si="3"/>
        <v>0</v>
      </c>
      <c r="L16" s="61">
        <f t="shared" si="3"/>
        <v>9874771</v>
      </c>
      <c r="M16" s="39">
        <f t="shared" si="3"/>
        <v>19503883.120000001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-1739616</v>
      </c>
      <c r="E19" s="65">
        <v>-3368400</v>
      </c>
      <c r="F19" s="65">
        <f>H19-D19</f>
        <v>0</v>
      </c>
      <c r="G19" s="63">
        <f>I19-E19</f>
        <v>0</v>
      </c>
      <c r="H19" s="65">
        <f t="shared" si="4"/>
        <v>-1739616</v>
      </c>
      <c r="I19" s="66">
        <f t="shared" si="4"/>
        <v>-3368400</v>
      </c>
      <c r="J19" s="60"/>
      <c r="K19" s="38"/>
      <c r="L19" s="60">
        <f t="shared" ref="L19:M23" si="5">H19+J19</f>
        <v>-1739616</v>
      </c>
      <c r="M19" s="38">
        <f t="shared" si="5"/>
        <v>-3368400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-8560662</v>
      </c>
      <c r="E21" s="65">
        <v>-18252995</v>
      </c>
      <c r="F21" s="65">
        <f t="shared" si="6"/>
        <v>0</v>
      </c>
      <c r="G21" s="63">
        <f t="shared" si="6"/>
        <v>0</v>
      </c>
      <c r="H21" s="65">
        <f t="shared" si="4"/>
        <v>-8560662</v>
      </c>
      <c r="I21" s="66">
        <f t="shared" si="4"/>
        <v>-18252995</v>
      </c>
      <c r="J21" s="60"/>
      <c r="K21" s="38"/>
      <c r="L21" s="60">
        <f t="shared" si="5"/>
        <v>-8560662</v>
      </c>
      <c r="M21" s="38">
        <f t="shared" si="5"/>
        <v>-18252995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-10300278</v>
      </c>
      <c r="E24" s="39">
        <v>-21621395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-10300278</v>
      </c>
      <c r="I24" s="39">
        <f>SUM(I19:I23)</f>
        <v>-21621395</v>
      </c>
      <c r="J24" s="61">
        <f t="shared" si="7"/>
        <v>0</v>
      </c>
      <c r="K24" s="39">
        <f t="shared" si="7"/>
        <v>0</v>
      </c>
      <c r="L24" s="61">
        <f t="shared" si="7"/>
        <v>-10300278</v>
      </c>
      <c r="M24" s="39">
        <f t="shared" si="7"/>
        <v>-21621395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1048761</v>
      </c>
      <c r="E27" s="65">
        <v>2237340</v>
      </c>
      <c r="F27" s="65">
        <f>H27-D27</f>
        <v>0</v>
      </c>
      <c r="G27" s="63">
        <f>I27-E27</f>
        <v>0</v>
      </c>
      <c r="H27" s="65">
        <f>D27</f>
        <v>1048761</v>
      </c>
      <c r="I27" s="66">
        <f>E27</f>
        <v>2237340</v>
      </c>
      <c r="J27" s="60"/>
      <c r="K27" s="38"/>
      <c r="L27" s="60">
        <f>H27+J27</f>
        <v>1048761</v>
      </c>
      <c r="M27" s="38">
        <f>I27+K27</f>
        <v>2237340</v>
      </c>
    </row>
    <row r="28" spans="1:13" x14ac:dyDescent="0.2">
      <c r="A28" s="9">
        <v>12</v>
      </c>
      <c r="B28" s="7"/>
      <c r="C28" s="18" t="s">
        <v>38</v>
      </c>
      <c r="D28" s="65">
        <v>-465252</v>
      </c>
      <c r="E28" s="65">
        <v>-1000242</v>
      </c>
      <c r="F28" s="65">
        <f>H28-D28</f>
        <v>0</v>
      </c>
      <c r="G28" s="63">
        <f>I28-E28</f>
        <v>0</v>
      </c>
      <c r="H28" s="65">
        <f>D28</f>
        <v>-465252</v>
      </c>
      <c r="I28" s="66">
        <f>E28</f>
        <v>-1000242</v>
      </c>
      <c r="J28" s="60"/>
      <c r="K28" s="38"/>
      <c r="L28" s="60">
        <f>H28+J28</f>
        <v>-465252</v>
      </c>
      <c r="M28" s="38">
        <f>I28+K28</f>
        <v>-1000242</v>
      </c>
    </row>
    <row r="29" spans="1:13" x14ac:dyDescent="0.2">
      <c r="A29" s="9"/>
      <c r="B29" s="7" t="s">
        <v>39</v>
      </c>
      <c r="C29" s="6"/>
      <c r="D29" s="61">
        <v>583509</v>
      </c>
      <c r="E29" s="39">
        <v>1237098</v>
      </c>
      <c r="F29" s="61">
        <f t="shared" ref="F29:M29" si="8">SUM(F27:F28)</f>
        <v>0</v>
      </c>
      <c r="G29" s="39">
        <f t="shared" si="8"/>
        <v>0</v>
      </c>
      <c r="H29" s="61">
        <f>SUM(H27:H28)</f>
        <v>583509</v>
      </c>
      <c r="I29" s="39">
        <f>SUM(I27:I28)</f>
        <v>1237098</v>
      </c>
      <c r="J29" s="61">
        <f t="shared" si="8"/>
        <v>0</v>
      </c>
      <c r="K29" s="39">
        <f t="shared" si="8"/>
        <v>0</v>
      </c>
      <c r="L29" s="61">
        <f t="shared" si="8"/>
        <v>583509</v>
      </c>
      <c r="M29" s="39">
        <f t="shared" si="8"/>
        <v>1237098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1537851</v>
      </c>
      <c r="E39" s="65">
        <v>2891161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1537851</v>
      </c>
      <c r="I39" s="66">
        <f t="shared" si="12"/>
        <v>2891161</v>
      </c>
      <c r="J39" s="60"/>
      <c r="K39" s="38"/>
      <c r="L39" s="60">
        <f t="shared" ref="L39:M41" si="14">H39+J39</f>
        <v>1537851</v>
      </c>
      <c r="M39" s="38">
        <f t="shared" si="14"/>
        <v>2891161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-617190</v>
      </c>
      <c r="E40" s="65">
        <v>-1160318</v>
      </c>
      <c r="F40" s="65">
        <f t="shared" si="13"/>
        <v>0</v>
      </c>
      <c r="G40" s="63">
        <f t="shared" si="13"/>
        <v>0</v>
      </c>
      <c r="H40" s="65">
        <f t="shared" si="12"/>
        <v>-617190</v>
      </c>
      <c r="I40" s="66">
        <f t="shared" si="12"/>
        <v>-1160318</v>
      </c>
      <c r="J40" s="60"/>
      <c r="K40" s="38"/>
      <c r="L40" s="60">
        <f t="shared" si="14"/>
        <v>-617190</v>
      </c>
      <c r="M40" s="38">
        <f t="shared" si="14"/>
        <v>-1160318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-617190</v>
      </c>
      <c r="E42" s="39">
        <v>-1160318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-617190</v>
      </c>
      <c r="I42" s="39">
        <f>SUM(I40:I41)</f>
        <v>-1160318</v>
      </c>
      <c r="J42" s="61">
        <f t="shared" si="15"/>
        <v>0</v>
      </c>
      <c r="K42" s="39">
        <f t="shared" si="15"/>
        <v>0</v>
      </c>
      <c r="L42" s="61">
        <f t="shared" si="15"/>
        <v>-617190</v>
      </c>
      <c r="M42" s="39">
        <f t="shared" si="15"/>
        <v>-1160318</v>
      </c>
    </row>
    <row r="43" spans="1:13" ht="21" customHeight="1" x14ac:dyDescent="0.2">
      <c r="A43" s="9"/>
      <c r="B43" s="7" t="s">
        <v>51</v>
      </c>
      <c r="C43" s="6"/>
      <c r="D43" s="61">
        <v>920661</v>
      </c>
      <c r="E43" s="39">
        <v>1730843</v>
      </c>
      <c r="F43" s="61">
        <f t="shared" ref="F43:M43" si="16">F42+F39</f>
        <v>0</v>
      </c>
      <c r="G43" s="39">
        <f t="shared" si="16"/>
        <v>0</v>
      </c>
      <c r="H43" s="61">
        <f>H42+H39</f>
        <v>920661</v>
      </c>
      <c r="I43" s="39">
        <f>I42+I39</f>
        <v>1730843</v>
      </c>
      <c r="J43" s="61">
        <f t="shared" si="16"/>
        <v>0</v>
      </c>
      <c r="K43" s="39">
        <f t="shared" si="16"/>
        <v>0</v>
      </c>
      <c r="L43" s="61">
        <f t="shared" si="16"/>
        <v>920661</v>
      </c>
      <c r="M43" s="39">
        <f t="shared" si="16"/>
        <v>1730843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-1138663</v>
      </c>
      <c r="E49" s="65">
        <v>-2379012.4176088842</v>
      </c>
      <c r="F49" s="65">
        <f>H49-D49</f>
        <v>0</v>
      </c>
      <c r="G49" s="63">
        <f>I49-E49</f>
        <v>0</v>
      </c>
      <c r="H49" s="65">
        <f>D49</f>
        <v>-1138663</v>
      </c>
      <c r="I49" s="66">
        <f>E49</f>
        <v>-2379012.4176088842</v>
      </c>
      <c r="J49" s="60"/>
      <c r="K49" s="38"/>
      <c r="L49" s="60">
        <f>H49+J49</f>
        <v>-1138663</v>
      </c>
      <c r="M49" s="38">
        <f>I49+K49</f>
        <v>-2379012.4176088842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124631.32105263158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124631.32105263158</v>
      </c>
      <c r="J60" s="60"/>
      <c r="K60" s="38"/>
      <c r="L60" s="60">
        <f>H60+J60</f>
        <v>0</v>
      </c>
      <c r="M60" s="38">
        <f>I60+K60</f>
        <v>124631.32105263158</v>
      </c>
    </row>
    <row r="61" spans="1:15" x14ac:dyDescent="0.2">
      <c r="A61" s="9"/>
      <c r="B61" s="62" t="s">
        <v>63</v>
      </c>
      <c r="C61" s="6"/>
      <c r="D61" s="61">
        <v>0</v>
      </c>
      <c r="E61" s="39">
        <v>124631.32105263158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124631.32105263158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124631.32105263158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183</v>
      </c>
      <c r="D82" s="166">
        <f>D16+D24+D29+D36+D43+D45+D47+D49</f>
        <v>-60000</v>
      </c>
      <c r="E82" s="165">
        <f>SUM(E72:E81)+E16+E24+E29+E36+E43+E45+E47+E49+E51+E56+E61+E66</f>
        <v>-4403951.9765562518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-4403951.9765562518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-4403951.9765562518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162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f>'EAST-EGM-FLSH'!D11+'EAST-LRC-FLSH'!D11</f>
        <v>72151022</v>
      </c>
      <c r="E11" s="66">
        <f>'EAST-EGM-FLSH'!E11+'EAST-LRC-FLSH'!E11</f>
        <v>140028915</v>
      </c>
      <c r="F11" s="37">
        <f>H11-D11</f>
        <v>0</v>
      </c>
      <c r="G11" s="37">
        <f>I11-E11</f>
        <v>0</v>
      </c>
      <c r="H11" s="60">
        <f>'EAST-EGM-FLSH'!H11+'EAST-LRC-FLSH'!H11</f>
        <v>72151022</v>
      </c>
      <c r="I11" s="38">
        <f>'EAST-EGM-FLSH'!I11+'EAST-LRC-FLSH'!I11</f>
        <v>140028915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72151022</v>
      </c>
      <c r="M11" s="38">
        <f t="shared" si="0"/>
        <v>140028915</v>
      </c>
    </row>
    <row r="12" spans="1:26" x14ac:dyDescent="0.2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f>'EAST-EGM-FLSH'!D13+'EAST-LRC-FLSH'!D13</f>
        <v>64988367</v>
      </c>
      <c r="E13" s="66">
        <f>'EAST-EGM-FLSH'!E13+'EAST-LRC-FLSH'!E13</f>
        <v>134559503</v>
      </c>
      <c r="F13" s="60">
        <f t="shared" si="1"/>
        <v>0</v>
      </c>
      <c r="G13" s="37">
        <f t="shared" si="1"/>
        <v>0</v>
      </c>
      <c r="H13" s="60">
        <f>'EAST-EGM-FLSH'!H13+'EAST-LRC-FLSH'!H13</f>
        <v>64988367</v>
      </c>
      <c r="I13" s="38">
        <f>'EAST-EGM-FLSH'!I13+'EAST-LRC-FLSH'!I13</f>
        <v>134559503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64988367</v>
      </c>
      <c r="M13" s="38">
        <f t="shared" si="0"/>
        <v>134559503</v>
      </c>
    </row>
    <row r="14" spans="1:26" x14ac:dyDescent="0.2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23988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23988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23988</v>
      </c>
    </row>
    <row r="15" spans="1:26" x14ac:dyDescent="0.2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137139389</v>
      </c>
      <c r="E16" s="39">
        <f>SUM(E11:E15)</f>
        <v>274612406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137139389</v>
      </c>
      <c r="I16" s="39">
        <f t="shared" si="2"/>
        <v>274612406</v>
      </c>
      <c r="J16" s="61">
        <f t="shared" si="2"/>
        <v>0</v>
      </c>
      <c r="K16" s="39">
        <f t="shared" si="2"/>
        <v>0</v>
      </c>
      <c r="L16" s="61">
        <f t="shared" si="2"/>
        <v>137139389</v>
      </c>
      <c r="M16" s="39">
        <f t="shared" si="2"/>
        <v>274612406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f>'EAST-EGM-FLSH'!D19+'EAST-LRC-FLSH'!D19</f>
        <v>-85572426</v>
      </c>
      <c r="E19" s="66">
        <f>'EAST-EGM-FLSH'!E19+'EAST-LRC-FLSH'!E19</f>
        <v>-165466632</v>
      </c>
      <c r="F19" s="60">
        <f>H19-D19</f>
        <v>0</v>
      </c>
      <c r="G19" s="37">
        <f>I19-E19</f>
        <v>0</v>
      </c>
      <c r="H19" s="60">
        <f>'EAST-EGM-FLSH'!H19+'EAST-LRC-FLSH'!H19</f>
        <v>-85572426</v>
      </c>
      <c r="I19" s="38">
        <f>'EAST-EGM-FLSH'!I19+'EAST-LRC-FLSH'!I19</f>
        <v>-165466632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-85572426</v>
      </c>
      <c r="M19" s="38">
        <f t="shared" si="3"/>
        <v>-165466632</v>
      </c>
    </row>
    <row r="20" spans="1:13" x14ac:dyDescent="0.2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5">
        <f>'EAST-EGM-FLSH'!D21+'EAST-LRC-FLSH'!D21</f>
        <v>-52700296</v>
      </c>
      <c r="E21" s="66">
        <f>'EAST-EGM-FLSH'!E21+'EAST-LRC-FLSH'!E21</f>
        <v>-112140340</v>
      </c>
      <c r="F21" s="60">
        <f t="shared" si="4"/>
        <v>0</v>
      </c>
      <c r="G21" s="37">
        <f t="shared" si="4"/>
        <v>0</v>
      </c>
      <c r="H21" s="60">
        <f>'EAST-EGM-FLSH'!H21+'EAST-LRC-FLSH'!H21</f>
        <v>-52700296</v>
      </c>
      <c r="I21" s="38">
        <f>'EAST-EGM-FLSH'!I21+'EAST-LRC-FLSH'!I21</f>
        <v>-112140340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-52700296</v>
      </c>
      <c r="M21" s="38">
        <f t="shared" si="3"/>
        <v>-112140340</v>
      </c>
    </row>
    <row r="22" spans="1:13" x14ac:dyDescent="0.2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5">
        <f>'EAST-EGM-FLSH'!D23+'EAST-LRC-FLSH'!D23</f>
        <v>216351</v>
      </c>
      <c r="E23" s="66">
        <f>'EAST-EGM-FLSH'!E23+'EAST-LRC-FLSH'!E23</f>
        <v>447093</v>
      </c>
      <c r="F23" s="60">
        <f t="shared" si="4"/>
        <v>0</v>
      </c>
      <c r="G23" s="37">
        <f t="shared" si="4"/>
        <v>0</v>
      </c>
      <c r="H23" s="60">
        <f>'EAST-EGM-FLSH'!H23+'EAST-LRC-FLSH'!H23</f>
        <v>216351</v>
      </c>
      <c r="I23" s="38">
        <f>'EAST-EGM-FLSH'!I23+'EAST-LRC-FLSH'!I23</f>
        <v>447093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216351</v>
      </c>
      <c r="M23" s="38">
        <f t="shared" si="3"/>
        <v>447093</v>
      </c>
    </row>
    <row r="24" spans="1:13" x14ac:dyDescent="0.2">
      <c r="A24" s="9"/>
      <c r="B24" s="7" t="s">
        <v>35</v>
      </c>
      <c r="C24" s="6"/>
      <c r="D24" s="61">
        <f>SUM(D19:D23)</f>
        <v>-138056371</v>
      </c>
      <c r="E24" s="39">
        <f>SUM(E19:E23)</f>
        <v>-277159879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-138056371</v>
      </c>
      <c r="I24" s="39">
        <f t="shared" si="5"/>
        <v>-277159879</v>
      </c>
      <c r="J24" s="61">
        <f t="shared" si="5"/>
        <v>0</v>
      </c>
      <c r="K24" s="39">
        <f t="shared" si="5"/>
        <v>0</v>
      </c>
      <c r="L24" s="61">
        <f t="shared" si="5"/>
        <v>-138056371</v>
      </c>
      <c r="M24" s="39">
        <f t="shared" si="5"/>
        <v>-277159879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f>'EAST-EGM-FLSH'!D32+'EAST-LRC-FLSH'!D32</f>
        <v>219015</v>
      </c>
      <c r="E32" s="66">
        <f>'EAST-EGM-FLSH'!E32+'EAST-LRC-FLSH'!E32</f>
        <v>450193</v>
      </c>
      <c r="F32" s="60">
        <f>H32-D32</f>
        <v>0</v>
      </c>
      <c r="G32" s="37">
        <f>I32-E32</f>
        <v>0</v>
      </c>
      <c r="H32" s="60">
        <f>'EAST-EGM-FLSH'!H32+'EAST-LRC-FLSH'!H32</f>
        <v>219015</v>
      </c>
      <c r="I32" s="38">
        <f>'EAST-EGM-FLSH'!I32+'EAST-LRC-FLSH'!I32</f>
        <v>450193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219015</v>
      </c>
      <c r="M32" s="38">
        <f t="shared" si="7"/>
        <v>450193</v>
      </c>
    </row>
    <row r="33" spans="1:13" x14ac:dyDescent="0.2">
      <c r="A33" s="9">
        <v>14</v>
      </c>
      <c r="B33" s="7"/>
      <c r="C33" s="18" t="s">
        <v>42</v>
      </c>
      <c r="D33" s="65">
        <f>'EAST-EGM-FLSH'!D33+'EAST-LRC-FLSH'!D33</f>
        <v>-90042</v>
      </c>
      <c r="E33" s="66">
        <f>'EAST-EGM-FLSH'!E33+'EAST-LRC-FLSH'!E33</f>
        <v>-210654.13123970717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-90042</v>
      </c>
      <c r="I33" s="38">
        <f>'EAST-EGM-FLSH'!I33+'EAST-LRC-FLSH'!I33</f>
        <v>-210654.13123970717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-90042</v>
      </c>
      <c r="M33" s="38">
        <f t="shared" si="7"/>
        <v>-210654.13123970717</v>
      </c>
    </row>
    <row r="34" spans="1:13" x14ac:dyDescent="0.2">
      <c r="A34" s="9">
        <v>15</v>
      </c>
      <c r="B34" s="7"/>
      <c r="C34" s="18" t="s">
        <v>43</v>
      </c>
      <c r="D34" s="65">
        <f>'EAST-EGM-FLSH'!D34+'EAST-LRC-FLSH'!D34</f>
        <v>312593</v>
      </c>
      <c r="E34" s="66">
        <f>'EAST-EGM-FLSH'!E34+'EAST-LRC-FLSH'!E34</f>
        <v>647665</v>
      </c>
      <c r="F34" s="60">
        <f t="shared" si="8"/>
        <v>0</v>
      </c>
      <c r="G34" s="37">
        <f t="shared" si="8"/>
        <v>0</v>
      </c>
      <c r="H34" s="60">
        <f>'EAST-EGM-FLSH'!H34+'EAST-LRC-FLSH'!H34</f>
        <v>312593</v>
      </c>
      <c r="I34" s="38">
        <f>'EAST-EGM-FLSH'!I34+'EAST-LRC-FLSH'!I34</f>
        <v>647665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312593</v>
      </c>
      <c r="M34" s="38">
        <f t="shared" si="7"/>
        <v>647665</v>
      </c>
    </row>
    <row r="35" spans="1:13" x14ac:dyDescent="0.2">
      <c r="A35" s="9">
        <v>16</v>
      </c>
      <c r="B35" s="7"/>
      <c r="C35" s="18" t="s">
        <v>44</v>
      </c>
      <c r="D35" s="65">
        <f>'EAST-EGM-FLSH'!D35+'EAST-LRC-FLSH'!D35</f>
        <v>-607651</v>
      </c>
      <c r="E35" s="66">
        <f>'EAST-EGM-FLSH'!E35+'EAST-LRC-FLSH'!E35</f>
        <v>-1210618</v>
      </c>
      <c r="F35" s="60">
        <f t="shared" si="8"/>
        <v>0</v>
      </c>
      <c r="G35" s="37">
        <f t="shared" si="8"/>
        <v>0</v>
      </c>
      <c r="H35" s="60">
        <f>'EAST-EGM-FLSH'!H35+'EAST-LRC-FLSH'!H35</f>
        <v>-607651</v>
      </c>
      <c r="I35" s="38">
        <f>'EAST-EGM-FLSH'!I35+'EAST-LRC-FLSH'!I35</f>
        <v>-1210618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-607651</v>
      </c>
      <c r="M35" s="38">
        <f t="shared" si="7"/>
        <v>-1210618</v>
      </c>
    </row>
    <row r="36" spans="1:13" x14ac:dyDescent="0.2">
      <c r="A36" s="9"/>
      <c r="B36" s="7" t="s">
        <v>45</v>
      </c>
      <c r="C36" s="6"/>
      <c r="D36" s="61">
        <f t="shared" ref="D36:I36" si="9">SUM(D32:D35)</f>
        <v>-166085</v>
      </c>
      <c r="E36" s="39">
        <f t="shared" si="9"/>
        <v>-323414.13123970712</v>
      </c>
      <c r="F36" s="61">
        <f t="shared" si="9"/>
        <v>0</v>
      </c>
      <c r="G36" s="39">
        <f t="shared" si="9"/>
        <v>0</v>
      </c>
      <c r="H36" s="61">
        <f t="shared" si="9"/>
        <v>-166085</v>
      </c>
      <c r="I36" s="39">
        <f t="shared" si="9"/>
        <v>-323414.13123970712</v>
      </c>
      <c r="J36" s="61">
        <f>SUM(J32:J34)</f>
        <v>0</v>
      </c>
      <c r="K36" s="39">
        <f>SUM(K32:K34)</f>
        <v>0</v>
      </c>
      <c r="L36" s="61">
        <f>SUM(L32:L35)</f>
        <v>-166085</v>
      </c>
      <c r="M36" s="39">
        <f>SUM(M32:M35)</f>
        <v>-323414.13123970712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f>'EAST-EGM-FLSH'!D39+'EAST-LRC-FLSH'!D39</f>
        <v>1700257</v>
      </c>
      <c r="E39" s="66">
        <f>'EAST-EGM-FLSH'!E39+'EAST-LRC-FLSH'!E39</f>
        <v>2839344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1700257</v>
      </c>
      <c r="I39" s="38">
        <f>'EAST-EGM-FLSH'!I39+'EAST-LRC-FLSH'!I39</f>
        <v>2839344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1700257</v>
      </c>
      <c r="M39" s="38">
        <f t="shared" si="11"/>
        <v>2839344</v>
      </c>
    </row>
    <row r="40" spans="1:13" ht="22.5" customHeight="1" x14ac:dyDescent="0.2">
      <c r="A40" s="9">
        <v>18</v>
      </c>
      <c r="B40" s="7"/>
      <c r="C40" s="18" t="s">
        <v>48</v>
      </c>
      <c r="D40" s="65">
        <f>'EAST-EGM-FLSH'!D40+'EAST-LRC-FLSH'!D40</f>
        <v>-617190</v>
      </c>
      <c r="E40" s="66">
        <f>'EAST-EGM-FLSH'!E40+'EAST-LRC-FLSH'!E40</f>
        <v>-1160318</v>
      </c>
      <c r="F40" s="60">
        <f t="shared" si="10"/>
        <v>0</v>
      </c>
      <c r="G40" s="37">
        <f t="shared" si="10"/>
        <v>0</v>
      </c>
      <c r="H40" s="60">
        <f>'EAST-EGM-FLSH'!H40+'EAST-LRC-FLSH'!H40</f>
        <v>-617190</v>
      </c>
      <c r="I40" s="38">
        <f>'EAST-EGM-FLSH'!I40+'EAST-LRC-FLSH'!I40</f>
        <v>-1160318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-617190</v>
      </c>
      <c r="M40" s="38">
        <f t="shared" si="11"/>
        <v>-1160318</v>
      </c>
    </row>
    <row r="41" spans="1:13" x14ac:dyDescent="0.2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50</v>
      </c>
      <c r="D42" s="61">
        <f>SUM(D40:D41)</f>
        <v>-617190</v>
      </c>
      <c r="E42" s="39">
        <f>SUM(E40:E41)</f>
        <v>-1160318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-617190</v>
      </c>
      <c r="I42" s="39">
        <f t="shared" si="12"/>
        <v>-1160318</v>
      </c>
      <c r="J42" s="61">
        <f t="shared" si="12"/>
        <v>0</v>
      </c>
      <c r="K42" s="39">
        <f t="shared" si="12"/>
        <v>0</v>
      </c>
      <c r="L42" s="61">
        <f t="shared" si="12"/>
        <v>-617190</v>
      </c>
      <c r="M42" s="39">
        <f t="shared" si="12"/>
        <v>-1160318</v>
      </c>
    </row>
    <row r="43" spans="1:13" ht="21" customHeight="1" x14ac:dyDescent="0.2">
      <c r="A43" s="9"/>
      <c r="B43" s="7" t="s">
        <v>51</v>
      </c>
      <c r="C43" s="6"/>
      <c r="D43" s="61">
        <f>D42+D39</f>
        <v>1083067</v>
      </c>
      <c r="E43" s="39">
        <f>E42+E39</f>
        <v>1679026</v>
      </c>
      <c r="F43" s="61">
        <f t="shared" ref="F43:M43" si="13">F42+F39</f>
        <v>0</v>
      </c>
      <c r="G43" s="39">
        <f t="shared" si="13"/>
        <v>0</v>
      </c>
      <c r="H43" s="61">
        <f t="shared" si="13"/>
        <v>1083067</v>
      </c>
      <c r="I43" s="39">
        <f t="shared" si="13"/>
        <v>1679026</v>
      </c>
      <c r="J43" s="61">
        <f t="shared" si="13"/>
        <v>0</v>
      </c>
      <c r="K43" s="39">
        <f t="shared" si="13"/>
        <v>0</v>
      </c>
      <c r="L43" s="61">
        <f t="shared" si="13"/>
        <v>1083067</v>
      </c>
      <c r="M43" s="39">
        <f t="shared" si="13"/>
        <v>1679026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f>'EAST-EGM-FLSH'!D51+'EAST-LRC-FLSH'!D51</f>
        <v>-216351</v>
      </c>
      <c r="E51" s="66">
        <f>'EAST-EGM-FLSH'!E51+'EAST-LRC-FLSH'!E51</f>
        <v>-447093</v>
      </c>
      <c r="F51" s="60">
        <f>H51-D51</f>
        <v>0</v>
      </c>
      <c r="G51" s="37">
        <f>I51-E51</f>
        <v>0</v>
      </c>
      <c r="H51" s="60">
        <f>'EAST-EGM-FLSH'!H51+'EAST-LRC-FLSH'!H51</f>
        <v>-216351</v>
      </c>
      <c r="I51" s="38">
        <f>'EAST-EGM-FLSH'!I51+'EAST-LRC-FLSH'!I51</f>
        <v>-447093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-216351</v>
      </c>
      <c r="M51" s="38">
        <f>I51+K51</f>
        <v>-447093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-633096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-633096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-633096</v>
      </c>
    </row>
    <row r="55" spans="1:15" x14ac:dyDescent="0.2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-1418498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-1418498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-1418498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-2051594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-2051594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-2051594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124631.32105263158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124631.32105263158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124631.32105263158</v>
      </c>
    </row>
    <row r="65" spans="1:13" x14ac:dyDescent="0.2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124631.32105263158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124631.32105263158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124631.32105263158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-196194.05499999993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-196194.05499999993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-196194.05499999993</v>
      </c>
    </row>
    <row r="71" spans="1:13" x14ac:dyDescent="0.2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1948024.15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1948024.15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1948024.15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1751830.095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1751830.095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1751830.095</v>
      </c>
    </row>
    <row r="73" spans="1:13" x14ac:dyDescent="0.2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932209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932209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932209</v>
      </c>
    </row>
    <row r="75" spans="1:13" x14ac:dyDescent="0.2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388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388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388</v>
      </c>
    </row>
    <row r="76" spans="1:13" x14ac:dyDescent="0.2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-27437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-27437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-27437</v>
      </c>
    </row>
    <row r="77" spans="1:13" x14ac:dyDescent="0.2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23732.85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23732.85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23732.85</v>
      </c>
    </row>
    <row r="79" spans="1:13" x14ac:dyDescent="0.2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924052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924052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924052</v>
      </c>
    </row>
    <row r="80" spans="1:13" x14ac:dyDescent="0.2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80</v>
      </c>
      <c r="D81" s="60"/>
      <c r="E81" s="66">
        <f>'EAST-EGM-FLSH'!E81+'EAST-LRC-FLSH'!E81</f>
        <v>-2054264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-2054264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-2054264</v>
      </c>
    </row>
    <row r="82" spans="1:67" s="44" customFormat="1" ht="20.25" customHeight="1" thickBot="1" x14ac:dyDescent="0.25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-3242214.8651870829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-3242214.8651870829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-3242214.8651870829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-3242214.8651870866</v>
      </c>
      <c r="M84" s="45"/>
    </row>
    <row r="85" spans="1:67" x14ac:dyDescent="0.2">
      <c r="A85" s="4" t="s">
        <v>178</v>
      </c>
      <c r="B85" s="3"/>
    </row>
    <row r="86" spans="1:67" s="3" customFormat="1" x14ac:dyDescent="0.2">
      <c r="A86" s="177"/>
      <c r="C86" s="10" t="s">
        <v>181</v>
      </c>
      <c r="D86" s="178">
        <f>'EAST-EGM-FLSH'!D86+'EAST-LRC-FLSH'!D86</f>
        <v>0</v>
      </c>
      <c r="E86" s="178">
        <f>'EAST-EGM-FLSH'!E86+'EAST-LRC-FLSH'!E86</f>
        <v>76163</v>
      </c>
      <c r="F86" s="178">
        <f>'EAST-EGM-FLSH'!F86+'EAST-LRC-FLSH'!F86</f>
        <v>0</v>
      </c>
      <c r="G86" s="178">
        <f>'EAST-EGM-FLSH'!G86+'EAST-LRC-FLSH'!G86</f>
        <v>0</v>
      </c>
      <c r="H86" s="178">
        <f>'EAST-EGM-FLSH'!H86+'EAST-LRC-FLSH'!H86</f>
        <v>0</v>
      </c>
      <c r="I86" s="178">
        <f>'EAST-EGM-FLSH'!I86+'EAST-LRC-FLSH'!I86</f>
        <v>76163</v>
      </c>
      <c r="J86" s="178">
        <f>'EAST-EGM-FLSH'!J86+'EAST-LRC-FLSH'!J86</f>
        <v>0</v>
      </c>
      <c r="K86" s="178">
        <f>'EAST-EGM-FLSH'!K86+'EAST-LRC-FLSH'!K86</f>
        <v>0</v>
      </c>
      <c r="L86" s="178">
        <f>'EAST-EGM-FLSH'!L86+'EAST-LRC-FLSH'!L86</f>
        <v>0</v>
      </c>
      <c r="M86" s="178">
        <f>'EAST-EGM-FLSH'!M86+'EAST-LRC-FLSH'!M86</f>
        <v>76163</v>
      </c>
    </row>
    <row r="87" spans="1:67" s="3" customFormat="1" x14ac:dyDescent="0.2">
      <c r="A87" s="177"/>
      <c r="C87" s="10" t="s">
        <v>73</v>
      </c>
      <c r="D87" s="179">
        <f>'EAST-EGM-FLSH'!D87+'EAST-LRC-FLSH'!D87</f>
        <v>0</v>
      </c>
      <c r="E87" s="179">
        <f>'EAST-EGM-FLSH'!E87+'EAST-LRC-FLSH'!E87</f>
        <v>0</v>
      </c>
      <c r="F87" s="179">
        <f>'EAST-EGM-FLSH'!F87+'EAST-LRC-FLSH'!F87</f>
        <v>0</v>
      </c>
      <c r="G87" s="179">
        <f>'EAST-EGM-FLSH'!G87+'EAST-LRC-FLSH'!G87</f>
        <v>0</v>
      </c>
      <c r="H87" s="179">
        <f>'EAST-EGM-FLSH'!H87+'EAST-LRC-FLSH'!H87</f>
        <v>0</v>
      </c>
      <c r="I87" s="179">
        <f>'EAST-EGM-FLSH'!I87+'EAST-LRC-FLSH'!I87</f>
        <v>0</v>
      </c>
      <c r="J87" s="179">
        <f>'EAST-EGM-FLSH'!J87+'EAST-LRC-FLSH'!J87</f>
        <v>0</v>
      </c>
      <c r="K87" s="179">
        <f>'EAST-EGM-FLSH'!K87+'EAST-LRC-FLSH'!K87</f>
        <v>0</v>
      </c>
      <c r="L87" s="179">
        <f>'EAST-EGM-FLSH'!L87+'EAST-LRC-FLSH'!L87</f>
        <v>0</v>
      </c>
      <c r="M87" s="179">
        <f>'EAST-EGM-FLSH'!M87+'EAST-LRC-FLSH'!M87</f>
        <v>0</v>
      </c>
    </row>
    <row r="88" spans="1:67" s="3" customFormat="1" x14ac:dyDescent="0.2">
      <c r="A88" s="177"/>
      <c r="C88" s="10" t="s">
        <v>74</v>
      </c>
      <c r="D88" s="180">
        <f>'EAST-EGM-FLSH'!D88+'EAST-LRC-FLSH'!D88</f>
        <v>0</v>
      </c>
      <c r="E88" s="180">
        <f>'EAST-EGM-FLSH'!E88+'EAST-LRC-FLSH'!E88</f>
        <v>0</v>
      </c>
      <c r="F88" s="180">
        <f>'EAST-EGM-FLSH'!F88+'EAST-LRC-FLSH'!F88</f>
        <v>0</v>
      </c>
      <c r="G88" s="180">
        <f>'EAST-EGM-FLSH'!G88+'EAST-LRC-FLSH'!G88</f>
        <v>0</v>
      </c>
      <c r="H88" s="180">
        <f>'EAST-EGM-FLSH'!H88+'EAST-LRC-FLSH'!H88</f>
        <v>0</v>
      </c>
      <c r="I88" s="180">
        <f>'EAST-EGM-FLSH'!I88+'EAST-LRC-FLSH'!I88</f>
        <v>0</v>
      </c>
      <c r="J88" s="180">
        <f>'EAST-EGM-FLSH'!J88+'EAST-LRC-FLSH'!J88</f>
        <v>0</v>
      </c>
      <c r="K88" s="180">
        <f>'EAST-EGM-FLSH'!K88+'EAST-LRC-FLSH'!K88</f>
        <v>0</v>
      </c>
      <c r="L88" s="180">
        <f>'EAST-EGM-FLSH'!L88+'EAST-LRC-FLSH'!L88</f>
        <v>0</v>
      </c>
      <c r="M88" s="180">
        <f>'EAST-EGM-FLSH'!M88+'EAST-LRC-FLSH'!M88</f>
        <v>0</v>
      </c>
    </row>
    <row r="89" spans="1:67" s="44" customFormat="1" ht="20.25" customHeight="1" x14ac:dyDescent="0.2">
      <c r="A89" s="184"/>
      <c r="B89" s="185"/>
      <c r="C89" s="186" t="s">
        <v>184</v>
      </c>
      <c r="D89" s="188">
        <f>SUM(D86:D88)</f>
        <v>0</v>
      </c>
      <c r="E89" s="188">
        <f t="shared" ref="E89:M89" si="20">SUM(E86:E88)</f>
        <v>76163</v>
      </c>
      <c r="F89" s="188">
        <f t="shared" si="20"/>
        <v>0</v>
      </c>
      <c r="G89" s="188">
        <f t="shared" si="20"/>
        <v>0</v>
      </c>
      <c r="H89" s="188">
        <f t="shared" si="20"/>
        <v>0</v>
      </c>
      <c r="I89" s="188">
        <f t="shared" si="20"/>
        <v>76163</v>
      </c>
      <c r="J89" s="188">
        <f t="shared" si="20"/>
        <v>0</v>
      </c>
      <c r="K89" s="188">
        <f t="shared" si="20"/>
        <v>0</v>
      </c>
      <c r="L89" s="188">
        <f t="shared" si="20"/>
        <v>0</v>
      </c>
      <c r="M89" s="188">
        <f t="shared" si="20"/>
        <v>76163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4"/>
      <c r="B91" s="185"/>
      <c r="C91" s="186" t="s">
        <v>182</v>
      </c>
      <c r="D91" s="188">
        <f>+D82+D89</f>
        <v>0</v>
      </c>
      <c r="E91" s="188">
        <f t="shared" ref="E91:M91" si="21">+E82+E89</f>
        <v>-3166051.8651870829</v>
      </c>
      <c r="F91" s="188">
        <f t="shared" si="21"/>
        <v>0</v>
      </c>
      <c r="G91" s="188">
        <f t="shared" si="21"/>
        <v>0</v>
      </c>
      <c r="H91" s="188">
        <f t="shared" si="21"/>
        <v>0</v>
      </c>
      <c r="I91" s="188">
        <f t="shared" si="21"/>
        <v>-3166051.8651870829</v>
      </c>
      <c r="J91" s="188">
        <f t="shared" si="21"/>
        <v>0</v>
      </c>
      <c r="K91" s="188">
        <f t="shared" si="21"/>
        <v>0</v>
      </c>
      <c r="L91" s="188">
        <f t="shared" si="21"/>
        <v>0</v>
      </c>
      <c r="M91" s="188">
        <f t="shared" si="21"/>
        <v>-3166051.8651870829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2000-01-14T23:17:27Z</cp:lastPrinted>
  <dcterms:created xsi:type="dcterms:W3CDTF">1997-07-11T21:57:33Z</dcterms:created>
  <dcterms:modified xsi:type="dcterms:W3CDTF">2023-09-15T15:02:10Z</dcterms:modified>
</cp:coreProperties>
</file>