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A6DB59-6C2A-4AFC-82A7-A2CDC87D63BA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TRNSP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TRANSP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TRNSP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4">Actuals!$D$638:$I$651</definedName>
    <definedName name="_xlnm.Print_Area" localSheetId="43">BGC_VAR!$A$1:$I$82</definedName>
    <definedName name="_xlnm.Print_Area" localSheetId="31">'CE-VAR'!$A$1:$I$82</definedName>
    <definedName name="_xlnm.Print_Area" localSheetId="1">Check!$A$1:$D$38</definedName>
    <definedName name="_xlnm.Print_Area" localSheetId="19">NE_GL!$A$1:$AX$92</definedName>
    <definedName name="_xlnm.Print_Area" localSheetId="6">'NE-FLSH'!$A$1:$M$92</definedName>
    <definedName name="_xlnm.Print_Area" localSheetId="32">'NE-VAR'!$A$1:$I$92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42">TRNSPT_VAR!$A$1:$I$82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'TX-EGM-GL'!$A$1:$AX$92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AG1" i="44"/>
  <c r="AI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P8" i="29"/>
  <c r="R8" i="29"/>
  <c r="T8" i="29"/>
  <c r="V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6" i="4"/>
  <c r="C26" i="4"/>
  <c r="F26" i="4"/>
  <c r="B29" i="4"/>
  <c r="C29" i="4"/>
  <c r="D29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C40" i="4"/>
  <c r="D40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2" i="4"/>
  <c r="C112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C126" i="4"/>
  <c r="D126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A5" i="46"/>
  <c r="H8" i="46"/>
  <c r="J8" i="46"/>
  <c r="L8" i="46"/>
  <c r="N8" i="46"/>
  <c r="P8" i="46"/>
  <c r="R8" i="46"/>
  <c r="T8" i="46"/>
  <c r="V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AL11" i="46"/>
  <c r="AM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AL12" i="46"/>
  <c r="AM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AL13" i="46"/>
  <c r="AM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AL14" i="46"/>
  <c r="AM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AL15" i="46"/>
  <c r="AM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AL23" i="46"/>
  <c r="AM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AL47" i="46"/>
  <c r="AM47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AL49" i="46"/>
  <c r="AM49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AL59" i="46"/>
  <c r="AM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AJ60" i="46"/>
  <c r="AK60" i="46"/>
  <c r="AL60" i="46"/>
  <c r="AM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AL70" i="46"/>
  <c r="AM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AL74" i="46"/>
  <c r="AM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AL78" i="46"/>
  <c r="AM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AL79" i="46"/>
  <c r="AM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G84" i="46"/>
  <c r="I84" i="46"/>
  <c r="K84" i="46"/>
  <c r="M84" i="46"/>
  <c r="O84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A5" i="21"/>
  <c r="H8" i="21"/>
  <c r="J8" i="21"/>
  <c r="L8" i="21"/>
  <c r="N8" i="21"/>
  <c r="P8" i="21"/>
  <c r="R8" i="21"/>
  <c r="T8" i="21"/>
  <c r="V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D70" i="21"/>
  <c r="E70" i="21"/>
  <c r="F70" i="21"/>
  <c r="G70" i="21"/>
  <c r="H70" i="21"/>
  <c r="I70" i="2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D86" i="21"/>
  <c r="E86" i="21"/>
  <c r="F86" i="21"/>
  <c r="G86" i="21"/>
  <c r="J86" i="21"/>
  <c r="K86" i="21"/>
  <c r="L86" i="21"/>
  <c r="M86" i="21"/>
  <c r="D87" i="21"/>
  <c r="E87" i="21"/>
  <c r="F87" i="21"/>
  <c r="G87" i="21"/>
  <c r="J87" i="21"/>
  <c r="K87" i="21"/>
  <c r="L87" i="21"/>
  <c r="M87" i="21"/>
  <c r="D88" i="21"/>
  <c r="E88" i="21"/>
  <c r="F88" i="21"/>
  <c r="G88" i="21"/>
  <c r="J88" i="21"/>
  <c r="K88" i="21"/>
  <c r="L88" i="21"/>
  <c r="M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E70" i="9"/>
  <c r="F70" i="9"/>
  <c r="G70" i="9"/>
  <c r="H70" i="9"/>
  <c r="I70" i="9"/>
  <c r="L70" i="9"/>
  <c r="M70" i="9"/>
  <c r="F71" i="9"/>
  <c r="G71" i="9"/>
  <c r="H71" i="9"/>
  <c r="I71" i="9"/>
  <c r="L71" i="9"/>
  <c r="M71" i="9"/>
  <c r="E72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E74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6"/>
  <c r="D11" i="6"/>
  <c r="E11" i="6"/>
  <c r="D12" i="6"/>
  <c r="E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I41" i="6"/>
  <c r="S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O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5" i="12"/>
  <c r="A5" i="24"/>
  <c r="H8" i="24"/>
  <c r="J8" i="24"/>
  <c r="L8" i="24"/>
  <c r="N8" i="24"/>
  <c r="P8" i="24"/>
  <c r="R8" i="24"/>
  <c r="T8" i="24"/>
  <c r="V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P8" i="22"/>
  <c r="R8" i="22"/>
  <c r="T8" i="22"/>
  <c r="V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P8" i="23"/>
  <c r="R8" i="23"/>
  <c r="T8" i="23"/>
  <c r="V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E70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P8" i="30"/>
  <c r="R8" i="30"/>
  <c r="T8" i="30"/>
  <c r="V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D59" i="30"/>
  <c r="E59" i="30"/>
  <c r="F59" i="30"/>
  <c r="G59" i="30"/>
  <c r="D60" i="30"/>
  <c r="E60" i="30"/>
  <c r="F60" i="30"/>
  <c r="G60" i="30"/>
  <c r="Q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D70" i="30"/>
  <c r="E70" i="30"/>
  <c r="F70" i="30"/>
  <c r="G70" i="30"/>
  <c r="AA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Q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AC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I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D87" i="7"/>
  <c r="E87" i="7"/>
  <c r="S87" i="7"/>
  <c r="T87" i="7"/>
  <c r="D88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5" i="31"/>
  <c r="H8" i="31"/>
  <c r="J8" i="31"/>
  <c r="L8" i="31"/>
  <c r="N8" i="31"/>
  <c r="P8" i="31"/>
  <c r="R8" i="31"/>
  <c r="T8" i="31"/>
  <c r="V8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D45" i="31"/>
  <c r="E45" i="31"/>
  <c r="F45" i="31"/>
  <c r="G45" i="31"/>
  <c r="D47" i="31"/>
  <c r="E47" i="31"/>
  <c r="F47" i="31"/>
  <c r="G47" i="31"/>
  <c r="D49" i="31"/>
  <c r="E49" i="31"/>
  <c r="F49" i="31"/>
  <c r="G49" i="31"/>
  <c r="D51" i="31"/>
  <c r="E51" i="31"/>
  <c r="F51" i="31"/>
  <c r="G51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D16" i="19"/>
  <c r="E16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D24" i="19"/>
  <c r="E24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D29" i="19"/>
  <c r="E29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D36" i="19"/>
  <c r="E36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D42" i="19"/>
  <c r="E42" i="19"/>
  <c r="F42" i="19"/>
  <c r="G42" i="19"/>
  <c r="H42" i="19"/>
  <c r="I42" i="19"/>
  <c r="J42" i="19"/>
  <c r="K42" i="19"/>
  <c r="L42" i="19"/>
  <c r="M42" i="19"/>
  <c r="D43" i="19"/>
  <c r="E43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D56" i="19"/>
  <c r="E56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D61" i="19"/>
  <c r="E61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D66" i="19"/>
  <c r="E66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D72" i="19"/>
  <c r="E72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L86" i="15"/>
  <c r="A5" i="27"/>
  <c r="H8" i="27"/>
  <c r="J8" i="27"/>
  <c r="L8" i="27"/>
  <c r="N8" i="27"/>
  <c r="P8" i="27"/>
  <c r="R8" i="27"/>
  <c r="T8" i="27"/>
  <c r="V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A4" i="13"/>
  <c r="A5" i="13"/>
  <c r="F11" i="13"/>
  <c r="G11" i="13"/>
  <c r="H11" i="13"/>
  <c r="I11" i="13"/>
  <c r="K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K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P8" i="25"/>
  <c r="R8" i="25"/>
  <c r="T8" i="25"/>
  <c r="V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H20" i="25"/>
  <c r="AJ20" i="25"/>
  <c r="AL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D81" i="25"/>
  <c r="E81" i="25"/>
  <c r="F81" i="25"/>
  <c r="G81" i="25"/>
  <c r="H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K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K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L8" i="26"/>
  <c r="N8" i="26"/>
  <c r="P8" i="26"/>
  <c r="R8" i="26"/>
  <c r="T8" i="26"/>
  <c r="V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AK86" i="26"/>
  <c r="AM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AK87" i="26"/>
  <c r="AM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AK88" i="26"/>
  <c r="AM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AK90" i="26"/>
  <c r="AM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AK91" i="26"/>
  <c r="AM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L8" i="28"/>
  <c r="N8" i="28"/>
  <c r="P8" i="28"/>
  <c r="R8" i="28"/>
  <c r="T8" i="28"/>
  <c r="V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H20" i="28"/>
  <c r="AJ20" i="28"/>
  <c r="AL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central per M. Sanchez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stoage per M. Sanchez</t>
        </r>
      </text>
    </commen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storage per M. Sanchez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See fin liq comment below.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2669875 is financial liq that offset revenue billed to EOG invoiced by Laura Karl.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E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25000 is adj. To tie to NGPL.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574371 is 8580444 acct for ontario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Dec. per Cathy D.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3/99 per cathy d.</t>
        </r>
      </text>
    </comment>
    <comment ref="S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Reclass per Cathy D.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9802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 from march per Monique S.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mtm, liq, and orig clean up per p. love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Q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to 9902 per P. Love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Transfer to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Q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COI cleanup based on numbers from OA group.</t>
        </r>
      </text>
    </comment>
    <comment ref="A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sharedStrings.xml><?xml version="1.0" encoding="utf-8"?>
<sst xmlns="http://schemas.openxmlformats.org/spreadsheetml/2006/main" count="5145" uniqueCount="206">
  <si>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</si>
  <si>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</si>
  <si>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</si>
  <si>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</si>
  <si>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</si>
  <si>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</si>
  <si>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</si>
  <si>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</si>
  <si>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</si>
  <si>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</si>
  <si>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</si>
  <si>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</si>
  <si>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</si>
  <si>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</si>
  <si>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</si>
  <si>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</si>
  <si>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</si>
  <si>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</si>
  <si>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</si>
  <si>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</si>
  <si>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</si>
  <si>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</si>
  <si>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</si>
  <si>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</si>
  <si>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</si>
  <si>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</si>
  <si>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</si>
  <si>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</si>
  <si>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</si>
  <si>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</si>
  <si>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</si>
  <si>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</si>
  <si>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</si>
  <si>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</si>
  <si>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</si>
  <si>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</si>
  <si>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</si>
  <si>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</si>
  <si>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</si>
  <si>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</si>
  <si>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</si>
  <si>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</si>
  <si>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</si>
  <si>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</si>
  <si>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</si>
  <si>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</si>
  <si>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</si>
  <si>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</si>
  <si>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</si>
  <si>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</si>
  <si>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</si>
  <si>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</si>
  <si>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</si>
  <si>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</si>
  <si>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</si>
  <si>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</si>
  <si>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</si>
  <si>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</si>
  <si>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</si>
  <si>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</si>
  <si>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</si>
  <si>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</si>
  <si>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</si>
  <si>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</si>
  <si>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</si>
  <si>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</si>
  <si>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</si>
  <si>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</si>
  <si>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</si>
  <si>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</si>
  <si>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</si>
  <si>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</si>
  <si>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</si>
  <si>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</si>
  <si>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</si>
  <si>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</si>
  <si>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</si>
  <si>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</si>
  <si>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</si>
  <si>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</si>
  <si>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</si>
  <si>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</si>
  <si>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</si>
  <si>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</si>
  <si>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</si>
  <si>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</si>
  <si>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</si>
  <si>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</si>
  <si>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</si>
  <si>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</si>
  <si>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</si>
  <si>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</si>
  <si>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</si>
  <si>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</si>
  <si>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</si>
  <si>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</si>
  <si>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</si>
  <si>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</si>
  <si>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</si>
  <si>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</si>
  <si>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</si>
  <si>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</si>
  <si>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</si>
  <si>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</si>
  <si>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</si>
  <si>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</si>
  <si>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</si>
  <si>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</si>
  <si>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</si>
  <si>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</si>
  <si>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</si>
  <si>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</si>
  <si>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</si>
  <si>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</si>
  <si>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</si>
  <si>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</si>
  <si>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</si>
  <si>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</si>
  <si>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</si>
  <si>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</si>
  <si>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</si>
  <si>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</si>
  <si>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</si>
  <si>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</si>
  <si>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</si>
  <si>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</si>
  <si>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</si>
  <si>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</si>
  <si>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</si>
  <si>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</si>
  <si>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</si>
  <si>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</si>
  <si>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</si>
  <si>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</si>
  <si>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</si>
  <si>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</si>
  <si>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</si>
  <si>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</si>
  <si>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</si>
  <si>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</si>
  <si>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</si>
  <si>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</si>
  <si>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</si>
  <si>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</si>
  <si>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</si>
  <si>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</si>
  <si>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</si>
  <si>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</si>
  <si>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</si>
  <si>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</si>
  <si>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</si>
  <si>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</si>
  <si>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</si>
  <si>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</si>
  <si>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</si>
  <si>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</si>
  <si>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</si>
  <si>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</si>
  <si>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</si>
  <si>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</si>
  <si>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</si>
  <si>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</si>
  <si>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</si>
  <si>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</si>
  <si>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</si>
  <si>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</si>
  <si>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</si>
  <si>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</si>
  <si>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</si>
  <si>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</si>
  <si>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</si>
  <si>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</si>
  <si>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</si>
  <si>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</si>
  <si>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</si>
  <si>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</si>
  <si>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</si>
  <si>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</si>
  <si>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</si>
  <si>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</si>
  <si>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January</t>
  </si>
  <si>
    <t>February</t>
  </si>
  <si>
    <t>9901V</t>
  </si>
  <si>
    <t>9901A</t>
  </si>
  <si>
    <t>PRODUCTION MONTH: 9901</t>
  </si>
  <si>
    <t>March</t>
  </si>
  <si>
    <t>April</t>
  </si>
  <si>
    <t>May</t>
  </si>
  <si>
    <t>FT-All Regions</t>
  </si>
  <si>
    <t>Current Month MTM</t>
  </si>
  <si>
    <t>TOTAL FIRM TRADING</t>
  </si>
  <si>
    <t>TOTAL GL</t>
  </si>
  <si>
    <t>FT-South East</t>
  </si>
  <si>
    <t>TOTAL NGPL</t>
  </si>
  <si>
    <t>FT-South Texas</t>
  </si>
  <si>
    <t>FT-East</t>
  </si>
  <si>
    <t>TOTAL FIRM</t>
  </si>
  <si>
    <t>TOTAL TIEOUT</t>
  </si>
  <si>
    <t>FT-Tieout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</si>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</sst>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8F99BC-CAFB-7254-98C2-5992966DD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BB16D85-C7B4-1B87-010E-C2D3A7544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5073079-BA22-B115-D413-04E5609D8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236BF77-9F53-CF71-5E9E-182B7FA0A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44A72AC-E62A-FAD5-3A26-FCEE21109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E8106F9-ABAB-4436-7B0E-055DFAC49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7441855-410C-FEA5-AE44-796639DA6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1441FAC-9E3E-0172-B2BA-1380E5532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A9C28F9-A316-77E2-9B5F-6EA221D79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04001A5-AA82-A637-53C5-BEB3A982F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75879C5-20A5-EB0D-8386-E0392BE37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1">
          <cell r="C41">
            <v>658177.35000000149</v>
          </cell>
          <cell r="G41">
            <v>469382.35000000149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9">
          <cell r="B39">
            <v>112326</v>
          </cell>
          <cell r="C39">
            <v>-1631562</v>
          </cell>
          <cell r="D39">
            <v>0</v>
          </cell>
          <cell r="E39">
            <v>0</v>
          </cell>
          <cell r="F39">
            <v>788060</v>
          </cell>
          <cell r="H39">
            <v>-796783</v>
          </cell>
          <cell r="I39">
            <v>0</v>
          </cell>
          <cell r="J39">
            <v>0</v>
          </cell>
          <cell r="K39">
            <v>0</v>
          </cell>
          <cell r="L39">
            <v>-5630</v>
          </cell>
          <cell r="M39">
            <v>1722384</v>
          </cell>
          <cell r="O39">
            <v>0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2">
          <cell r="M82">
            <v>53778.990112164873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9140188</v>
      </c>
      <c r="E11" s="66">
        <f>'SE-EGM-FLSH'!E11+'SE-LRC-FLSH'!E11</f>
        <v>16844935</v>
      </c>
      <c r="F11" s="37">
        <f>H11-D11</f>
        <v>0</v>
      </c>
      <c r="G11" s="37">
        <f>I11-E11</f>
        <v>0</v>
      </c>
      <c r="H11" s="60">
        <f>'SE-EGM-FLSH'!H11+'SE-LRC-FLSH'!H11</f>
        <v>9140188</v>
      </c>
      <c r="I11" s="38">
        <f>'SE-EGM-FLSH'!I11+'SE-LRC-FLSH'!I11</f>
        <v>16844935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4217731</v>
      </c>
      <c r="E13" s="66">
        <f>'SE-EGM-FLSH'!E13+'SE-LRC-FLSH'!E13</f>
        <v>7863361.2395051038</v>
      </c>
      <c r="F13" s="60">
        <f t="shared" si="1"/>
        <v>0</v>
      </c>
      <c r="G13" s="37">
        <f t="shared" si="1"/>
        <v>0</v>
      </c>
      <c r="H13" s="60">
        <f>'SE-EGM-FLSH'!H13+'SE-LRC-FLSH'!H13</f>
        <v>4217731</v>
      </c>
      <c r="I13" s="38">
        <f>'SE-EGM-FLSH'!I13+'SE-LRC-FLSH'!I13</f>
        <v>7863361.2395051038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13357919</v>
      </c>
      <c r="E16" s="39">
        <f>SUM(E11:E15)</f>
        <v>24708296.239505105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13357919</v>
      </c>
      <c r="I16" s="39">
        <f t="shared" si="2"/>
        <v>24708296.239505105</v>
      </c>
      <c r="J16" s="61">
        <f t="shared" si="2"/>
        <v>0</v>
      </c>
      <c r="K16" s="39">
        <f t="shared" si="2"/>
        <v>0</v>
      </c>
      <c r="L16" s="61">
        <f t="shared" si="2"/>
        <v>13357919</v>
      </c>
      <c r="M16" s="39">
        <f t="shared" si="2"/>
        <v>24708296.239505105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-2320411</v>
      </c>
      <c r="E19" s="66">
        <f>'SE-EGM-FLSH'!E19+'SE-LRC-FLSH'!E19</f>
        <v>-4147235</v>
      </c>
      <c r="F19" s="60">
        <f>H19-D19</f>
        <v>0</v>
      </c>
      <c r="G19" s="37">
        <f>I19-E19</f>
        <v>0</v>
      </c>
      <c r="H19" s="60">
        <f>'SE-EGM-FLSH'!H19+'SE-LRC-FLSH'!H19</f>
        <v>-2320411</v>
      </c>
      <c r="I19" s="38">
        <f>'SE-EGM-FLSH'!I19+'SE-LRC-FLSH'!I19</f>
        <v>-4147235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-2320411</v>
      </c>
      <c r="M19" s="38">
        <f t="shared" si="3"/>
        <v>-4147235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-9663424</v>
      </c>
      <c r="E21" s="66">
        <f>'SE-EGM-FLSH'!E21+'SE-LRC-FLSH'!E21</f>
        <v>-17568887</v>
      </c>
      <c r="F21" s="60">
        <f t="shared" si="4"/>
        <v>0</v>
      </c>
      <c r="G21" s="37">
        <f t="shared" si="4"/>
        <v>0</v>
      </c>
      <c r="H21" s="60">
        <f>'SE-EGM-FLSH'!H21+'SE-LRC-FLSH'!H21</f>
        <v>-9663424</v>
      </c>
      <c r="I21" s="38">
        <f>'SE-EGM-FLSH'!I21+'SE-LRC-FLSH'!I21</f>
        <v>-17568887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-9663424</v>
      </c>
      <c r="M21" s="38">
        <f t="shared" si="3"/>
        <v>-17568887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-11983835</v>
      </c>
      <c r="E24" s="39">
        <f>SUM(E19:E23)</f>
        <v>-21716122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-11983835</v>
      </c>
      <c r="I24" s="39">
        <f t="shared" si="5"/>
        <v>-21716122</v>
      </c>
      <c r="J24" s="61">
        <f t="shared" si="5"/>
        <v>0</v>
      </c>
      <c r="K24" s="39">
        <f t="shared" si="5"/>
        <v>0</v>
      </c>
      <c r="L24" s="61">
        <f t="shared" si="5"/>
        <v>-11983835</v>
      </c>
      <c r="M24" s="39">
        <f t="shared" si="5"/>
        <v>-21716122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978794</v>
      </c>
      <c r="E27" s="66">
        <f>'SE-EGM-FLSH'!E27+'SE-LRC-FLSH'!E27</f>
        <v>1772939</v>
      </c>
      <c r="F27" s="60">
        <f>H27-D27</f>
        <v>0</v>
      </c>
      <c r="G27" s="37">
        <f>I27-E27</f>
        <v>0</v>
      </c>
      <c r="H27" s="60">
        <f>'SE-EGM-FLSH'!H27+'SE-LRC-FLSH'!H27</f>
        <v>978794</v>
      </c>
      <c r="I27" s="38">
        <f>'SE-EGM-FLSH'!I27+'SE-LRC-FLSH'!I27</f>
        <v>1772939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-1476461</v>
      </c>
      <c r="E28" s="66">
        <f>'SE-EGM-FLSH'!E28+'SE-LRC-FLSH'!E28</f>
        <v>-2857245</v>
      </c>
      <c r="F28" s="60">
        <f>H28-D28</f>
        <v>0</v>
      </c>
      <c r="G28" s="37">
        <f>I28-E28</f>
        <v>0</v>
      </c>
      <c r="H28" s="60">
        <f>'SE-EGM-FLSH'!H28+'SE-LRC-FLSH'!H28</f>
        <v>-1476461</v>
      </c>
      <c r="I28" s="38">
        <f>'SE-EGM-FLSH'!I28+'SE-LRC-FLSH'!I28</f>
        <v>-2857245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f>SUM(D27:D28)</f>
        <v>-497667</v>
      </c>
      <c r="E29" s="39">
        <f>SUM(E27:E28)</f>
        <v>-1084306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-497667</v>
      </c>
      <c r="I29" s="39">
        <f t="shared" si="6"/>
        <v>-1084306</v>
      </c>
      <c r="J29" s="61">
        <f t="shared" si="6"/>
        <v>0</v>
      </c>
      <c r="K29" s="39">
        <f t="shared" si="6"/>
        <v>0</v>
      </c>
      <c r="L29" s="61">
        <f t="shared" si="6"/>
        <v>-497667</v>
      </c>
      <c r="M29" s="39">
        <f t="shared" si="6"/>
        <v>-1084306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372334</v>
      </c>
      <c r="E32" s="66">
        <f>'SE-EGM-FLSH'!E32+'SE-LRC-FLSH'!E32</f>
        <v>689049</v>
      </c>
      <c r="F32" s="60">
        <f>H32-D32</f>
        <v>0</v>
      </c>
      <c r="G32" s="37">
        <f>I32-E32</f>
        <v>0</v>
      </c>
      <c r="H32" s="60">
        <f>'SE-EGM-FLSH'!H32+'SE-LRC-FLSH'!H32</f>
        <v>372334</v>
      </c>
      <c r="I32" s="38">
        <f>'SE-EGM-FLSH'!I32+'SE-LRC-FLSH'!I32</f>
        <v>689049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372334</v>
      </c>
      <c r="M32" s="38">
        <f t="shared" si="7"/>
        <v>689049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-440847</v>
      </c>
      <c r="E33" s="66">
        <f>'SE-EGM-FLSH'!E33+'SE-LRC-FLSH'!E33</f>
        <v>-812591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-440847</v>
      </c>
      <c r="I33" s="38">
        <f>'SE-EGM-FLSH'!I33+'SE-LRC-FLSH'!I33</f>
        <v>-812591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-440847</v>
      </c>
      <c r="M33" s="38">
        <f t="shared" si="7"/>
        <v>-812591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-68513</v>
      </c>
      <c r="E36" s="39">
        <f t="shared" si="9"/>
        <v>-123542</v>
      </c>
      <c r="F36" s="61">
        <f t="shared" si="9"/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0</v>
      </c>
      <c r="E39" s="66">
        <f>'SE-EGM-FLSH'!E39+'SE-LRC-FLSH'!E39</f>
        <v>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0</v>
      </c>
      <c r="I39" s="38">
        <f>'SE-EGM-FLSH'!I39+'SE-LRC-FLSH'!I39</f>
        <v>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0</v>
      </c>
      <c r="M39" s="38">
        <f t="shared" si="11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0</v>
      </c>
      <c r="E40" s="66">
        <f>'SE-EGM-FLSH'!E40+'SE-LRC-FLSH'!E40</f>
        <v>0</v>
      </c>
      <c r="F40" s="60">
        <f t="shared" si="10"/>
        <v>0</v>
      </c>
      <c r="G40" s="37">
        <f t="shared" si="10"/>
        <v>0</v>
      </c>
      <c r="H40" s="60">
        <f>'SE-EGM-FLSH'!H40+'SE-LRC-FLSH'!H40</f>
        <v>0</v>
      </c>
      <c r="I40" s="38">
        <f>'SE-EGM-FLSH'!I40+'SE-LRC-FLSH'!I40</f>
        <v>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0</v>
      </c>
      <c r="M40" s="38">
        <f t="shared" si="11"/>
        <v>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3">F42+F39</f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-927904</v>
      </c>
      <c r="E49" s="66">
        <f>'SE-EGM-FLSH'!E49+'SE-LRC-FLSH'!E49</f>
        <v>-1694569.7466751307</v>
      </c>
      <c r="F49" s="60">
        <f>H49-D49</f>
        <v>0</v>
      </c>
      <c r="G49" s="37">
        <f>I49-E49</f>
        <v>0</v>
      </c>
      <c r="H49" s="60">
        <f>'SE-EGM-FLSH'!H49+'SE-LRC-FLSH'!H49</f>
        <v>-927904</v>
      </c>
      <c r="I49" s="38">
        <f>'SE-EGM-FLSH'!I49+'SE-LRC-FLSH'!I49</f>
        <v>-1694569.7466751307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133947.92000000001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133947.92000000001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133947.92000000001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133947.92000000001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74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-2776295.5871700263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B62" zoomScale="75" workbookViewId="0">
      <selection activeCell="E70" sqref="E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130973369</v>
      </c>
      <c r="E11" s="66">
        <f>'SE-EGM-FLSH'!E11+'SE-LRC-FLSH'!E11+'NE-FLSH'!E11+BGC_FLSH!E11</f>
        <v>227720275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130973369</v>
      </c>
      <c r="I11" s="66">
        <f>'SE-EGM-FLSH'!I11+'SE-LRC-FLSH'!I11+'NE-FLSH'!I11+BGC_FLSH!I11</f>
        <v>227720275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130973369</v>
      </c>
      <c r="M11" s="38">
        <f t="shared" si="0"/>
        <v>227720275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103119290</v>
      </c>
      <c r="E13" s="66">
        <f>'SE-EGM-FLSH'!E13+'SE-LRC-FLSH'!E13+'NE-FLSH'!E13+BGC_FLSH!E13</f>
        <v>212064159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103119290</v>
      </c>
      <c r="I13" s="66">
        <f>'SE-EGM-FLSH'!I13+'SE-LRC-FLSH'!I13+'NE-FLSH'!I13+BGC_FLSH!I13</f>
        <v>212064159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103119290</v>
      </c>
      <c r="M13" s="38">
        <f t="shared" si="0"/>
        <v>212064159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9846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9846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234092659</v>
      </c>
      <c r="E16" s="39">
        <f>SUM(E11:E15)</f>
        <v>439794280</v>
      </c>
      <c r="F16" s="61">
        <f t="shared" ref="F16:M16" si="2">SUM(F11:F15)</f>
        <v>0</v>
      </c>
      <c r="G16" s="39">
        <f t="shared" si="2"/>
        <v>0</v>
      </c>
      <c r="H16" s="61">
        <f>SUM(H11:H15)</f>
        <v>234092659</v>
      </c>
      <c r="I16" s="39">
        <f>SUM(I11:I15)</f>
        <v>439794280</v>
      </c>
      <c r="J16" s="61">
        <f t="shared" si="2"/>
        <v>0</v>
      </c>
      <c r="K16" s="39">
        <f t="shared" si="2"/>
        <v>0</v>
      </c>
      <c r="L16" s="61">
        <f t="shared" si="2"/>
        <v>234092659</v>
      </c>
      <c r="M16" s="39">
        <f t="shared" si="2"/>
        <v>439794280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-119040367</v>
      </c>
      <c r="E19" s="66">
        <f>'SE-EGM-FLSH'!E19+'SE-LRC-FLSH'!E19+'NE-FLSH'!E19+BGC_FLSH!E19</f>
        <v>-211355016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-119040367</v>
      </c>
      <c r="I19" s="66">
        <f>'SE-EGM-FLSH'!I19+'SE-LRC-FLSH'!I19+'NE-FLSH'!I19+BGC_FLSH!I19</f>
        <v>-211355016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-119040367</v>
      </c>
      <c r="M19" s="38">
        <f t="shared" si="3"/>
        <v>-211355016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-102142866</v>
      </c>
      <c r="E21" s="66">
        <f>'SE-EGM-FLSH'!E21+'SE-LRC-FLSH'!E21+'NE-FLSH'!E21+BGC_FLSH!E21</f>
        <v>-211403649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-102142866</v>
      </c>
      <c r="I21" s="66">
        <f>'SE-EGM-FLSH'!I21+'SE-LRC-FLSH'!I21+'NE-FLSH'!I21+BGC_FLSH!I21</f>
        <v>-211403649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-102142866</v>
      </c>
      <c r="M21" s="38">
        <f t="shared" si="3"/>
        <v>-211403649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1335635</v>
      </c>
      <c r="E23" s="66">
        <f>'SE-EGM-FLSH'!E23+'SE-LRC-FLSH'!E23+'NE-FLSH'!E23+BGC_FLSH!E23</f>
        <v>2560690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1335635</v>
      </c>
      <c r="I23" s="66">
        <f>'SE-EGM-FLSH'!I23+'SE-LRC-FLSH'!I23+'NE-FLSH'!I23+BGC_FLSH!I23</f>
        <v>2560690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1335635</v>
      </c>
      <c r="M23" s="38">
        <f t="shared" si="3"/>
        <v>2560690</v>
      </c>
    </row>
    <row r="24" spans="1:13" x14ac:dyDescent="0.2">
      <c r="A24" s="9"/>
      <c r="B24" s="7" t="s">
        <v>37</v>
      </c>
      <c r="C24" s="6"/>
      <c r="D24" s="61">
        <f>SUM(D19:D23)</f>
        <v>-219847598</v>
      </c>
      <c r="E24" s="39">
        <f>SUM(E19:E23)</f>
        <v>-420197975</v>
      </c>
      <c r="F24" s="61">
        <f t="shared" ref="F24:M24" si="5">SUM(F19:F23)</f>
        <v>0</v>
      </c>
      <c r="G24" s="39">
        <f t="shared" si="5"/>
        <v>0</v>
      </c>
      <c r="H24" s="61">
        <f>SUM(H19:H23)</f>
        <v>-219847598</v>
      </c>
      <c r="I24" s="39">
        <f>SUM(I19:I23)</f>
        <v>-420197975</v>
      </c>
      <c r="J24" s="61">
        <f t="shared" si="5"/>
        <v>0</v>
      </c>
      <c r="K24" s="39">
        <f t="shared" si="5"/>
        <v>0</v>
      </c>
      <c r="L24" s="61">
        <f t="shared" si="5"/>
        <v>-219847598</v>
      </c>
      <c r="M24" s="39">
        <f t="shared" si="5"/>
        <v>-420197975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547746</v>
      </c>
      <c r="E32" s="66">
        <f>'SE-EGM-FLSH'!E32+'SE-LRC-FLSH'!E32+'NE-FLSH'!E32+BGC_FLSH!E32</f>
        <v>1034025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547746</v>
      </c>
      <c r="I32" s="66">
        <f>'SE-EGM-FLSH'!I32+'SE-LRC-FLSH'!I32+'NE-FLSH'!I32+BGC_FLSH!I32</f>
        <v>1034025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547746</v>
      </c>
      <c r="M32" s="38">
        <f t="shared" si="7"/>
        <v>1034025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-363186</v>
      </c>
      <c r="E33" s="66">
        <f>'SE-EGM-FLSH'!E33+'SE-LRC-FLSH'!E33+'NE-FLSH'!E33+BGC_FLSH!E33</f>
        <v>-707041.52037700522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-363186</v>
      </c>
      <c r="I33" s="66">
        <f>'SE-EGM-FLSH'!I33+'SE-LRC-FLSH'!I33+'NE-FLSH'!I33+BGC_FLSH!I33</f>
        <v>-707041.52037700522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-363186</v>
      </c>
      <c r="M33" s="38">
        <f t="shared" si="7"/>
        <v>-707041.52037700522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370827</v>
      </c>
      <c r="E34" s="66">
        <f>'SE-EGM-FLSH'!E34+'SE-LRC-FLSH'!E34+'NE-FLSH'!E34+BGC_FLSH!E34</f>
        <v>681979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370827</v>
      </c>
      <c r="I34" s="66">
        <f>'SE-EGM-FLSH'!I34+'SE-LRC-FLSH'!I34+'NE-FLSH'!I34+BGC_FLSH!I34</f>
        <v>681979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370827</v>
      </c>
      <c r="M34" s="38">
        <f t="shared" si="7"/>
        <v>681979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-296839</v>
      </c>
      <c r="E35" s="66">
        <f>'SE-EGM-FLSH'!E35+'SE-LRC-FLSH'!E35+'NE-FLSH'!E35+BGC_FLSH!E35</f>
        <v>-557042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-296839</v>
      </c>
      <c r="I35" s="66">
        <f>'SE-EGM-FLSH'!I35+'SE-LRC-FLSH'!I35+'NE-FLSH'!I35+BGC_FLSH!I35</f>
        <v>-557042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-296839</v>
      </c>
      <c r="M35" s="38">
        <f t="shared" si="7"/>
        <v>-557042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258548</v>
      </c>
      <c r="E36" s="39">
        <f t="shared" si="9"/>
        <v>451920.47962299478</v>
      </c>
      <c r="F36" s="61">
        <f t="shared" si="9"/>
        <v>0</v>
      </c>
      <c r="G36" s="39">
        <f t="shared" si="9"/>
        <v>0</v>
      </c>
      <c r="H36" s="61">
        <f t="shared" si="9"/>
        <v>258548</v>
      </c>
      <c r="I36" s="39">
        <f t="shared" si="9"/>
        <v>451920.47962299478</v>
      </c>
      <c r="J36" s="61">
        <f>SUM(J32:J34)</f>
        <v>0</v>
      </c>
      <c r="K36" s="39">
        <f>SUM(K32:K34)</f>
        <v>0</v>
      </c>
      <c r="L36" s="61">
        <f>SUM(L32:L35)</f>
        <v>258548</v>
      </c>
      <c r="M36" s="39">
        <f>SUM(M32:M35)</f>
        <v>451920.47962299478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918123</v>
      </c>
      <c r="E39" s="66">
        <f>'SE-EGM-FLSH'!E39+'SE-LRC-FLSH'!E39+'NE-FLSH'!E39+BGC_FLSH!E39</f>
        <v>1649672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918123</v>
      </c>
      <c r="I39" s="66">
        <f>'SE-EGM-FLSH'!I39+'SE-LRC-FLSH'!I39+'NE-FLSH'!I39+BGC_FLSH!I39</f>
        <v>1649672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918123</v>
      </c>
      <c r="M39" s="38">
        <f t="shared" si="11"/>
        <v>1649672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-15421732</v>
      </c>
      <c r="E40" s="66">
        <f>'SE-EGM-FLSH'!E40+'SE-LRC-FLSH'!E40+'NE-FLSH'!E40+BGC_FLSH!E40</f>
        <v>-14328999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-15421732</v>
      </c>
      <c r="I40" s="66">
        <f>'SE-EGM-FLSH'!I40+'SE-LRC-FLSH'!I40+'NE-FLSH'!I40+BGC_FLSH!I40</f>
        <v>-14328999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-15421732</v>
      </c>
      <c r="M40" s="38">
        <f t="shared" si="11"/>
        <v>-14328999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-15421732</v>
      </c>
      <c r="E42" s="39">
        <f>SUM(E40:E41)</f>
        <v>-14328999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-15421732</v>
      </c>
      <c r="I42" s="39">
        <f>SUM(I40:I41)</f>
        <v>-14328999</v>
      </c>
      <c r="J42" s="61">
        <f t="shared" si="12"/>
        <v>0</v>
      </c>
      <c r="K42" s="39">
        <f t="shared" si="12"/>
        <v>0</v>
      </c>
      <c r="L42" s="61">
        <f t="shared" si="12"/>
        <v>-15421732</v>
      </c>
      <c r="M42" s="39">
        <f t="shared" si="12"/>
        <v>-14328999</v>
      </c>
    </row>
    <row r="43" spans="1:13" ht="21" customHeight="1" x14ac:dyDescent="0.2">
      <c r="A43" s="9"/>
      <c r="B43" s="7" t="s">
        <v>53</v>
      </c>
      <c r="C43" s="6"/>
      <c r="D43" s="61">
        <f>D42+D39</f>
        <v>-14503609</v>
      </c>
      <c r="E43" s="39">
        <f>E42+E39</f>
        <v>-12679327</v>
      </c>
      <c r="F43" s="61">
        <f t="shared" ref="F43:M43" si="13">F42+F39</f>
        <v>0</v>
      </c>
      <c r="G43" s="39">
        <f t="shared" si="13"/>
        <v>0</v>
      </c>
      <c r="H43" s="61">
        <f>H42+H39</f>
        <v>-14503609</v>
      </c>
      <c r="I43" s="39">
        <f>I42+I39</f>
        <v>-12679327</v>
      </c>
      <c r="J43" s="61">
        <f t="shared" si="13"/>
        <v>0</v>
      </c>
      <c r="K43" s="39">
        <f t="shared" si="13"/>
        <v>0</v>
      </c>
      <c r="L43" s="61">
        <f t="shared" si="13"/>
        <v>-14503609</v>
      </c>
      <c r="M43" s="39">
        <f t="shared" si="13"/>
        <v>-12679327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-1335635</v>
      </c>
      <c r="E51" s="66">
        <f>'SE-EGM-FLSH'!E51+'SE-LRC-FLSH'!E51+'NE-FLSH'!E51+BGC_FLSH!E51</f>
        <v>-2672221.704067613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-1335635</v>
      </c>
      <c r="I51" s="66">
        <f>'SE-EGM-FLSH'!I51+'SE-LRC-FLSH'!I51+'NE-FLSH'!I51+BGC_FLSH!I51</f>
        <v>-2672221.704067613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-1335635</v>
      </c>
      <c r="M51" s="38">
        <f>I51+K51</f>
        <v>-2672221.704067613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-2631543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-2631543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-2631543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-16962294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-16962294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-16962294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-19593837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-19593837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-19593837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182067.92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182067.92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182067.92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182067.92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-4046503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-4046503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-4046503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-7870825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-7870825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-11917328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-11917328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-11917328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10703637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10703637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10703637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191499.5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191499.5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191499.5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16221501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16221501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16221501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152798.017028186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152798.017028186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-1540614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-1540614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-1540614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-2141591.842416415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-2141591.842416415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-2141591.842416415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-2141591.8424164234</v>
      </c>
      <c r="G84" s="31">
        <f>+'SE-LRC-FLSH'!G82+'SE-EGM-FLSH'!G82+'NE-FLSH'!G82+BGC_FLSH!G82</f>
        <v>0</v>
      </c>
      <c r="I84" s="31">
        <f>+'SE-LRC-FLSH'!I82+'SE-EGM-FLSH'!I82+'NE-FLSH'!I82+BGC_FLSH!I82</f>
        <v>-2141591.8424164234</v>
      </c>
      <c r="K84" s="31">
        <f>+'SE-LRC-FLSH'!K82+'SE-EGM-FLSH'!K82+'NE-FLSH'!K82+BGC_FLSH!K82</f>
        <v>0</v>
      </c>
      <c r="M84" s="31">
        <f>+'SE-LRC-FLSH'!M82+'SE-EGM-FLSH'!M82+'NE-FLSH'!M82+BGC_FLSH!M82</f>
        <v>-2141591.8424164234</v>
      </c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4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17098949</v>
      </c>
      <c r="E11" s="38">
        <v>28482664</v>
      </c>
      <c r="F11" s="65">
        <f>H11-D11</f>
        <v>0</v>
      </c>
      <c r="G11" s="63">
        <f>I11-E11</f>
        <v>0</v>
      </c>
      <c r="H11" s="65">
        <f>D11</f>
        <v>17098949</v>
      </c>
      <c r="I11" s="66">
        <f>E11</f>
        <v>28482664</v>
      </c>
      <c r="J11" s="60"/>
      <c r="K11" s="38">
        <f>31110+41923</f>
        <v>73033</v>
      </c>
      <c r="L11" s="60">
        <f t="shared" ref="L11:M15" si="0">H11+J11</f>
        <v>17098949</v>
      </c>
      <c r="M11" s="38">
        <f t="shared" si="0"/>
        <v>28555697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4617416</v>
      </c>
      <c r="E13" s="38">
        <v>8229331</v>
      </c>
      <c r="F13" s="65">
        <f t="shared" si="1"/>
        <v>0</v>
      </c>
      <c r="G13" s="63">
        <f t="shared" si="1"/>
        <v>0</v>
      </c>
      <c r="H13" s="65">
        <f t="shared" si="2"/>
        <v>4617416</v>
      </c>
      <c r="I13" s="66">
        <f t="shared" si="2"/>
        <v>8229331</v>
      </c>
      <c r="J13" s="60"/>
      <c r="K13" s="38"/>
      <c r="L13" s="60">
        <f t="shared" si="0"/>
        <v>4617416</v>
      </c>
      <c r="M13" s="38">
        <f t="shared" si="0"/>
        <v>8229331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21716365</v>
      </c>
      <c r="E16" s="39">
        <v>36711995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21716365</v>
      </c>
      <c r="I16" s="39">
        <f>SUM(I11:I15)</f>
        <v>36711995</v>
      </c>
      <c r="J16" s="61">
        <f>SUM(J11:J15)</f>
        <v>0</v>
      </c>
      <c r="K16" s="39">
        <f>SUM(K11:K15)</f>
        <v>73033</v>
      </c>
      <c r="L16" s="61">
        <f t="shared" si="3"/>
        <v>21716365</v>
      </c>
      <c r="M16" s="39">
        <f t="shared" si="3"/>
        <v>36785028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-29406560</v>
      </c>
      <c r="E19" s="38">
        <v>-50801150</v>
      </c>
      <c r="F19" s="65">
        <f>H19-D19</f>
        <v>0</v>
      </c>
      <c r="G19" s="63">
        <f>I19-E19</f>
        <v>0</v>
      </c>
      <c r="H19" s="65">
        <f t="shared" si="4"/>
        <v>-29406560</v>
      </c>
      <c r="I19" s="66">
        <f t="shared" si="4"/>
        <v>-50801150</v>
      </c>
      <c r="J19" s="60"/>
      <c r="K19" s="38"/>
      <c r="L19" s="60">
        <f t="shared" ref="L19:M23" si="5">H19+J19</f>
        <v>-29406560</v>
      </c>
      <c r="M19" s="38">
        <f t="shared" si="5"/>
        <v>-50801150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-3397073</v>
      </c>
      <c r="E21" s="38">
        <v>-6031878</v>
      </c>
      <c r="F21" s="65">
        <f t="shared" si="6"/>
        <v>0</v>
      </c>
      <c r="G21" s="63">
        <f t="shared" si="6"/>
        <v>0</v>
      </c>
      <c r="H21" s="65">
        <f t="shared" si="4"/>
        <v>-3397073</v>
      </c>
      <c r="I21" s="66">
        <f t="shared" si="4"/>
        <v>-6031878</v>
      </c>
      <c r="J21" s="60"/>
      <c r="K21" s="38"/>
      <c r="L21" s="60">
        <f t="shared" si="5"/>
        <v>-3397073</v>
      </c>
      <c r="M21" s="38">
        <f t="shared" si="5"/>
        <v>-6031878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-32803633</v>
      </c>
      <c r="E24" s="39">
        <v>-56833028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-32803633</v>
      </c>
      <c r="I24" s="39">
        <f>SUM(I19:I23)</f>
        <v>-56833028</v>
      </c>
      <c r="J24" s="61">
        <f>SUM(J19:J23)</f>
        <v>0</v>
      </c>
      <c r="K24" s="39">
        <f>SUM(K19:K23)</f>
        <v>0</v>
      </c>
      <c r="L24" s="61">
        <f t="shared" si="7"/>
        <v>-32803633</v>
      </c>
      <c r="M24" s="39">
        <f t="shared" si="7"/>
        <v>-56833028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33846277</v>
      </c>
      <c r="E27" s="38">
        <v>61884856</v>
      </c>
      <c r="F27" s="65">
        <f>H27-D27</f>
        <v>0</v>
      </c>
      <c r="G27" s="63">
        <f>I27-E27</f>
        <v>0</v>
      </c>
      <c r="H27" s="65">
        <f>D27</f>
        <v>33846277</v>
      </c>
      <c r="I27" s="66">
        <f>E27</f>
        <v>61884856</v>
      </c>
      <c r="J27" s="60"/>
      <c r="K27" s="38"/>
      <c r="L27" s="60">
        <f>H27+J27</f>
        <v>33846277</v>
      </c>
      <c r="M27" s="38">
        <f>I27+K27</f>
        <v>61884856</v>
      </c>
    </row>
    <row r="28" spans="1:13" x14ac:dyDescent="0.2">
      <c r="A28" s="9">
        <v>12</v>
      </c>
      <c r="B28" s="7"/>
      <c r="C28" s="18" t="s">
        <v>40</v>
      </c>
      <c r="D28" s="60">
        <v>-33798215</v>
      </c>
      <c r="E28" s="38">
        <v>-61817533</v>
      </c>
      <c r="F28" s="65">
        <f>H28-D28</f>
        <v>0</v>
      </c>
      <c r="G28" s="63">
        <f>I28-E28</f>
        <v>0</v>
      </c>
      <c r="H28" s="65">
        <f>D28</f>
        <v>-33798215</v>
      </c>
      <c r="I28" s="66">
        <f>E28</f>
        <v>-61817533</v>
      </c>
      <c r="J28" s="60"/>
      <c r="K28" s="38"/>
      <c r="L28" s="60">
        <f>H28+J28</f>
        <v>-33798215</v>
      </c>
      <c r="M28" s="38">
        <f>I28+K28</f>
        <v>-61817533</v>
      </c>
    </row>
    <row r="29" spans="1:13" x14ac:dyDescent="0.2">
      <c r="A29" s="9"/>
      <c r="B29" s="7" t="s">
        <v>41</v>
      </c>
      <c r="C29" s="6"/>
      <c r="D29" s="61">
        <v>48062</v>
      </c>
      <c r="E29" s="39">
        <v>67323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48062</v>
      </c>
      <c r="I29" s="39">
        <f>SUM(I27:I28)</f>
        <v>67323</v>
      </c>
      <c r="J29" s="61">
        <f>SUM(J27:J28)</f>
        <v>0</v>
      </c>
      <c r="K29" s="39">
        <f>SUM(K27:K28)</f>
        <v>0</v>
      </c>
      <c r="L29" s="61">
        <f t="shared" si="8"/>
        <v>48062</v>
      </c>
      <c r="M29" s="39">
        <f t="shared" si="8"/>
        <v>67323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12160655</v>
      </c>
      <c r="E33" s="38">
        <v>20874411.530985225</v>
      </c>
      <c r="F33" s="65">
        <f t="shared" ref="F33:G35" si="11">H33-D33</f>
        <v>0</v>
      </c>
      <c r="G33" s="63">
        <f t="shared" si="11"/>
        <v>0</v>
      </c>
      <c r="H33" s="65">
        <f t="shared" si="9"/>
        <v>12160655</v>
      </c>
      <c r="I33" s="66">
        <f t="shared" si="9"/>
        <v>20874411.530985225</v>
      </c>
      <c r="J33" s="60"/>
      <c r="K33" s="38"/>
      <c r="L33" s="60">
        <f t="shared" si="10"/>
        <v>12160655</v>
      </c>
      <c r="M33" s="38">
        <f t="shared" si="10"/>
        <v>20874411.530985225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12160655</v>
      </c>
      <c r="E36" s="39">
        <v>20874411.530985225</v>
      </c>
      <c r="F36" s="61">
        <f>SUM(F32:F35)</f>
        <v>0</v>
      </c>
      <c r="G36" s="39">
        <f>SUM(G32:G35)</f>
        <v>0</v>
      </c>
      <c r="H36" s="61">
        <f>SUM(H32:H35)</f>
        <v>12160655</v>
      </c>
      <c r="I36" s="39">
        <f>SUM(I32:I35)</f>
        <v>20874411.530985225</v>
      </c>
      <c r="J36" s="61">
        <f>SUM(J32:J34)</f>
        <v>0</v>
      </c>
      <c r="K36" s="39">
        <f>SUM(K32:K34)</f>
        <v>0</v>
      </c>
      <c r="L36" s="61">
        <f>SUM(L32:L35)</f>
        <v>12160655</v>
      </c>
      <c r="M36" s="39">
        <f>SUM(M32:M35)</f>
        <v>20874411.530985225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6618683</v>
      </c>
      <c r="E39" s="38">
        <v>11778510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6618683</v>
      </c>
      <c r="I39" s="66">
        <f t="shared" si="12"/>
        <v>11778510</v>
      </c>
      <c r="J39" s="60"/>
      <c r="K39" s="38"/>
      <c r="L39" s="60">
        <f t="shared" ref="L39:M41" si="14">H39+J39</f>
        <v>6618683</v>
      </c>
      <c r="M39" s="38">
        <f t="shared" si="14"/>
        <v>11778510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-7740132</v>
      </c>
      <c r="E40" s="38">
        <v>-13774329</v>
      </c>
      <c r="F40" s="65">
        <f t="shared" si="13"/>
        <v>0</v>
      </c>
      <c r="G40" s="63">
        <f t="shared" si="13"/>
        <v>0</v>
      </c>
      <c r="H40" s="65">
        <f t="shared" si="12"/>
        <v>-7740132</v>
      </c>
      <c r="I40" s="66">
        <f t="shared" si="12"/>
        <v>-13774329</v>
      </c>
      <c r="J40" s="60"/>
      <c r="K40" s="38"/>
      <c r="L40" s="60">
        <f t="shared" si="14"/>
        <v>-7740132</v>
      </c>
      <c r="M40" s="38">
        <f t="shared" si="14"/>
        <v>-13774329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-7740132</v>
      </c>
      <c r="E42" s="39">
        <v>-13774329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-7740132</v>
      </c>
      <c r="I42" s="39">
        <f>SUM(I40:I41)</f>
        <v>-13774329</v>
      </c>
      <c r="J42" s="61">
        <f>SUM(J40:J41)</f>
        <v>0</v>
      </c>
      <c r="K42" s="39">
        <f>SUM(K40:K41)</f>
        <v>0</v>
      </c>
      <c r="L42" s="69">
        <f t="shared" si="15"/>
        <v>-7740132</v>
      </c>
      <c r="M42" s="70">
        <f t="shared" si="15"/>
        <v>-13774329</v>
      </c>
    </row>
    <row r="43" spans="1:13" ht="21" customHeight="1" x14ac:dyDescent="0.2">
      <c r="A43" s="9"/>
      <c r="B43" s="7" t="s">
        <v>53</v>
      </c>
      <c r="C43" s="6"/>
      <c r="D43" s="60">
        <v>-1121449</v>
      </c>
      <c r="E43" s="38">
        <v>-1995819</v>
      </c>
      <c r="F43" s="61">
        <f t="shared" ref="F43:M43" si="16">F42+F39</f>
        <v>0</v>
      </c>
      <c r="G43" s="39">
        <f t="shared" si="16"/>
        <v>0</v>
      </c>
      <c r="H43" s="61">
        <f>H42+H39</f>
        <v>-1121449</v>
      </c>
      <c r="I43" s="39">
        <f>I42+I39</f>
        <v>-1995819</v>
      </c>
      <c r="J43" s="61">
        <f>J42+J39</f>
        <v>0</v>
      </c>
      <c r="K43" s="39">
        <f>K42+K39</f>
        <v>0</v>
      </c>
      <c r="L43" s="61">
        <f t="shared" si="16"/>
        <v>-1121449</v>
      </c>
      <c r="M43" s="39">
        <f t="shared" si="16"/>
        <v>-1995819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>
        <v>-14560</v>
      </c>
      <c r="L51" s="60">
        <f>H51+J51</f>
        <v>0</v>
      </c>
      <c r="M51" s="38">
        <f>I51+K51</f>
        <v>-39560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-1083457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-1083457</v>
      </c>
      <c r="J54" s="60"/>
      <c r="K54" s="66">
        <f>1936+14560+912625+1834</f>
        <v>930955</v>
      </c>
      <c r="L54" s="60">
        <f>H54+J54</f>
        <v>0</v>
      </c>
      <c r="M54" s="38">
        <f>I54+K54</f>
        <v>-152502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-62000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-62000</v>
      </c>
      <c r="J55" s="60"/>
      <c r="K55" s="38"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-1145457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-1145457</v>
      </c>
      <c r="J56" s="61">
        <f>SUM(J54:J55)</f>
        <v>0</v>
      </c>
      <c r="K56" s="39">
        <f>SUM(K54:K55)</f>
        <v>837655</v>
      </c>
      <c r="L56" s="61">
        <f t="shared" si="17"/>
        <v>0</v>
      </c>
      <c r="M56" s="39">
        <f t="shared" si="17"/>
        <v>-307802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278126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278126</v>
      </c>
      <c r="J70" s="60"/>
      <c r="K70" s="38"/>
      <c r="L70" s="60">
        <f t="shared" si="20"/>
        <v>0</v>
      </c>
      <c r="M70" s="38">
        <f t="shared" si="20"/>
        <v>278126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1825706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1825706</v>
      </c>
      <c r="J71" s="60"/>
      <c r="K71" s="38"/>
      <c r="L71" s="60">
        <f t="shared" si="20"/>
        <v>0</v>
      </c>
      <c r="M71" s="38">
        <f t="shared" si="20"/>
        <v>1825706</v>
      </c>
    </row>
    <row r="72" spans="1:13" x14ac:dyDescent="0.2">
      <c r="A72" s="9"/>
      <c r="B72" s="3"/>
      <c r="C72" s="55" t="s">
        <v>73</v>
      </c>
      <c r="D72" s="61">
        <v>0</v>
      </c>
      <c r="E72" s="39">
        <v>2103832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2103832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2103832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-975946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-975946</v>
      </c>
      <c r="J74" s="60"/>
      <c r="K74" s="38"/>
      <c r="L74" s="60">
        <f t="shared" si="23"/>
        <v>0</v>
      </c>
      <c r="M74" s="38">
        <f t="shared" si="23"/>
        <v>-975946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86397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86397</v>
      </c>
      <c r="J75" s="60"/>
      <c r="K75" s="38"/>
      <c r="L75" s="60">
        <f t="shared" si="23"/>
        <v>0</v>
      </c>
      <c r="M75" s="38">
        <f t="shared" si="23"/>
        <v>86397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-3443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-3443</v>
      </c>
      <c r="J76" s="60"/>
      <c r="K76" s="38">
        <v>-5645</v>
      </c>
      <c r="L76" s="60">
        <f t="shared" si="23"/>
        <v>0</v>
      </c>
      <c r="M76" s="38">
        <f t="shared" si="23"/>
        <v>-9088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-93300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-93300</v>
      </c>
      <c r="J77" s="60"/>
      <c r="K77" s="38">
        <v>93300</v>
      </c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-7000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-7000</v>
      </c>
      <c r="J81" s="60"/>
      <c r="K81" s="38">
        <v>173</v>
      </c>
      <c r="L81" s="60">
        <f t="shared" si="23"/>
        <v>0</v>
      </c>
      <c r="M81" s="38">
        <f t="shared" si="23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-1235034.469014775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-1235034.469014775</v>
      </c>
      <c r="J82" s="73">
        <f>J16+J24+J29+J36+J43+J45+J47+J49</f>
        <v>0</v>
      </c>
      <c r="K82" s="74">
        <f>SUM(K72:K81)+K16+K24+K29+K36+K43+K45+K47+K49+K51+K56+K61+K66</f>
        <v>983956</v>
      </c>
      <c r="L82" s="73">
        <f>L16+L24+L29+L36+L43+L45+L47+L49</f>
        <v>0</v>
      </c>
      <c r="M82" s="74">
        <f>SUM(M72:M81)+M16+M24+M29+M36+M43+M45+M47+M49+M51+M56+M61+M66</f>
        <v>-251078.46901477501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194</v>
      </c>
      <c r="B85" s="3"/>
      <c r="M85" s="45">
        <f>M82+'[3]TX-HPL-FLSH'!M82</f>
        <v>-197299.47890261014</v>
      </c>
    </row>
    <row r="86" spans="1:67" s="3" customFormat="1" x14ac:dyDescent="0.2">
      <c r="A86" s="181"/>
      <c r="C86" s="10" t="s">
        <v>189</v>
      </c>
      <c r="D86" s="168">
        <v>0</v>
      </c>
      <c r="E86" s="168">
        <v>114789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114789</v>
      </c>
      <c r="J86" s="168"/>
      <c r="K86" s="168"/>
      <c r="L86" s="168">
        <f t="shared" ref="L86:M88" si="27">H86+J86</f>
        <v>0</v>
      </c>
      <c r="M86" s="168">
        <f t="shared" si="27"/>
        <v>114789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-121518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-121518</v>
      </c>
      <c r="J88" s="170"/>
      <c r="K88" s="170"/>
      <c r="L88" s="170">
        <f t="shared" si="27"/>
        <v>0</v>
      </c>
      <c r="M88" s="170">
        <f t="shared" si="27"/>
        <v>-121518</v>
      </c>
    </row>
    <row r="89" spans="1:67" s="44" customFormat="1" ht="20.25" customHeight="1" x14ac:dyDescent="0.2">
      <c r="A89" s="190"/>
      <c r="B89" s="191"/>
      <c r="C89" s="192" t="s">
        <v>190</v>
      </c>
      <c r="D89" s="194">
        <f>SUM(D86:D88)</f>
        <v>0</v>
      </c>
      <c r="E89" s="194">
        <f t="shared" ref="E89:M89" si="28">SUM(E86:E88)</f>
        <v>-6729</v>
      </c>
      <c r="F89" s="194">
        <f t="shared" si="28"/>
        <v>0</v>
      </c>
      <c r="G89" s="194">
        <f t="shared" si="28"/>
        <v>0</v>
      </c>
      <c r="H89" s="194">
        <f t="shared" si="28"/>
        <v>0</v>
      </c>
      <c r="I89" s="194">
        <f t="shared" si="28"/>
        <v>-6729</v>
      </c>
      <c r="J89" s="194">
        <f t="shared" si="28"/>
        <v>0</v>
      </c>
      <c r="K89" s="194">
        <f t="shared" si="28"/>
        <v>0</v>
      </c>
      <c r="L89" s="194">
        <f t="shared" si="28"/>
        <v>0</v>
      </c>
      <c r="M89" s="194">
        <f t="shared" si="28"/>
        <v>-6729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4">
        <f>+D82+D89</f>
        <v>0</v>
      </c>
      <c r="E91" s="194">
        <f t="shared" ref="E91:M91" si="29">+E82+E89</f>
        <v>-1241763.469014775</v>
      </c>
      <c r="F91" s="194">
        <f t="shared" si="29"/>
        <v>0</v>
      </c>
      <c r="G91" s="194">
        <f t="shared" si="29"/>
        <v>0</v>
      </c>
      <c r="H91" s="194">
        <f t="shared" si="29"/>
        <v>0</v>
      </c>
      <c r="I91" s="194">
        <f t="shared" si="29"/>
        <v>-1241763.469014775</v>
      </c>
      <c r="J91" s="194">
        <f t="shared" si="29"/>
        <v>0</v>
      </c>
      <c r="K91" s="194">
        <f t="shared" si="29"/>
        <v>983956</v>
      </c>
      <c r="L91" s="194">
        <f t="shared" si="29"/>
        <v>0</v>
      </c>
      <c r="M91" s="194">
        <f t="shared" si="29"/>
        <v>-257807.46901477501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5" activePane="bottomRight" state="frozen"/>
      <selection activeCell="E14" sqref="E14"/>
      <selection pane="topRight" activeCell="E14" sqref="E14"/>
      <selection pane="bottomLeft" activeCell="E14" sqref="E14"/>
      <selection pane="bottomRight" activeCell="J14" sqref="J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30964203</v>
      </c>
      <c r="E11" s="60">
        <v>55398172</v>
      </c>
      <c r="F11" s="60">
        <f>H11-D11</f>
        <v>0</v>
      </c>
      <c r="G11" s="37">
        <f>I11-E11</f>
        <v>0</v>
      </c>
      <c r="H11" s="65">
        <f>D11</f>
        <v>30964203</v>
      </c>
      <c r="I11" s="66">
        <f>E11</f>
        <v>55398172</v>
      </c>
      <c r="J11" s="60"/>
      <c r="K11" s="38">
        <f>-53339-276309-22829</f>
        <v>-352477</v>
      </c>
      <c r="L11" s="60">
        <f t="shared" ref="L11:M15" si="0">H11+J11</f>
        <v>30964203</v>
      </c>
      <c r="M11" s="38">
        <f t="shared" si="0"/>
        <v>55045695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885997</v>
      </c>
      <c r="E13" s="60">
        <v>1488118</v>
      </c>
      <c r="F13" s="60">
        <f t="shared" si="1"/>
        <v>0</v>
      </c>
      <c r="G13" s="37">
        <f t="shared" si="1"/>
        <v>0</v>
      </c>
      <c r="H13" s="65">
        <f t="shared" si="2"/>
        <v>885997</v>
      </c>
      <c r="I13" s="66">
        <f t="shared" si="2"/>
        <v>1488118</v>
      </c>
      <c r="J13" s="60"/>
      <c r="K13" s="38"/>
      <c r="L13" s="60">
        <f t="shared" si="0"/>
        <v>885997</v>
      </c>
      <c r="M13" s="38">
        <f t="shared" si="0"/>
        <v>1488118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31850200</v>
      </c>
      <c r="E16" s="39">
        <v>57006290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31850200</v>
      </c>
      <c r="I16" s="39">
        <f>SUM(I11:I15)</f>
        <v>57006290</v>
      </c>
      <c r="J16" s="61">
        <f>SUM(J11:J15)</f>
        <v>0</v>
      </c>
      <c r="K16" s="39">
        <f>SUM(K11:K15)</f>
        <v>-352477</v>
      </c>
      <c r="L16" s="61">
        <f t="shared" si="3"/>
        <v>31850200</v>
      </c>
      <c r="M16" s="39">
        <f t="shared" si="3"/>
        <v>56653813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-14599039</v>
      </c>
      <c r="E19" s="60">
        <v>-25887807</v>
      </c>
      <c r="F19" s="60">
        <f>H19-D19</f>
        <v>0</v>
      </c>
      <c r="G19" s="37">
        <f>I19-E19</f>
        <v>0</v>
      </c>
      <c r="H19" s="65">
        <f t="shared" si="4"/>
        <v>-14599039</v>
      </c>
      <c r="I19" s="66">
        <f t="shared" si="4"/>
        <v>-25887807</v>
      </c>
      <c r="J19" s="60"/>
      <c r="K19" s="38"/>
      <c r="L19" s="60">
        <f t="shared" ref="L19:M23" si="5">H19+J19</f>
        <v>-14599039</v>
      </c>
      <c r="M19" s="38">
        <f t="shared" si="5"/>
        <v>-25887807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632740</v>
      </c>
      <c r="E21" s="60">
        <v>1233071</v>
      </c>
      <c r="F21" s="60">
        <f t="shared" si="6"/>
        <v>0</v>
      </c>
      <c r="G21" s="37">
        <f t="shared" si="6"/>
        <v>0</v>
      </c>
      <c r="H21" s="65">
        <f t="shared" si="4"/>
        <v>632740</v>
      </c>
      <c r="I21" s="66">
        <f t="shared" si="4"/>
        <v>1233071</v>
      </c>
      <c r="J21" s="60"/>
      <c r="K21" s="38"/>
      <c r="L21" s="60">
        <f t="shared" si="5"/>
        <v>632740</v>
      </c>
      <c r="M21" s="38">
        <f t="shared" si="5"/>
        <v>1233071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6742</v>
      </c>
      <c r="E23" s="60">
        <v>11742</v>
      </c>
      <c r="F23" s="60">
        <f t="shared" si="6"/>
        <v>0</v>
      </c>
      <c r="G23" s="37">
        <f t="shared" si="6"/>
        <v>0</v>
      </c>
      <c r="H23" s="65">
        <f t="shared" si="4"/>
        <v>6742</v>
      </c>
      <c r="I23" s="66">
        <f t="shared" si="4"/>
        <v>11742</v>
      </c>
      <c r="J23" s="60"/>
      <c r="K23" s="38"/>
      <c r="L23" s="60">
        <f t="shared" si="5"/>
        <v>6742</v>
      </c>
      <c r="M23" s="38">
        <f t="shared" si="5"/>
        <v>11742</v>
      </c>
    </row>
    <row r="24" spans="1:13" x14ac:dyDescent="0.2">
      <c r="A24" s="9"/>
      <c r="B24" s="7" t="s">
        <v>37</v>
      </c>
      <c r="C24" s="6"/>
      <c r="D24" s="61">
        <v>-13959557</v>
      </c>
      <c r="E24" s="39">
        <v>-24642994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-13959557</v>
      </c>
      <c r="I24" s="39">
        <f>SUM(I19:I23)</f>
        <v>-24642994</v>
      </c>
      <c r="J24" s="61">
        <f>SUM(J19:J23)</f>
        <v>0</v>
      </c>
      <c r="K24" s="39">
        <f>SUM(K19:K23)</f>
        <v>0</v>
      </c>
      <c r="L24" s="61">
        <f t="shared" si="7"/>
        <v>-13959557</v>
      </c>
      <c r="M24" s="39">
        <f t="shared" si="7"/>
        <v>-24642994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180699</v>
      </c>
      <c r="E27" s="60">
        <v>310538</v>
      </c>
      <c r="F27" s="60">
        <f>H27-D27</f>
        <v>0</v>
      </c>
      <c r="G27" s="37">
        <f>I27-E27</f>
        <v>0</v>
      </c>
      <c r="H27" s="65">
        <f>D27</f>
        <v>180699</v>
      </c>
      <c r="I27" s="66">
        <f>E27</f>
        <v>310538</v>
      </c>
      <c r="J27" s="60"/>
      <c r="K27" s="38"/>
      <c r="L27" s="60">
        <f>H27+J27</f>
        <v>180699</v>
      </c>
      <c r="M27" s="38">
        <f>I27+K27</f>
        <v>310538</v>
      </c>
    </row>
    <row r="28" spans="1:13" x14ac:dyDescent="0.2">
      <c r="A28" s="9">
        <v>12</v>
      </c>
      <c r="B28" s="7"/>
      <c r="C28" s="18" t="s">
        <v>40</v>
      </c>
      <c r="D28" s="60">
        <v>-1633510</v>
      </c>
      <c r="E28" s="60">
        <v>-2896543</v>
      </c>
      <c r="F28" s="60">
        <f>H28-D28</f>
        <v>0</v>
      </c>
      <c r="G28" s="37">
        <f>I28-E28</f>
        <v>0</v>
      </c>
      <c r="H28" s="65">
        <f>D28</f>
        <v>-1633510</v>
      </c>
      <c r="I28" s="66">
        <f>E28</f>
        <v>-2896543</v>
      </c>
      <c r="J28" s="60"/>
      <c r="K28" s="38"/>
      <c r="L28" s="60">
        <f>H28+J28</f>
        <v>-1633510</v>
      </c>
      <c r="M28" s="38">
        <f>I28+K28</f>
        <v>-2896543</v>
      </c>
    </row>
    <row r="29" spans="1:13" x14ac:dyDescent="0.2">
      <c r="A29" s="9"/>
      <c r="B29" s="7" t="s">
        <v>41</v>
      </c>
      <c r="C29" s="6"/>
      <c r="D29" s="61">
        <v>-1452811</v>
      </c>
      <c r="E29" s="39">
        <v>-2586005</v>
      </c>
      <c r="F29" s="61">
        <f t="shared" ref="F29:M29" si="8">SUM(F27:F28)</f>
        <v>0</v>
      </c>
      <c r="G29" s="39">
        <f t="shared" si="8"/>
        <v>0</v>
      </c>
      <c r="H29" s="61">
        <f>SUM(H27:H28)</f>
        <v>-1452811</v>
      </c>
      <c r="I29" s="39">
        <f>SUM(I27:I28)</f>
        <v>-2586005</v>
      </c>
      <c r="J29" s="61">
        <f>SUM(J27:J28)</f>
        <v>0</v>
      </c>
      <c r="K29" s="39">
        <f>SUM(K27:K28)</f>
        <v>0</v>
      </c>
      <c r="L29" s="61">
        <f t="shared" si="8"/>
        <v>-1452811</v>
      </c>
      <c r="M29" s="39">
        <f t="shared" si="8"/>
        <v>-2586005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-10940598</v>
      </c>
      <c r="E33" s="60">
        <v>-18773748.215697929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-10940598</v>
      </c>
      <c r="I33" s="66">
        <f t="shared" si="9"/>
        <v>-18773748.215697929</v>
      </c>
      <c r="J33" s="60"/>
      <c r="K33" s="38"/>
      <c r="L33" s="60">
        <f t="shared" si="10"/>
        <v>-10940598</v>
      </c>
      <c r="M33" s="38">
        <f t="shared" si="10"/>
        <v>-18773748.215697929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-10940598</v>
      </c>
      <c r="E36" s="39">
        <v>-18773748.215697929</v>
      </c>
      <c r="F36" s="61">
        <f>SUM(F32:F35)</f>
        <v>0</v>
      </c>
      <c r="G36" s="39">
        <f>SUM(G32:G35)</f>
        <v>0</v>
      </c>
      <c r="H36" s="61">
        <f>SUM(H32:H35)</f>
        <v>-10940598</v>
      </c>
      <c r="I36" s="39">
        <f>SUM(I32:I35)</f>
        <v>-18773748.215697929</v>
      </c>
      <c r="J36" s="61">
        <f>SUM(J32:J34)</f>
        <v>0</v>
      </c>
      <c r="K36" s="39">
        <f>SUM(K32:K34)</f>
        <v>0</v>
      </c>
      <c r="L36" s="61">
        <f>SUM(L32:L35)</f>
        <v>-10940598</v>
      </c>
      <c r="M36" s="39">
        <f>SUM(M32:M35)</f>
        <v>-18773748.215697929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-5497234</v>
      </c>
      <c r="E39" s="60">
        <v>-9782691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-5497234</v>
      </c>
      <c r="I39" s="66">
        <f t="shared" si="12"/>
        <v>-9782691</v>
      </c>
      <c r="J39" s="60"/>
      <c r="K39" s="38"/>
      <c r="L39" s="60">
        <f t="shared" ref="L39:M41" si="14">H39+J39</f>
        <v>-5497234</v>
      </c>
      <c r="M39" s="38">
        <f t="shared" si="14"/>
        <v>-9782691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-2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-2</v>
      </c>
      <c r="J40" s="60"/>
      <c r="K40" s="38"/>
      <c r="L40" s="60">
        <f t="shared" si="14"/>
        <v>0</v>
      </c>
      <c r="M40" s="38">
        <f t="shared" si="14"/>
        <v>-2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-2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-2</v>
      </c>
      <c r="J42" s="61">
        <f>SUM(J40:J41)</f>
        <v>0</v>
      </c>
      <c r="K42" s="39">
        <f>SUM(K40:K41)</f>
        <v>0</v>
      </c>
      <c r="L42" s="61">
        <f t="shared" si="15"/>
        <v>0</v>
      </c>
      <c r="M42" s="39">
        <f t="shared" si="15"/>
        <v>-2</v>
      </c>
    </row>
    <row r="43" spans="1:13" ht="21" customHeight="1" x14ac:dyDescent="0.2">
      <c r="A43" s="9"/>
      <c r="B43" s="7" t="s">
        <v>53</v>
      </c>
      <c r="C43" s="6"/>
      <c r="D43" s="61">
        <v>-5497234</v>
      </c>
      <c r="E43" s="39">
        <v>-9782693</v>
      </c>
      <c r="F43" s="61">
        <f t="shared" ref="F43:M43" si="16">F42+F39</f>
        <v>0</v>
      </c>
      <c r="G43" s="39">
        <f t="shared" si="16"/>
        <v>0</v>
      </c>
      <c r="H43" s="61">
        <f>H42+H39</f>
        <v>-5497234</v>
      </c>
      <c r="I43" s="39">
        <f>I42+I39</f>
        <v>-9782693</v>
      </c>
      <c r="J43" s="61">
        <f>J42+J39</f>
        <v>0</v>
      </c>
      <c r="K43" s="39">
        <f>K42+K39</f>
        <v>0</v>
      </c>
      <c r="L43" s="61">
        <f t="shared" si="16"/>
        <v>-5497234</v>
      </c>
      <c r="M43" s="39">
        <f t="shared" si="16"/>
        <v>-9782693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-912625-1834</f>
        <v>-914459</v>
      </c>
      <c r="L54" s="60">
        <f>H54+J54</f>
        <v>0</v>
      </c>
      <c r="M54" s="38">
        <f>I54+K54</f>
        <v>-914459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-914459</v>
      </c>
      <c r="L56" s="61">
        <f t="shared" si="17"/>
        <v>0</v>
      </c>
      <c r="M56" s="39">
        <f t="shared" si="17"/>
        <v>-914459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1245849.7843020707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1245849.7843020707</v>
      </c>
      <c r="J82" s="73">
        <f>J16+J24+J29+J36+J43+J45+J47+J49</f>
        <v>0</v>
      </c>
      <c r="K82" s="74">
        <f>SUM(K72:K81)+K16+K24+K29+K36+K43+K45+K47+K49+K51+K56+K61+K66</f>
        <v>-1266936</v>
      </c>
      <c r="L82" s="73">
        <f>L16+L24+L29+L36+L43+L45+L47+L49</f>
        <v>0</v>
      </c>
      <c r="M82" s="74">
        <f>SUM(M72:M81)+M16+M24+M29+M36+M43+M45+M47+M49+M51+M56+M61+M66</f>
        <v>-21086.215697929263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10815.315287295729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H63" activePane="bottomRight" state="frozen"/>
      <selection activeCell="E14" sqref="E14"/>
      <selection pane="topRight" activeCell="E14" sqref="E14"/>
      <selection pane="bottomLeft" activeCell="E14" sqref="E14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48063152</v>
      </c>
      <c r="E11" s="38">
        <f>'TX-EGM-FLSH'!E11+'TX-HPL-FLSH'!E11</f>
        <v>83880836</v>
      </c>
      <c r="F11" s="60">
        <f>H11-D11</f>
        <v>0</v>
      </c>
      <c r="G11" s="37">
        <f>I11-E11</f>
        <v>0</v>
      </c>
      <c r="H11" s="60">
        <f>'TX-EGM-FLSH'!H11+'TX-HPL-FLSH'!H11</f>
        <v>48063152</v>
      </c>
      <c r="I11" s="38">
        <f>'TX-EGM-FLSH'!I11+'TX-HPL-FLSH'!I11</f>
        <v>83880836</v>
      </c>
      <c r="J11" s="60">
        <f>'TX-EGM-FLSH'!J11+'TX-HPL-FLSH'!J11</f>
        <v>0</v>
      </c>
      <c r="K11" s="38">
        <f>'TX-EGM-FLSH'!K11+'TX-HPL-FLSH'!K11</f>
        <v>-279444</v>
      </c>
      <c r="L11" s="60">
        <f t="shared" ref="L11:M15" si="0">H11+J11</f>
        <v>48063152</v>
      </c>
      <c r="M11" s="38">
        <f t="shared" si="0"/>
        <v>83601392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5503413</v>
      </c>
      <c r="E13" s="38">
        <f>'TX-EGM-FLSH'!E13+'TX-HPL-FLSH'!E13</f>
        <v>9717449</v>
      </c>
      <c r="F13" s="60">
        <f t="shared" si="1"/>
        <v>0</v>
      </c>
      <c r="G13" s="37">
        <f t="shared" si="1"/>
        <v>0</v>
      </c>
      <c r="H13" s="60">
        <f>'TX-EGM-FLSH'!H13+'TX-HPL-FLSH'!H13</f>
        <v>5503413</v>
      </c>
      <c r="I13" s="38">
        <f>'TX-EGM-FLSH'!I13+'TX-HPL-FLSH'!I13</f>
        <v>9717449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5503413</v>
      </c>
      <c r="M13" s="38">
        <f t="shared" si="0"/>
        <v>9717449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53566565</v>
      </c>
      <c r="E16" s="39">
        <f t="shared" si="2"/>
        <v>93718285</v>
      </c>
      <c r="F16" s="61">
        <f t="shared" si="2"/>
        <v>0</v>
      </c>
      <c r="G16" s="39">
        <f t="shared" si="2"/>
        <v>0</v>
      </c>
      <c r="H16" s="61">
        <f t="shared" si="2"/>
        <v>53566565</v>
      </c>
      <c r="I16" s="39">
        <f t="shared" si="2"/>
        <v>93718285</v>
      </c>
      <c r="J16" s="61">
        <f t="shared" si="2"/>
        <v>0</v>
      </c>
      <c r="K16" s="39">
        <f t="shared" si="2"/>
        <v>-279444</v>
      </c>
      <c r="L16" s="61">
        <f t="shared" si="2"/>
        <v>53566565</v>
      </c>
      <c r="M16" s="39">
        <f t="shared" si="2"/>
        <v>93438841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-44005599</v>
      </c>
      <c r="E19" s="38">
        <f>'TX-EGM-FLSH'!E19+'TX-HPL-FLSH'!E19</f>
        <v>-76688957</v>
      </c>
      <c r="F19" s="60">
        <f>H19-D19</f>
        <v>0</v>
      </c>
      <c r="G19" s="37">
        <f>I19-E19</f>
        <v>0</v>
      </c>
      <c r="H19" s="60">
        <f>'TX-EGM-FLSH'!H19+'TX-HPL-FLSH'!H19</f>
        <v>-44005599</v>
      </c>
      <c r="I19" s="38">
        <f>'TX-EGM-FLSH'!I19+'TX-HPL-FLSH'!I19</f>
        <v>-76688957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-44005599</v>
      </c>
      <c r="M19" s="38">
        <f t="shared" si="3"/>
        <v>-76688957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-2764333</v>
      </c>
      <c r="E21" s="38">
        <f>'TX-EGM-FLSH'!E21+'TX-HPL-FLSH'!E21</f>
        <v>-4798807</v>
      </c>
      <c r="F21" s="60">
        <f t="shared" si="4"/>
        <v>0</v>
      </c>
      <c r="G21" s="37">
        <f t="shared" si="4"/>
        <v>0</v>
      </c>
      <c r="H21" s="60">
        <f>'TX-EGM-FLSH'!H21+'TX-HPL-FLSH'!H21</f>
        <v>-2764333</v>
      </c>
      <c r="I21" s="38">
        <f>'TX-EGM-FLSH'!I21+'TX-HPL-FLSH'!I21</f>
        <v>-4798807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-2764333</v>
      </c>
      <c r="M21" s="38">
        <f t="shared" si="3"/>
        <v>-4798807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6742</v>
      </c>
      <c r="E23" s="38">
        <f>'TX-EGM-FLSH'!E23+'TX-HPL-FLSH'!E23</f>
        <v>11742</v>
      </c>
      <c r="F23" s="60">
        <f t="shared" si="4"/>
        <v>0</v>
      </c>
      <c r="G23" s="37">
        <f t="shared" si="4"/>
        <v>0</v>
      </c>
      <c r="H23" s="60">
        <f>'TX-EGM-FLSH'!H23+'TX-HPL-FLSH'!H23</f>
        <v>6742</v>
      </c>
      <c r="I23" s="38">
        <f>'TX-EGM-FLSH'!I23+'TX-HPL-FLSH'!I23</f>
        <v>11742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6742</v>
      </c>
      <c r="M23" s="38">
        <f t="shared" si="3"/>
        <v>11742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-46763190</v>
      </c>
      <c r="E24" s="39">
        <f t="shared" si="5"/>
        <v>-81476022</v>
      </c>
      <c r="F24" s="61">
        <f t="shared" si="5"/>
        <v>0</v>
      </c>
      <c r="G24" s="39">
        <f t="shared" si="5"/>
        <v>0</v>
      </c>
      <c r="H24" s="61">
        <f t="shared" si="5"/>
        <v>-46763190</v>
      </c>
      <c r="I24" s="39">
        <f t="shared" si="5"/>
        <v>-81476022</v>
      </c>
      <c r="J24" s="61">
        <f t="shared" si="5"/>
        <v>0</v>
      </c>
      <c r="K24" s="39">
        <f t="shared" si="5"/>
        <v>0</v>
      </c>
      <c r="L24" s="61">
        <f t="shared" si="5"/>
        <v>-46763190</v>
      </c>
      <c r="M24" s="39">
        <f t="shared" si="5"/>
        <v>-81476022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34026976</v>
      </c>
      <c r="E27" s="38">
        <f>'TX-EGM-FLSH'!E27+'TX-HPL-FLSH'!E27</f>
        <v>62195394</v>
      </c>
      <c r="F27" s="60">
        <f>H27-D27</f>
        <v>0</v>
      </c>
      <c r="G27" s="37">
        <f>I27-E27</f>
        <v>0</v>
      </c>
      <c r="H27" s="60">
        <f>'TX-EGM-FLSH'!H27+'TX-HPL-FLSH'!H27</f>
        <v>34026976</v>
      </c>
      <c r="I27" s="38">
        <f>'TX-EGM-FLSH'!I27+'TX-HPL-FLSH'!I27</f>
        <v>62195394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34026976</v>
      </c>
      <c r="M27" s="38">
        <f>I27+K27</f>
        <v>62195394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-35431725</v>
      </c>
      <c r="E28" s="38">
        <f>'TX-EGM-FLSH'!E28+'TX-HPL-FLSH'!E28</f>
        <v>-64714076</v>
      </c>
      <c r="F28" s="60">
        <f>H28-D28</f>
        <v>0</v>
      </c>
      <c r="G28" s="37">
        <f>I28-E28</f>
        <v>0</v>
      </c>
      <c r="H28" s="60">
        <f>'TX-EGM-FLSH'!H28+'TX-HPL-FLSH'!H28</f>
        <v>-35431725</v>
      </c>
      <c r="I28" s="38">
        <f>'TX-EGM-FLSH'!I28+'TX-HPL-FLSH'!I28</f>
        <v>-64714076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-35431725</v>
      </c>
      <c r="M28" s="38">
        <f>I28+K28</f>
        <v>-64714076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-1404749</v>
      </c>
      <c r="E29" s="39">
        <f t="shared" si="6"/>
        <v>-2518682</v>
      </c>
      <c r="F29" s="61">
        <f t="shared" si="6"/>
        <v>0</v>
      </c>
      <c r="G29" s="39">
        <f t="shared" si="6"/>
        <v>0</v>
      </c>
      <c r="H29" s="61">
        <f t="shared" si="6"/>
        <v>-1404749</v>
      </c>
      <c r="I29" s="39">
        <f t="shared" si="6"/>
        <v>-2518682</v>
      </c>
      <c r="J29" s="61">
        <f t="shared" si="6"/>
        <v>0</v>
      </c>
      <c r="K29" s="39">
        <f t="shared" si="6"/>
        <v>0</v>
      </c>
      <c r="L29" s="61">
        <f t="shared" si="6"/>
        <v>-1404749</v>
      </c>
      <c r="M29" s="39">
        <f t="shared" si="6"/>
        <v>-2518682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1220057</v>
      </c>
      <c r="E33" s="38">
        <f>'TX-EGM-FLSH'!E33+'TX-HPL-FLSH'!E33</f>
        <v>2100663.3152872957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1220057</v>
      </c>
      <c r="I33" s="38">
        <f>'TX-EGM-FLSH'!I33+'TX-HPL-FLSH'!I33</f>
        <v>2100663.3152872957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1220057</v>
      </c>
      <c r="M33" s="38">
        <f t="shared" si="7"/>
        <v>2100663.3152872957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1220057</v>
      </c>
      <c r="E36" s="39">
        <f t="shared" si="9"/>
        <v>2100663.3152872957</v>
      </c>
      <c r="F36" s="61">
        <f t="shared" si="9"/>
        <v>0</v>
      </c>
      <c r="G36" s="39">
        <f t="shared" si="9"/>
        <v>0</v>
      </c>
      <c r="H36" s="61">
        <f t="shared" si="9"/>
        <v>1220057</v>
      </c>
      <c r="I36" s="39">
        <f t="shared" si="9"/>
        <v>2100663.3152872957</v>
      </c>
      <c r="J36" s="61">
        <f>SUM(J32:J34)</f>
        <v>0</v>
      </c>
      <c r="K36" s="39">
        <f>SUM(K32:K34)</f>
        <v>0</v>
      </c>
      <c r="L36" s="61">
        <f>SUM(L32:L35)</f>
        <v>1220057</v>
      </c>
      <c r="M36" s="39">
        <f>SUM(M32:M35)</f>
        <v>2100663.3152872957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1121449</v>
      </c>
      <c r="E39" s="38">
        <f>'TX-EGM-FLSH'!E39+'TX-HPL-FLSH'!E39</f>
        <v>1995819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1121449</v>
      </c>
      <c r="I39" s="38">
        <f>'TX-EGM-FLSH'!I39+'TX-HPL-FLSH'!I39</f>
        <v>1995819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1121449</v>
      </c>
      <c r="M39" s="38">
        <f t="shared" si="11"/>
        <v>1995819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-7740132</v>
      </c>
      <c r="E40" s="38">
        <f>'TX-EGM-FLSH'!E40+'TX-HPL-FLSH'!E40</f>
        <v>-13774331</v>
      </c>
      <c r="F40" s="60">
        <f t="shared" si="10"/>
        <v>0</v>
      </c>
      <c r="G40" s="37">
        <f t="shared" si="10"/>
        <v>0</v>
      </c>
      <c r="H40" s="60">
        <f>'TX-EGM-FLSH'!H40+'TX-HPL-FLSH'!H40</f>
        <v>-7740132</v>
      </c>
      <c r="I40" s="38">
        <f>'TX-EGM-FLSH'!I40+'TX-HPL-FLSH'!I40</f>
        <v>-13774331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-7740132</v>
      </c>
      <c r="M40" s="38">
        <f t="shared" si="11"/>
        <v>-13774331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-7740132</v>
      </c>
      <c r="E42" s="39">
        <f t="shared" si="12"/>
        <v>-13774331</v>
      </c>
      <c r="F42" s="61">
        <f t="shared" si="12"/>
        <v>0</v>
      </c>
      <c r="G42" s="39">
        <f t="shared" si="12"/>
        <v>0</v>
      </c>
      <c r="H42" s="61">
        <f t="shared" si="12"/>
        <v>-7740132</v>
      </c>
      <c r="I42" s="39">
        <f t="shared" si="12"/>
        <v>-13774331</v>
      </c>
      <c r="J42" s="61">
        <f t="shared" si="12"/>
        <v>0</v>
      </c>
      <c r="K42" s="39">
        <f t="shared" si="12"/>
        <v>0</v>
      </c>
      <c r="L42" s="61">
        <f t="shared" si="12"/>
        <v>-7740132</v>
      </c>
      <c r="M42" s="39">
        <f t="shared" si="12"/>
        <v>-13774331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-6618683</v>
      </c>
      <c r="E43" s="39">
        <f t="shared" si="13"/>
        <v>-11778512</v>
      </c>
      <c r="F43" s="61">
        <f t="shared" si="13"/>
        <v>0</v>
      </c>
      <c r="G43" s="39">
        <f t="shared" si="13"/>
        <v>0</v>
      </c>
      <c r="H43" s="61">
        <f t="shared" si="13"/>
        <v>-6618683</v>
      </c>
      <c r="I43" s="39">
        <f t="shared" si="13"/>
        <v>-11778512</v>
      </c>
      <c r="J43" s="61">
        <f t="shared" si="13"/>
        <v>0</v>
      </c>
      <c r="K43" s="39">
        <f t="shared" si="13"/>
        <v>0</v>
      </c>
      <c r="L43" s="61">
        <f t="shared" si="13"/>
        <v>-6618683</v>
      </c>
      <c r="M43" s="39">
        <f t="shared" si="13"/>
        <v>-11778512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-14560</v>
      </c>
      <c r="L51" s="60">
        <f>H51+J51</f>
        <v>0</v>
      </c>
      <c r="M51" s="38">
        <f>I51+K51</f>
        <v>-14560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-1083457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-1083457</v>
      </c>
      <c r="J54" s="60">
        <f>'TX-EGM-FLSH'!J54+'TX-HPL-FLSH'!J54</f>
        <v>0</v>
      </c>
      <c r="K54" s="38">
        <f>'TX-EGM-FLSH'!K54+'TX-HPL-FLSH'!K54</f>
        <v>16496</v>
      </c>
      <c r="L54" s="60">
        <f>H54+J54</f>
        <v>0</v>
      </c>
      <c r="M54" s="38">
        <f>I54+K54</f>
        <v>-1066961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-62000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-62000</v>
      </c>
      <c r="J55" s="60">
        <f>'TX-EGM-FLSH'!J55+'TX-HPL-FLSH'!J55</f>
        <v>0</v>
      </c>
      <c r="K55" s="38">
        <f>'TX-EGM-FLSH'!K55+'TX-HPL-FLSH'!K55</f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-1145457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-1145457</v>
      </c>
      <c r="J56" s="61">
        <f t="shared" si="14"/>
        <v>0</v>
      </c>
      <c r="K56" s="39">
        <f t="shared" si="14"/>
        <v>-76804</v>
      </c>
      <c r="L56" s="61">
        <f t="shared" si="14"/>
        <v>0</v>
      </c>
      <c r="M56" s="39">
        <f t="shared" si="14"/>
        <v>-1222261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278126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278126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278126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1825706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1825706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1825706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2103832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2103832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2103832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-975946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-975946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-975946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86397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86397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86397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-3443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-3443</v>
      </c>
      <c r="J76" s="60">
        <f>'TX-EGM-FLSH'!J76+'TX-HPL-FLSH'!J76</f>
        <v>0</v>
      </c>
      <c r="K76" s="38">
        <f>'TX-EGM-FLSH'!K76+'TX-HPL-FLSH'!K76</f>
        <v>-5645</v>
      </c>
      <c r="L76" s="60">
        <f t="shared" si="18"/>
        <v>0</v>
      </c>
      <c r="M76" s="38">
        <f t="shared" si="18"/>
        <v>-9088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-93300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-93300</v>
      </c>
      <c r="J77" s="60">
        <f>'TX-EGM-FLSH'!J77+'TX-HPL-FLSH'!J77</f>
        <v>0</v>
      </c>
      <c r="K77" s="38">
        <f>'TX-EGM-FLSH'!K77+'TX-HPL-FLSH'!K77</f>
        <v>93300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-7000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-7000</v>
      </c>
      <c r="J81" s="60">
        <f>'TX-EGM-FLSH'!J81+'TX-HPL-FLSH'!J81</f>
        <v>0</v>
      </c>
      <c r="K81" s="38">
        <f>'TX-EGM-FLSH'!K81+'TX-HPL-FLSH'!K81</f>
        <v>173</v>
      </c>
      <c r="L81" s="60">
        <f t="shared" si="18"/>
        <v>0</v>
      </c>
      <c r="M81" s="38">
        <f t="shared" si="18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10815.315287295729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10815.315287295729</v>
      </c>
      <c r="J82" s="73">
        <f>J16+J24+J29+J36+J43+J45+J47+J49</f>
        <v>0</v>
      </c>
      <c r="K82" s="74">
        <f>SUM(K72:K81)+K16+K24+K29+K36+K43+K45+K47+K49+K51+K56+K61+K66</f>
        <v>-282980</v>
      </c>
      <c r="L82" s="73">
        <f>L16+L24+L29+L36+L43+L45+L47+L49</f>
        <v>0</v>
      </c>
      <c r="M82" s="74">
        <f>SUM(M72:M81)+M16+M24+M29+M36+M43+M45+M47+M49+M51+M56+M61+M66</f>
        <v>-272164.68471270427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+'TX-HPL-FLSH'!E82+'TX-EGM-FLSH'!E82</f>
        <v>10815.315287295729</v>
      </c>
    </row>
    <row r="86" spans="1:67" x14ac:dyDescent="0.2">
      <c r="A86" s="4"/>
      <c r="B86" s="3"/>
      <c r="L86" s="45">
        <f>M82-2887465</f>
        <v>-3159629.6847127043</v>
      </c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6" sqref="D1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19766941</v>
      </c>
      <c r="E11" s="65">
        <v>37756664</v>
      </c>
      <c r="F11" s="60">
        <f>H11-D11</f>
        <v>0</v>
      </c>
      <c r="G11" s="37">
        <f>I11-E11</f>
        <v>0</v>
      </c>
      <c r="H11" s="65">
        <f>D11</f>
        <v>19766941</v>
      </c>
      <c r="I11" s="66">
        <f>E11</f>
        <v>37756664</v>
      </c>
      <c r="J11" s="60"/>
      <c r="K11" s="38"/>
      <c r="L11" s="60">
        <f t="shared" ref="L11:M15" si="0">H11+J11</f>
        <v>19766941</v>
      </c>
      <c r="M11" s="38">
        <f t="shared" si="0"/>
        <v>37756664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14254931</v>
      </c>
      <c r="E13" s="65">
        <v>26063190</v>
      </c>
      <c r="F13" s="60">
        <f t="shared" si="1"/>
        <v>0</v>
      </c>
      <c r="G13" s="37">
        <f t="shared" si="1"/>
        <v>0</v>
      </c>
      <c r="H13" s="65">
        <f t="shared" si="2"/>
        <v>14254931</v>
      </c>
      <c r="I13" s="66">
        <f t="shared" si="2"/>
        <v>26063190</v>
      </c>
      <c r="J13" s="60"/>
      <c r="K13" s="38"/>
      <c r="L13" s="60">
        <f t="shared" si="0"/>
        <v>14254931</v>
      </c>
      <c r="M13" s="38">
        <f t="shared" si="0"/>
        <v>26063190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34021872</v>
      </c>
      <c r="E16" s="39">
        <v>63819854</v>
      </c>
      <c r="F16" s="61">
        <f t="shared" ref="F16:M16" si="3">SUM(F11:F15)</f>
        <v>0</v>
      </c>
      <c r="G16" s="39">
        <f t="shared" si="3"/>
        <v>0</v>
      </c>
      <c r="H16" s="61">
        <f>SUM(H11:H15)</f>
        <v>34021872</v>
      </c>
      <c r="I16" s="39">
        <f>SUM(I11:I15)</f>
        <v>63819854</v>
      </c>
      <c r="J16" s="61">
        <f t="shared" si="3"/>
        <v>0</v>
      </c>
      <c r="K16" s="39">
        <f t="shared" si="3"/>
        <v>0</v>
      </c>
      <c r="L16" s="61">
        <f t="shared" si="3"/>
        <v>34021872</v>
      </c>
      <c r="M16" s="39">
        <f t="shared" si="3"/>
        <v>63819854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-17073962</v>
      </c>
      <c r="E19" s="65">
        <v>-30540863</v>
      </c>
      <c r="F19" s="60">
        <f>H19-D19</f>
        <v>0</v>
      </c>
      <c r="G19" s="37">
        <f>I19-E19</f>
        <v>0</v>
      </c>
      <c r="H19" s="65">
        <f t="shared" si="4"/>
        <v>-17073962</v>
      </c>
      <c r="I19" s="66">
        <f t="shared" si="4"/>
        <v>-30540863</v>
      </c>
      <c r="J19" s="60"/>
      <c r="K19" s="38"/>
      <c r="L19" s="60">
        <f t="shared" ref="L19:M23" si="5">H19+J19</f>
        <v>-17073962</v>
      </c>
      <c r="M19" s="38">
        <f t="shared" si="5"/>
        <v>-30540863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-17161515</v>
      </c>
      <c r="E21" s="65">
        <v>-32130997</v>
      </c>
      <c r="F21" s="60">
        <f t="shared" si="6"/>
        <v>0</v>
      </c>
      <c r="G21" s="37">
        <f t="shared" si="6"/>
        <v>0</v>
      </c>
      <c r="H21" s="65">
        <f t="shared" si="4"/>
        <v>-17161515</v>
      </c>
      <c r="I21" s="66">
        <f t="shared" si="4"/>
        <v>-32130997</v>
      </c>
      <c r="J21" s="60"/>
      <c r="K21" s="38"/>
      <c r="L21" s="60">
        <f t="shared" si="5"/>
        <v>-17161515</v>
      </c>
      <c r="M21" s="38">
        <f t="shared" si="5"/>
        <v>-32130997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282518</v>
      </c>
      <c r="E23" s="65">
        <v>486431</v>
      </c>
      <c r="F23" s="60">
        <f t="shared" si="6"/>
        <v>0</v>
      </c>
      <c r="G23" s="37">
        <f t="shared" si="6"/>
        <v>0</v>
      </c>
      <c r="H23" s="65">
        <f t="shared" si="4"/>
        <v>282518</v>
      </c>
      <c r="I23" s="66">
        <f t="shared" si="4"/>
        <v>486431</v>
      </c>
      <c r="J23" s="60"/>
      <c r="K23" s="38"/>
      <c r="L23" s="60">
        <f t="shared" si="5"/>
        <v>282518</v>
      </c>
      <c r="M23" s="38">
        <f t="shared" si="5"/>
        <v>486431</v>
      </c>
    </row>
    <row r="24" spans="1:13" x14ac:dyDescent="0.2">
      <c r="A24" s="9"/>
      <c r="B24" s="7" t="s">
        <v>37</v>
      </c>
      <c r="C24" s="6"/>
      <c r="D24" s="61">
        <v>-33952959</v>
      </c>
      <c r="E24" s="39">
        <v>-62185429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-33952959</v>
      </c>
      <c r="I24" s="39">
        <f>SUM(I19:I23)</f>
        <v>-62185429</v>
      </c>
      <c r="J24" s="61">
        <f t="shared" si="7"/>
        <v>0</v>
      </c>
      <c r="K24" s="39">
        <f t="shared" si="7"/>
        <v>0</v>
      </c>
      <c r="L24" s="61">
        <f t="shared" si="7"/>
        <v>-33952959</v>
      </c>
      <c r="M24" s="39">
        <f t="shared" si="7"/>
        <v>-62185429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1557</v>
      </c>
      <c r="E32" s="65">
        <v>2708</v>
      </c>
      <c r="F32" s="60">
        <f>H32-D32</f>
        <v>0</v>
      </c>
      <c r="G32" s="37">
        <f>I32-E32</f>
        <v>0</v>
      </c>
      <c r="H32" s="65">
        <f t="shared" ref="H32:I35" si="9">D32</f>
        <v>1557</v>
      </c>
      <c r="I32" s="66">
        <f t="shared" si="9"/>
        <v>2708</v>
      </c>
      <c r="J32" s="60"/>
      <c r="K32" s="38"/>
      <c r="L32" s="60">
        <f t="shared" ref="L32:M35" si="10">H32+J32</f>
        <v>1557</v>
      </c>
      <c r="M32" s="38">
        <f t="shared" si="10"/>
        <v>2708</v>
      </c>
    </row>
    <row r="33" spans="1:13" x14ac:dyDescent="0.2">
      <c r="A33" s="9">
        <v>14</v>
      </c>
      <c r="B33" s="7"/>
      <c r="C33" s="18" t="s">
        <v>44</v>
      </c>
      <c r="D33" s="65">
        <v>-21287</v>
      </c>
      <c r="E33" s="65">
        <v>-34838.018990062155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-21287</v>
      </c>
      <c r="I33" s="66">
        <f t="shared" si="9"/>
        <v>-34838.018990062155</v>
      </c>
      <c r="J33" s="60"/>
      <c r="K33" s="38"/>
      <c r="L33" s="60">
        <f t="shared" si="10"/>
        <v>-21287</v>
      </c>
      <c r="M33" s="38">
        <f t="shared" si="10"/>
        <v>-34838.018990062155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-19730</v>
      </c>
      <c r="E36" s="39">
        <v>-32130.018990062155</v>
      </c>
      <c r="F36" s="61">
        <f>SUM(F32:F35)</f>
        <v>0</v>
      </c>
      <c r="G36" s="39">
        <f>SUM(G32:G35)</f>
        <v>0</v>
      </c>
      <c r="H36" s="61">
        <f>SUM(H32:H35)</f>
        <v>-19730</v>
      </c>
      <c r="I36" s="39">
        <f>SUM(I32:I35)</f>
        <v>-32130.018990062155</v>
      </c>
      <c r="J36" s="61">
        <f>SUM(J32:J34)</f>
        <v>0</v>
      </c>
      <c r="K36" s="39">
        <f>SUM(K32:K34)</f>
        <v>0</v>
      </c>
      <c r="L36" s="61">
        <f>SUM(L32:L35)</f>
        <v>-19730</v>
      </c>
      <c r="M36" s="39">
        <f>SUM(M32:M35)</f>
        <v>-32130.018990062155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40309</v>
      </c>
      <c r="E39" s="65">
        <v>63698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40309</v>
      </c>
      <c r="I39" s="66">
        <f t="shared" si="12"/>
        <v>63698</v>
      </c>
      <c r="J39" s="60"/>
      <c r="K39" s="38"/>
      <c r="L39" s="60">
        <f t="shared" ref="L39:M41" si="14">H39+J39</f>
        <v>40309</v>
      </c>
      <c r="M39" s="38">
        <f t="shared" si="14"/>
        <v>63698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-89492</v>
      </c>
      <c r="E40" s="65">
        <v>-155668</v>
      </c>
      <c r="F40" s="60">
        <f t="shared" si="13"/>
        <v>0</v>
      </c>
      <c r="G40" s="37">
        <f t="shared" si="13"/>
        <v>0</v>
      </c>
      <c r="H40" s="65">
        <f t="shared" si="12"/>
        <v>-89492</v>
      </c>
      <c r="I40" s="66">
        <f t="shared" si="12"/>
        <v>-155668</v>
      </c>
      <c r="J40" s="60"/>
      <c r="K40" s="38"/>
      <c r="L40" s="60">
        <f t="shared" si="14"/>
        <v>-89492</v>
      </c>
      <c r="M40" s="38">
        <f t="shared" si="14"/>
        <v>-155668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-89492</v>
      </c>
      <c r="E42" s="39">
        <v>-155668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-89492</v>
      </c>
      <c r="I42" s="39">
        <f>SUM(I40:I41)</f>
        <v>-155668</v>
      </c>
      <c r="J42" s="61">
        <f t="shared" si="15"/>
        <v>0</v>
      </c>
      <c r="K42" s="39">
        <f t="shared" si="15"/>
        <v>0</v>
      </c>
      <c r="L42" s="61">
        <f t="shared" si="15"/>
        <v>-89492</v>
      </c>
      <c r="M42" s="39">
        <f t="shared" si="15"/>
        <v>-155668</v>
      </c>
    </row>
    <row r="43" spans="1:13" ht="21" customHeight="1" x14ac:dyDescent="0.2">
      <c r="A43" s="9"/>
      <c r="B43" s="7" t="s">
        <v>53</v>
      </c>
      <c r="C43" s="6"/>
      <c r="D43" s="61">
        <v>-49183</v>
      </c>
      <c r="E43" s="39">
        <v>-91970</v>
      </c>
      <c r="F43" s="61">
        <f t="shared" ref="F43:M43" si="16">F42+F39</f>
        <v>0</v>
      </c>
      <c r="G43" s="39">
        <f t="shared" si="16"/>
        <v>0</v>
      </c>
      <c r="H43" s="61">
        <f>H42+H39</f>
        <v>-49183</v>
      </c>
      <c r="I43" s="39">
        <f>I42+I39</f>
        <v>-91970</v>
      </c>
      <c r="J43" s="61">
        <f t="shared" si="16"/>
        <v>0</v>
      </c>
      <c r="K43" s="39">
        <f t="shared" si="16"/>
        <v>0</v>
      </c>
      <c r="L43" s="61">
        <f t="shared" si="16"/>
        <v>-49183</v>
      </c>
      <c r="M43" s="39">
        <f t="shared" si="16"/>
        <v>-91970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-282518</v>
      </c>
      <c r="E51" s="65">
        <v>-486431</v>
      </c>
      <c r="F51" s="60">
        <f>H51-D51</f>
        <v>0</v>
      </c>
      <c r="G51" s="37">
        <f>I51-E51</f>
        <v>0</v>
      </c>
      <c r="H51" s="65">
        <f>D51</f>
        <v>-282518</v>
      </c>
      <c r="I51" s="66">
        <f>E51</f>
        <v>-486431</v>
      </c>
      <c r="J51" s="60"/>
      <c r="K51" s="38"/>
      <c r="L51" s="60">
        <f>H51+J51</f>
        <v>-282518</v>
      </c>
      <c r="M51" s="38">
        <f>I51+K51</f>
        <v>-486431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-289291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-289291</v>
      </c>
      <c r="J54" s="60"/>
      <c r="K54" s="38"/>
      <c r="L54" s="60">
        <f>H54+J54</f>
        <v>0</v>
      </c>
      <c r="M54" s="38">
        <f>I54+K54</f>
        <v>-289291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-2835684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-2835684</v>
      </c>
      <c r="J55" s="60"/>
      <c r="K55" s="38"/>
      <c r="L55" s="60">
        <f>H55+J55</f>
        <v>0</v>
      </c>
      <c r="M55" s="38">
        <f>I55+K55</f>
        <v>-2835684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-3124975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-3124975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-3124975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757450.83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757450.83</v>
      </c>
      <c r="J70" s="60"/>
      <c r="K70" s="38"/>
      <c r="L70" s="60">
        <f>H70+J70</f>
        <v>0</v>
      </c>
      <c r="M70" s="38">
        <f>I70+K70</f>
        <v>757450.83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-2616399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-2616399</v>
      </c>
      <c r="J71" s="60"/>
      <c r="K71" s="38"/>
      <c r="L71" s="60">
        <f>H71+J71</f>
        <v>0</v>
      </c>
      <c r="M71" s="38">
        <f>I71+K71</f>
        <v>-2616399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-1858948.17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-1858948.17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-1858948.17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2590143.2400000002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2590143.2400000002</v>
      </c>
      <c r="J74" s="60"/>
      <c r="K74" s="38"/>
      <c r="L74" s="60">
        <f t="shared" si="22"/>
        <v>0</v>
      </c>
      <c r="M74" s="38">
        <f t="shared" si="22"/>
        <v>2590143.2400000002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4105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4105</v>
      </c>
      <c r="J75" s="60"/>
      <c r="K75" s="38"/>
      <c r="L75" s="60">
        <f t="shared" si="22"/>
        <v>0</v>
      </c>
      <c r="M75" s="38">
        <f t="shared" si="22"/>
        <v>4105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-11114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-11114</v>
      </c>
      <c r="J76" s="60"/>
      <c r="K76" s="38"/>
      <c r="L76" s="60">
        <f t="shared" si="22"/>
        <v>0</v>
      </c>
      <c r="M76" s="38">
        <f t="shared" si="22"/>
        <v>-11114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1621506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1621506</v>
      </c>
      <c r="J79" s="60"/>
      <c r="K79" s="38"/>
      <c r="L79" s="60">
        <f t="shared" si="22"/>
        <v>0</v>
      </c>
      <c r="M79" s="38">
        <f t="shared" si="22"/>
        <v>1621506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-110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-110</v>
      </c>
      <c r="J81" s="60"/>
      <c r="K81" s="38"/>
      <c r="L81" s="60">
        <f t="shared" si="22"/>
        <v>0</v>
      </c>
      <c r="M81" s="38">
        <f t="shared" si="22"/>
        <v>-110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244501.05100993812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244501.05100993812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244501.05100993812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57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f>-5261832+8916155</f>
        <v>3654323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3654323</v>
      </c>
      <c r="J70" s="65"/>
      <c r="K70" s="38"/>
      <c r="L70" s="60">
        <f t="shared" si="21"/>
        <v>0</v>
      </c>
      <c r="M70" s="38">
        <f t="shared" si="21"/>
        <v>3654323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3654323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3654323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3654323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1540000+5261832-8916155</f>
        <v>-2114323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-2114323</v>
      </c>
      <c r="J81" s="60"/>
      <c r="K81" s="38"/>
      <c r="L81" s="60">
        <f t="shared" si="24"/>
        <v>0</v>
      </c>
      <c r="M81" s="38">
        <f t="shared" si="24"/>
        <v>-2114323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1540000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1540000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1540000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zoomScale="75" workbookViewId="0">
      <selection activeCell="E14" sqref="E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101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13" x14ac:dyDescent="0.2">
      <c r="A81" s="9">
        <v>40</v>
      </c>
      <c r="B81" s="3"/>
      <c r="C81" s="10" t="s">
        <v>82</v>
      </c>
      <c r="D81" s="60"/>
      <c r="E81" s="38">
        <v>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0</v>
      </c>
      <c r="J81" s="60"/>
      <c r="K81" s="38"/>
      <c r="L81" s="60">
        <f t="shared" si="24"/>
        <v>0</v>
      </c>
      <c r="M81" s="38">
        <f t="shared" si="24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/>
      <c r="B85" s="3"/>
      <c r="L85" s="45"/>
    </row>
    <row r="86" spans="1:13" x14ac:dyDescent="0.2">
      <c r="A86" s="4"/>
      <c r="B86" s="3"/>
    </row>
    <row r="87" spans="1:13" x14ac:dyDescent="0.2">
      <c r="A87" s="4"/>
      <c r="B87" s="3"/>
    </row>
    <row r="88" spans="1:13" x14ac:dyDescent="0.2">
      <c r="A88" s="4"/>
      <c r="B88" s="3"/>
    </row>
    <row r="89" spans="1:13" x14ac:dyDescent="0.2">
      <c r="A89" s="4"/>
      <c r="B89" s="3"/>
    </row>
    <row r="90" spans="1:13" x14ac:dyDescent="0.2">
      <c r="A90" s="4"/>
      <c r="B90" s="3"/>
    </row>
    <row r="91" spans="1:13" x14ac:dyDescent="0.2">
      <c r="A91" s="4"/>
      <c r="B91" s="3"/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topLeftCell="A62" zoomScale="75" workbookViewId="0">
      <selection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6206940</v>
      </c>
      <c r="E11" s="65">
        <v>6390500</v>
      </c>
      <c r="F11" s="60">
        <f>H11-D11</f>
        <v>0</v>
      </c>
      <c r="G11" s="37">
        <f>I11-E11</f>
        <v>0</v>
      </c>
      <c r="H11" s="65">
        <f>D11</f>
        <v>6206940</v>
      </c>
      <c r="I11" s="66">
        <f>E11</f>
        <v>6390500</v>
      </c>
      <c r="J11" s="60"/>
      <c r="K11" s="38"/>
      <c r="L11" s="60">
        <f t="shared" ref="L11:M15" si="0">H11+J11</f>
        <v>6206940</v>
      </c>
      <c r="M11" s="38">
        <f t="shared" si="0"/>
        <v>6390500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14078963</v>
      </c>
      <c r="E13" s="65">
        <v>31403869</v>
      </c>
      <c r="F13" s="60">
        <f t="shared" si="1"/>
        <v>0</v>
      </c>
      <c r="G13" s="37">
        <f t="shared" si="1"/>
        <v>0</v>
      </c>
      <c r="H13" s="65">
        <f t="shared" si="2"/>
        <v>14078963</v>
      </c>
      <c r="I13" s="66">
        <f t="shared" si="2"/>
        <v>31403869</v>
      </c>
      <c r="J13" s="60"/>
      <c r="K13" s="38"/>
      <c r="L13" s="60">
        <f t="shared" si="0"/>
        <v>14078963</v>
      </c>
      <c r="M13" s="38">
        <f t="shared" si="0"/>
        <v>31403869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20285903</v>
      </c>
      <c r="E16" s="39">
        <v>37794369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20285903</v>
      </c>
      <c r="I16" s="39">
        <f>SUM(I11:I15)</f>
        <v>37794369</v>
      </c>
      <c r="J16" s="61">
        <f t="shared" si="3"/>
        <v>0</v>
      </c>
      <c r="K16" s="39">
        <f t="shared" si="3"/>
        <v>0</v>
      </c>
      <c r="L16" s="61">
        <f t="shared" si="3"/>
        <v>20285903</v>
      </c>
      <c r="M16" s="39">
        <f t="shared" si="3"/>
        <v>37794369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-2548538</v>
      </c>
      <c r="E19" s="65">
        <v>-1384819</v>
      </c>
      <c r="F19" s="60">
        <f>H19-D19</f>
        <v>0</v>
      </c>
      <c r="G19" s="37">
        <f>I19-E19</f>
        <v>0</v>
      </c>
      <c r="H19" s="65">
        <f t="shared" si="4"/>
        <v>-2548538</v>
      </c>
      <c r="I19" s="66">
        <f t="shared" si="4"/>
        <v>-1384819</v>
      </c>
      <c r="J19" s="60"/>
      <c r="K19" s="38"/>
      <c r="L19" s="60">
        <f t="shared" ref="L19:M23" si="5">H19+J19</f>
        <v>-2548538</v>
      </c>
      <c r="M19" s="38">
        <f t="shared" si="5"/>
        <v>-1384819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-16482775</v>
      </c>
      <c r="E21" s="65">
        <v>-35464469</v>
      </c>
      <c r="F21" s="60">
        <f t="shared" si="6"/>
        <v>0</v>
      </c>
      <c r="G21" s="37">
        <f t="shared" si="6"/>
        <v>0</v>
      </c>
      <c r="H21" s="65">
        <f t="shared" si="4"/>
        <v>-16482775</v>
      </c>
      <c r="I21" s="66">
        <f t="shared" si="4"/>
        <v>-35464469</v>
      </c>
      <c r="J21" s="60"/>
      <c r="K21" s="38"/>
      <c r="L21" s="60">
        <f t="shared" si="5"/>
        <v>-16482775</v>
      </c>
      <c r="M21" s="38">
        <f t="shared" si="5"/>
        <v>-35464469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441422</v>
      </c>
      <c r="E23" s="65">
        <v>840680</v>
      </c>
      <c r="F23" s="60">
        <f t="shared" si="6"/>
        <v>0</v>
      </c>
      <c r="G23" s="37">
        <f t="shared" si="6"/>
        <v>0</v>
      </c>
      <c r="H23" s="65">
        <f t="shared" si="4"/>
        <v>441422</v>
      </c>
      <c r="I23" s="66">
        <f t="shared" si="4"/>
        <v>840680</v>
      </c>
      <c r="J23" s="60"/>
      <c r="K23" s="38"/>
      <c r="L23" s="60">
        <f t="shared" si="5"/>
        <v>441422</v>
      </c>
      <c r="M23" s="38">
        <f t="shared" si="5"/>
        <v>840680</v>
      </c>
    </row>
    <row r="24" spans="1:13" x14ac:dyDescent="0.2">
      <c r="A24" s="9"/>
      <c r="B24" s="7" t="s">
        <v>37</v>
      </c>
      <c r="C24" s="6"/>
      <c r="D24" s="61">
        <v>-18589891</v>
      </c>
      <c r="E24" s="39">
        <v>-36008608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-18589891</v>
      </c>
      <c r="I24" s="39">
        <f>SUM(I19:I23)</f>
        <v>-36008608</v>
      </c>
      <c r="J24" s="61">
        <f t="shared" si="7"/>
        <v>0</v>
      </c>
      <c r="K24" s="39">
        <f t="shared" si="7"/>
        <v>0</v>
      </c>
      <c r="L24" s="61">
        <f t="shared" si="7"/>
        <v>-18589891</v>
      </c>
      <c r="M24" s="39">
        <f t="shared" si="7"/>
        <v>-36008608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14496</v>
      </c>
      <c r="E32" s="65">
        <v>34030</v>
      </c>
      <c r="F32" s="60">
        <f>H32-D32</f>
        <v>0</v>
      </c>
      <c r="G32" s="37">
        <f>I32-E32</f>
        <v>0</v>
      </c>
      <c r="H32" s="65">
        <f t="shared" ref="H32:I35" si="9">D32</f>
        <v>14496</v>
      </c>
      <c r="I32" s="66">
        <f t="shared" si="9"/>
        <v>34030</v>
      </c>
      <c r="J32" s="60"/>
      <c r="K32" s="38"/>
      <c r="L32" s="60">
        <f t="shared" ref="L32:M35" si="10">H32+J32</f>
        <v>14496</v>
      </c>
      <c r="M32" s="38">
        <f t="shared" si="10"/>
        <v>34030</v>
      </c>
    </row>
    <row r="33" spans="1:13" x14ac:dyDescent="0.2">
      <c r="A33" s="9">
        <v>14</v>
      </c>
      <c r="B33" s="7"/>
      <c r="C33" s="18" t="s">
        <v>44</v>
      </c>
      <c r="D33" s="65">
        <v>-14697</v>
      </c>
      <c r="E33" s="65">
        <v>-33286</v>
      </c>
      <c r="F33" s="60">
        <f t="shared" ref="F33:G35" si="11">H33-D33</f>
        <v>0</v>
      </c>
      <c r="G33" s="37">
        <f t="shared" si="11"/>
        <v>0</v>
      </c>
      <c r="H33" s="65">
        <f t="shared" si="9"/>
        <v>-14697</v>
      </c>
      <c r="I33" s="66">
        <f t="shared" si="9"/>
        <v>-33286</v>
      </c>
      <c r="J33" s="60"/>
      <c r="K33" s="38"/>
      <c r="L33" s="60">
        <f t="shared" si="10"/>
        <v>-14697</v>
      </c>
      <c r="M33" s="38">
        <f t="shared" si="10"/>
        <v>-33286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-201</v>
      </c>
      <c r="E36" s="39">
        <v>744</v>
      </c>
      <c r="F36" s="61">
        <f>SUM(F32:F35)</f>
        <v>0</v>
      </c>
      <c r="G36" s="39">
        <f>SUM(G32:G35)</f>
        <v>0</v>
      </c>
      <c r="H36" s="61">
        <f>SUM(H32:H35)</f>
        <v>-201</v>
      </c>
      <c r="I36" s="39">
        <f>SUM(I32:I35)</f>
        <v>744</v>
      </c>
      <c r="J36" s="61">
        <f>SUM(J32:J34)</f>
        <v>0</v>
      </c>
      <c r="K36" s="39">
        <f>SUM(K32:K34)</f>
        <v>0</v>
      </c>
      <c r="L36" s="61">
        <f>SUM(L32:L35)</f>
        <v>-201</v>
      </c>
      <c r="M36" s="39">
        <f>SUM(M32:M35)</f>
        <v>744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29964</v>
      </c>
      <c r="E39" s="65">
        <v>58430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29964</v>
      </c>
      <c r="I39" s="66">
        <f t="shared" si="12"/>
        <v>58430</v>
      </c>
      <c r="J39" s="60"/>
      <c r="K39" s="38"/>
      <c r="L39" s="60">
        <f t="shared" ref="L39:M41" si="14">H39+J39</f>
        <v>29964</v>
      </c>
      <c r="M39" s="38">
        <f t="shared" si="14"/>
        <v>58430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-1725775</v>
      </c>
      <c r="E40" s="65">
        <v>-250341</v>
      </c>
      <c r="F40" s="60">
        <f t="shared" si="13"/>
        <v>0</v>
      </c>
      <c r="G40" s="37">
        <f t="shared" si="13"/>
        <v>0</v>
      </c>
      <c r="H40" s="65">
        <f t="shared" si="12"/>
        <v>-1725775</v>
      </c>
      <c r="I40" s="66">
        <f t="shared" si="12"/>
        <v>-250341</v>
      </c>
      <c r="J40" s="65"/>
      <c r="K40" s="38"/>
      <c r="L40" s="60">
        <f t="shared" si="14"/>
        <v>-1725775</v>
      </c>
      <c r="M40" s="38">
        <f t="shared" si="14"/>
        <v>-250341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-1725775</v>
      </c>
      <c r="E42" s="39">
        <v>-250341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-1725775</v>
      </c>
      <c r="I42" s="39">
        <f>SUM(I40:I41)</f>
        <v>-250341</v>
      </c>
      <c r="J42" s="69">
        <f t="shared" si="15"/>
        <v>0</v>
      </c>
      <c r="K42" s="39">
        <f t="shared" si="15"/>
        <v>0</v>
      </c>
      <c r="L42" s="69">
        <f t="shared" si="15"/>
        <v>-1725775</v>
      </c>
      <c r="M42" s="39">
        <f t="shared" si="15"/>
        <v>-250341</v>
      </c>
    </row>
    <row r="43" spans="1:13" ht="21" customHeight="1" x14ac:dyDescent="0.2">
      <c r="A43" s="9"/>
      <c r="B43" s="7" t="s">
        <v>53</v>
      </c>
      <c r="C43" s="6"/>
      <c r="D43" s="61">
        <v>-1695811</v>
      </c>
      <c r="E43" s="39">
        <v>-191911</v>
      </c>
      <c r="F43" s="61">
        <f t="shared" ref="F43:M43" si="16">F42+F39</f>
        <v>0</v>
      </c>
      <c r="G43" s="39">
        <f t="shared" si="16"/>
        <v>0</v>
      </c>
      <c r="H43" s="61">
        <f>H42+H39</f>
        <v>-1695811</v>
      </c>
      <c r="I43" s="39">
        <f>I42+I39</f>
        <v>-191911</v>
      </c>
      <c r="J43" s="61">
        <f t="shared" si="16"/>
        <v>0</v>
      </c>
      <c r="K43" s="39">
        <f t="shared" si="16"/>
        <v>0</v>
      </c>
      <c r="L43" s="61">
        <f t="shared" si="16"/>
        <v>-1695811</v>
      </c>
      <c r="M43" s="39">
        <f t="shared" si="16"/>
        <v>-191911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-441422</v>
      </c>
      <c r="E51" s="65">
        <v>-840680</v>
      </c>
      <c r="F51" s="60">
        <f>H51-D51</f>
        <v>0</v>
      </c>
      <c r="G51" s="37">
        <f>I51-E51</f>
        <v>0</v>
      </c>
      <c r="H51" s="65">
        <f>D51</f>
        <v>-441422</v>
      </c>
      <c r="I51" s="66">
        <f>E51</f>
        <v>-840680</v>
      </c>
      <c r="J51" s="60"/>
      <c r="K51" s="38"/>
      <c r="L51" s="60">
        <f>H51+J51</f>
        <v>-441422</v>
      </c>
      <c r="M51" s="38">
        <f>I51+K51</f>
        <v>-840680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-678671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-678671</v>
      </c>
      <c r="J54" s="60"/>
      <c r="K54" s="38"/>
      <c r="L54" s="60">
        <f>H54+J54</f>
        <v>0</v>
      </c>
      <c r="M54" s="38">
        <f>I54+K54</f>
        <v>-678671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-4020431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-4020431</v>
      </c>
      <c r="J55" s="60"/>
      <c r="K55" s="38"/>
      <c r="L55" s="60">
        <f>H55+J55</f>
        <v>0</v>
      </c>
      <c r="M55" s="38">
        <f>I55+K55</f>
        <v>-4020431</v>
      </c>
    </row>
    <row r="56" spans="1:15" x14ac:dyDescent="0.2">
      <c r="A56" s="9"/>
      <c r="B56" s="7" t="s">
        <v>61</v>
      </c>
      <c r="C56" s="6"/>
      <c r="D56" s="61">
        <v>0</v>
      </c>
      <c r="E56" s="39">
        <v>-4699102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-4699102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-4699102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-154392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-154392</v>
      </c>
      <c r="J70" s="65"/>
      <c r="K70" s="38"/>
      <c r="L70" s="60">
        <f t="shared" si="20"/>
        <v>0</v>
      </c>
      <c r="M70" s="38">
        <f t="shared" si="20"/>
        <v>-154392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-154392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-154392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-154392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4020431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4020431</v>
      </c>
      <c r="J79" s="60"/>
      <c r="K79" s="38"/>
      <c r="L79" s="60">
        <f t="shared" si="23"/>
        <v>0</v>
      </c>
      <c r="M79" s="38">
        <f t="shared" si="23"/>
        <v>4020431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27532</v>
      </c>
      <c r="J81" s="60"/>
      <c r="K81" s="38"/>
      <c r="L81" s="60">
        <f t="shared" si="23"/>
        <v>0</v>
      </c>
      <c r="M81" s="38">
        <f t="shared" si="23"/>
        <v>27532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-51617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-51617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-51617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M187"/>
  <sheetViews>
    <sheetView zoomScale="75" workbookViewId="0">
      <pane xSplit="3" ySplit="9" topLeftCell="D53" activePane="bottomRight" state="frozen"/>
      <selection activeCell="AC629" sqref="AC629:AD629"/>
      <selection pane="topRight" activeCell="AC629" sqref="AC629:AD629"/>
      <selection pane="bottomLeft" activeCell="AC629" sqref="AC629:AD629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">
        <v>180</v>
      </c>
      <c r="I8" s="27"/>
      <c r="J8" s="26" t="s">
        <v>181</v>
      </c>
      <c r="K8" s="27"/>
      <c r="L8" s="26" t="s">
        <v>185</v>
      </c>
      <c r="M8" s="27"/>
      <c r="N8" s="26" t="s">
        <v>186</v>
      </c>
      <c r="O8" s="27"/>
      <c r="P8" s="26" t="s">
        <v>187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50485195</v>
      </c>
      <c r="E11" s="38">
        <f t="shared" si="0"/>
        <v>107967112.07000001</v>
      </c>
      <c r="F11" s="60">
        <f>'TIE-OUT'!F11+RECLASS!F11</f>
        <v>0</v>
      </c>
      <c r="G11" s="38">
        <f>'TIE-OUT'!G11+RECLASS!G11</f>
        <v>574371</v>
      </c>
      <c r="H11" s="133">
        <f>+Actuals!E124</f>
        <v>51039923</v>
      </c>
      <c r="I11" s="134">
        <f>+Actuals!F124</f>
        <v>113182970.06</v>
      </c>
      <c r="J11" s="133">
        <f>+Actuals!G124</f>
        <v>115277</v>
      </c>
      <c r="K11" s="134">
        <f>+Actuals!H124</f>
        <v>-5835133.5500000007</v>
      </c>
      <c r="L11" s="133">
        <f>+Actuals!I124</f>
        <v>-673744</v>
      </c>
      <c r="M11" s="134">
        <f>+Actuals!J124</f>
        <v>290957.93</v>
      </c>
      <c r="N11" s="133">
        <f>+Actuals!K124</f>
        <v>19805</v>
      </c>
      <c r="O11" s="134">
        <f>+Actuals!L124</f>
        <v>-113447.13</v>
      </c>
      <c r="P11" s="133">
        <f>+Actuals!M124</f>
        <v>0</v>
      </c>
      <c r="Q11" s="134">
        <f>+Actuals!N124</f>
        <v>160860</v>
      </c>
      <c r="R11" s="133">
        <f>+Actuals!O124</f>
        <v>-5672</v>
      </c>
      <c r="S11" s="134">
        <f>+Actuals!P124</f>
        <v>-8367.2000000000007</v>
      </c>
      <c r="T11" s="133">
        <f>+Actuals!Q124</f>
        <v>2946</v>
      </c>
      <c r="U11" s="134">
        <f>+Actuals!R124</f>
        <v>78452.600000000006</v>
      </c>
      <c r="V11" s="133">
        <f>+Actuals!S124</f>
        <v>0</v>
      </c>
      <c r="W11" s="134">
        <f>+Actuals!T124</f>
        <v>-261867.2</v>
      </c>
      <c r="X11" s="133">
        <f>+Actuals!U124</f>
        <v>-9114</v>
      </c>
      <c r="Y11" s="134">
        <f>+Actuals!V124</f>
        <v>-15842.25</v>
      </c>
      <c r="Z11" s="133">
        <f>+Actuals!W124</f>
        <v>-4226</v>
      </c>
      <c r="AA11" s="134">
        <f>+Actuals!X124</f>
        <v>-82500.39</v>
      </c>
      <c r="AB11" s="133">
        <f>+Actuals!Y124</f>
        <v>0</v>
      </c>
      <c r="AC11" s="134">
        <f>+Actuals!Z124</f>
        <v>0</v>
      </c>
      <c r="AD11" s="133">
        <f>+Actuals!AA124</f>
        <v>0</v>
      </c>
      <c r="AE11" s="134">
        <f>+Actuals!AB124</f>
        <v>0</v>
      </c>
      <c r="AF11" s="133">
        <f>+Actuals!AC164</f>
        <v>0</v>
      </c>
      <c r="AG11" s="134">
        <f>+Actuals!AD164</f>
        <v>-3341.8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  <c r="AL11" s="133">
        <f>+Actuals!AI164</f>
        <v>0</v>
      </c>
      <c r="AM11" s="134">
        <f>+Actuals!AJ164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-11949046.24</v>
      </c>
      <c r="F12" s="60">
        <f>'TIE-OUT'!F12+RECLASS!F12</f>
        <v>0</v>
      </c>
      <c r="G12" s="38">
        <f>'TIE-OUT'!G12+RECLASS!G12</f>
        <v>-11821558.24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+Actuals!H125-9688-117800</f>
        <v>-127488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+Actuals!AA125</f>
        <v>0</v>
      </c>
      <c r="AE12" s="134">
        <f>+Actuals!AB125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14484736</v>
      </c>
      <c r="E13" s="38">
        <f t="shared" si="0"/>
        <v>27371013</v>
      </c>
      <c r="F13" s="60">
        <f>'TIE-OUT'!F13+RECLASS!F13</f>
        <v>0</v>
      </c>
      <c r="G13" s="38">
        <f>'TIE-OUT'!G13+RECLASS!G13</f>
        <v>0</v>
      </c>
      <c r="H13" s="133">
        <f>+Actuals!E126</f>
        <v>14484736</v>
      </c>
      <c r="I13" s="134">
        <f>+Actuals!F126</f>
        <v>27371013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-147</v>
      </c>
      <c r="O13" s="134">
        <f>+Actuals!L126</f>
        <v>-212</v>
      </c>
      <c r="P13" s="133">
        <f>+Actuals!M126</f>
        <v>-15405</v>
      </c>
      <c r="Q13" s="134">
        <f>+Actuals!N126</f>
        <v>-24186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0</v>
      </c>
      <c r="Y13" s="134">
        <f>+Actuals!V126</f>
        <v>0</v>
      </c>
      <c r="Z13" s="133">
        <f>+Actuals!W126</f>
        <v>309066</v>
      </c>
      <c r="AA13" s="134">
        <f>+Actuals!X126</f>
        <v>532133</v>
      </c>
      <c r="AB13" s="133">
        <f>+Actuals!Y126</f>
        <v>309066</v>
      </c>
      <c r="AC13" s="134">
        <f>+Actuals!Z126</f>
        <v>532133</v>
      </c>
      <c r="AD13" s="133">
        <f>+Actuals!AA126</f>
        <v>-602580</v>
      </c>
      <c r="AE13" s="134">
        <f>+Actuals!AB126</f>
        <v>-1039868</v>
      </c>
      <c r="AF13" s="133">
        <f>+Actuals!AC166</f>
        <v>602580</v>
      </c>
      <c r="AG13" s="134">
        <f>+Actuals!AD166</f>
        <v>1039868</v>
      </c>
      <c r="AH13" s="133">
        <f>+Actuals!AE166</f>
        <v>0</v>
      </c>
      <c r="AI13" s="134">
        <f>+Actuals!AF166</f>
        <v>0</v>
      </c>
      <c r="AJ13" s="133">
        <f>+Actuals!AG166</f>
        <v>-602580</v>
      </c>
      <c r="AK13" s="134">
        <f>+Actuals!AH166</f>
        <v>-1039868</v>
      </c>
      <c r="AL13" s="133">
        <f>+Actuals!AI166</f>
        <v>0</v>
      </c>
      <c r="AM13" s="134">
        <f>+Actuals!AJ166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+Actuals!AA127</f>
        <v>0</v>
      </c>
      <c r="AE14" s="134">
        <f>+Actuals!AB127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-3381153.9299999997</v>
      </c>
      <c r="F15" s="81">
        <f>'TIE-OUT'!F15+RECLASS!F15</f>
        <v>0</v>
      </c>
      <c r="G15" s="82">
        <f>'TIE-OUT'!G15+RECLASS!G15</f>
        <v>-3380477.0999999996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-676.83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+Actuals!AA128</f>
        <v>0</v>
      </c>
      <c r="AE15" s="135">
        <f>+Actuals!AB128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  <c r="AL15" s="133">
        <f>+Actuals!AI168</f>
        <v>0</v>
      </c>
      <c r="AM15" s="134">
        <f>+Actuals!AJ168</f>
        <v>0</v>
      </c>
    </row>
    <row r="16" spans="1:39" x14ac:dyDescent="0.2">
      <c r="A16" s="9"/>
      <c r="B16" s="7" t="s">
        <v>34</v>
      </c>
      <c r="C16" s="6"/>
      <c r="D16" s="61">
        <f t="shared" ref="D16:I16" si="1">SUM(D11:D15)</f>
        <v>64969931</v>
      </c>
      <c r="E16" s="39">
        <f t="shared" si="1"/>
        <v>120007924.90000001</v>
      </c>
      <c r="F16" s="61">
        <f t="shared" si="1"/>
        <v>0</v>
      </c>
      <c r="G16" s="39">
        <f t="shared" si="1"/>
        <v>-14627664.34</v>
      </c>
      <c r="H16" s="61">
        <f t="shared" si="1"/>
        <v>65524659</v>
      </c>
      <c r="I16" s="82">
        <f t="shared" si="1"/>
        <v>140553983.06</v>
      </c>
      <c r="J16" s="61">
        <f t="shared" ref="J16:AG16" si="2">SUM(J11:J15)</f>
        <v>115277</v>
      </c>
      <c r="K16" s="82">
        <f t="shared" si="2"/>
        <v>-5963298.3800000008</v>
      </c>
      <c r="L16" s="61">
        <f t="shared" si="2"/>
        <v>-673744</v>
      </c>
      <c r="M16" s="82">
        <f t="shared" si="2"/>
        <v>290957.93</v>
      </c>
      <c r="N16" s="61">
        <f t="shared" si="2"/>
        <v>19658</v>
      </c>
      <c r="O16" s="82">
        <f t="shared" si="2"/>
        <v>-113659.13</v>
      </c>
      <c r="P16" s="61">
        <f t="shared" si="2"/>
        <v>-15405</v>
      </c>
      <c r="Q16" s="82">
        <f t="shared" si="2"/>
        <v>136674</v>
      </c>
      <c r="R16" s="61">
        <f t="shared" si="2"/>
        <v>-5672</v>
      </c>
      <c r="S16" s="82">
        <f t="shared" si="2"/>
        <v>-8367.2000000000007</v>
      </c>
      <c r="T16" s="61">
        <f t="shared" si="2"/>
        <v>2946</v>
      </c>
      <c r="U16" s="82">
        <f t="shared" si="2"/>
        <v>78452.600000000006</v>
      </c>
      <c r="V16" s="61">
        <f t="shared" si="2"/>
        <v>0</v>
      </c>
      <c r="W16" s="82">
        <f t="shared" si="2"/>
        <v>-261867.2</v>
      </c>
      <c r="X16" s="61">
        <f t="shared" si="2"/>
        <v>-9114</v>
      </c>
      <c r="Y16" s="82">
        <f t="shared" si="2"/>
        <v>-15842.25</v>
      </c>
      <c r="Z16" s="61">
        <f t="shared" si="2"/>
        <v>304840</v>
      </c>
      <c r="AA16" s="82">
        <f t="shared" si="2"/>
        <v>449632.61</v>
      </c>
      <c r="AB16" s="61">
        <f t="shared" si="2"/>
        <v>309066</v>
      </c>
      <c r="AC16" s="82">
        <f t="shared" si="2"/>
        <v>532133</v>
      </c>
      <c r="AD16" s="61">
        <f t="shared" si="2"/>
        <v>-602580</v>
      </c>
      <c r="AE16" s="82">
        <f t="shared" si="2"/>
        <v>-1039868</v>
      </c>
      <c r="AF16" s="61">
        <f t="shared" si="2"/>
        <v>602580</v>
      </c>
      <c r="AG16" s="39">
        <f t="shared" si="2"/>
        <v>1036526.2</v>
      </c>
      <c r="AH16" s="61">
        <f t="shared" ref="AH16:AM16" si="3">SUM(AH11:AH15)</f>
        <v>0</v>
      </c>
      <c r="AI16" s="39">
        <f t="shared" si="3"/>
        <v>0</v>
      </c>
      <c r="AJ16" s="61">
        <f t="shared" si="3"/>
        <v>-602580</v>
      </c>
      <c r="AK16" s="39">
        <f t="shared" si="3"/>
        <v>-1039868</v>
      </c>
      <c r="AL16" s="61">
        <f t="shared" si="3"/>
        <v>0</v>
      </c>
      <c r="AM16" s="39">
        <f t="shared" si="3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-49727878</v>
      </c>
      <c r="E19" s="38">
        <f t="shared" si="4"/>
        <v>-90522319.229999989</v>
      </c>
      <c r="F19" s="64">
        <f>'TIE-OUT'!F19+RECLASS!F19</f>
        <v>0</v>
      </c>
      <c r="G19" s="68">
        <f>'TIE-OUT'!G19+RECLASS!G19</f>
        <v>-14396</v>
      </c>
      <c r="H19" s="133">
        <f>+Actuals!E129</f>
        <v>-49478675</v>
      </c>
      <c r="I19" s="134">
        <f>+Actuals!F129</f>
        <v>-89885820.609999999</v>
      </c>
      <c r="J19" s="133">
        <f>+Actuals!G129</f>
        <v>-137089</v>
      </c>
      <c r="K19" s="134">
        <f>+Actuals!H129</f>
        <v>480518.53</v>
      </c>
      <c r="L19" s="133">
        <f>+Actuals!I129</f>
        <v>-149893</v>
      </c>
      <c r="M19" s="134">
        <f>+Actuals!J129</f>
        <v>-537860.97</v>
      </c>
      <c r="N19" s="133">
        <f>+Actuals!K129</f>
        <v>-890</v>
      </c>
      <c r="O19" s="134">
        <f>+Actuals!L129</f>
        <v>-586509.86</v>
      </c>
      <c r="P19" s="133">
        <f>+Actuals!M129</f>
        <v>0</v>
      </c>
      <c r="Q19" s="134">
        <f>+Actuals!N129</f>
        <v>1.51</v>
      </c>
      <c r="R19" s="133">
        <f>+Actuals!O129</f>
        <v>0</v>
      </c>
      <c r="S19" s="134">
        <f>+Actuals!P129</f>
        <v>0</v>
      </c>
      <c r="T19" s="133">
        <f>+Actuals!Q129</f>
        <v>736</v>
      </c>
      <c r="U19" s="134">
        <f>+Actuals!R129</f>
        <v>-151930.34</v>
      </c>
      <c r="V19" s="133">
        <f>+Actuals!S129</f>
        <v>11337</v>
      </c>
      <c r="W19" s="134">
        <f>+Actuals!T129</f>
        <v>11838.42</v>
      </c>
      <c r="X19" s="133">
        <f>+Actuals!U129</f>
        <v>0</v>
      </c>
      <c r="Y19" s="134">
        <f>+Actuals!V129</f>
        <v>151.62</v>
      </c>
      <c r="Z19" s="133">
        <f>+Actuals!W129</f>
        <v>26596</v>
      </c>
      <c r="AA19" s="134">
        <f>+Actuals!X129</f>
        <v>42561.39</v>
      </c>
      <c r="AB19" s="133">
        <f>+Actuals!Y129</f>
        <v>0</v>
      </c>
      <c r="AC19" s="134">
        <f>+Actuals!Z129</f>
        <v>0</v>
      </c>
      <c r="AD19" s="133">
        <f>+Actuals!AA129</f>
        <v>0</v>
      </c>
      <c r="AE19" s="134">
        <f>+Actuals!AB129</f>
        <v>0</v>
      </c>
      <c r="AF19" s="133">
        <f>+Actuals!AC169</f>
        <v>0</v>
      </c>
      <c r="AG19" s="134">
        <f>+Actuals!AD169</f>
        <v>119127.08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  <c r="AL19" s="133">
        <f>+Actuals!AI169</f>
        <v>0</v>
      </c>
      <c r="AM19" s="134">
        <f>+Actuals!AJ169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791038.4</v>
      </c>
      <c r="F20" s="60">
        <f>'TIE-OUT'!F20+RECLASS!F20</f>
        <v>0</v>
      </c>
      <c r="G20" s="38">
        <f>'TIE-OUT'!G20+RECLASS!G20</f>
        <v>791038.4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+Actuals!AA130</f>
        <v>0</v>
      </c>
      <c r="AE20" s="134">
        <f>+Actuals!AB130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-15409724</v>
      </c>
      <c r="E21" s="38">
        <f t="shared" si="4"/>
        <v>-29018019</v>
      </c>
      <c r="F21" s="60">
        <f>'TIE-OUT'!F21+RECLASS!F21</f>
        <v>0</v>
      </c>
      <c r="G21" s="38">
        <f>'TIE-OUT'!G21+RECLASS!G21</f>
        <v>0</v>
      </c>
      <c r="H21" s="133">
        <f>+Actuals!E131</f>
        <v>-15409724</v>
      </c>
      <c r="I21" s="134">
        <f>+Actuals!F131</f>
        <v>-29018019</v>
      </c>
      <c r="J21" s="133">
        <f>+Actuals!G131</f>
        <v>0</v>
      </c>
      <c r="K21" s="134">
        <f>+Actuals!H131</f>
        <v>0</v>
      </c>
      <c r="L21" s="133">
        <f>+Actuals!I131</f>
        <v>0</v>
      </c>
      <c r="M21" s="134">
        <f>+Actuals!J131</f>
        <v>0</v>
      </c>
      <c r="N21" s="133">
        <f>+Actuals!K131</f>
        <v>102983</v>
      </c>
      <c r="O21" s="134">
        <f>+Actuals!L131</f>
        <v>180248</v>
      </c>
      <c r="P21" s="133">
        <f>+Actuals!M131</f>
        <v>15405</v>
      </c>
      <c r="Q21" s="134">
        <f>+Actuals!N131</f>
        <v>-7721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0</v>
      </c>
      <c r="W21" s="134">
        <f>+Actuals!T131</f>
        <v>0</v>
      </c>
      <c r="X21" s="133">
        <f>+Actuals!U131</f>
        <v>0</v>
      </c>
      <c r="Y21" s="134">
        <f>+Actuals!V131</f>
        <v>0</v>
      </c>
      <c r="Z21" s="133">
        <f>+Actuals!W131</f>
        <v>-309066</v>
      </c>
      <c r="AA21" s="134">
        <f>+Actuals!X131</f>
        <v>-532133</v>
      </c>
      <c r="AB21" s="133">
        <f>+Actuals!Y131</f>
        <v>-309066</v>
      </c>
      <c r="AC21" s="134">
        <f>+Actuals!Z131</f>
        <v>-532133</v>
      </c>
      <c r="AD21" s="133">
        <f>+Actuals!AA131</f>
        <v>499744</v>
      </c>
      <c r="AE21" s="134">
        <f>+Actuals!AB131</f>
        <v>891739</v>
      </c>
      <c r="AF21" s="133">
        <f>+Actuals!AC171</f>
        <v>-499744</v>
      </c>
      <c r="AG21" s="134">
        <f>+Actuals!AD171</f>
        <v>-891739</v>
      </c>
      <c r="AH21" s="133">
        <f>+Actuals!AE171</f>
        <v>0</v>
      </c>
      <c r="AI21" s="134">
        <f>+Actuals!AF171</f>
        <v>0</v>
      </c>
      <c r="AJ21" s="133">
        <f>+Actuals!AG171</f>
        <v>499744</v>
      </c>
      <c r="AK21" s="134">
        <f>+Actuals!AH171</f>
        <v>891739</v>
      </c>
      <c r="AL21" s="133">
        <f>+Actuals!AI171</f>
        <v>0</v>
      </c>
      <c r="AM21" s="134">
        <f>+Actuals!AJ171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+Actuals!AA132</f>
        <v>0</v>
      </c>
      <c r="AE22" s="134">
        <f>+Actuals!AB132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211720</v>
      </c>
      <c r="E23" s="38">
        <f t="shared" si="4"/>
        <v>379825.68199999997</v>
      </c>
      <c r="F23" s="81">
        <f>'TIE-OUT'!F23+RECLASS!F23</f>
        <v>0</v>
      </c>
      <c r="G23" s="82">
        <f>'TIE-OUT'!G23+RECLASS!G23</f>
        <v>0</v>
      </c>
      <c r="H23" s="133">
        <f>+Actuals!E133</f>
        <v>344152</v>
      </c>
      <c r="I23" s="135">
        <f>+Actuals!F133</f>
        <v>617408.68999999994</v>
      </c>
      <c r="J23" s="133">
        <f>+Actuals!G133</f>
        <v>-139126</v>
      </c>
      <c r="K23" s="135">
        <f>+Actuals!H133</f>
        <v>-249592.04399999999</v>
      </c>
      <c r="L23" s="133">
        <f>+Actuals!I133</f>
        <v>-349</v>
      </c>
      <c r="M23" s="135">
        <f>+Actuals!J133</f>
        <v>-626.10599999999999</v>
      </c>
      <c r="N23" s="133">
        <f>+Actuals!K133</f>
        <v>5830</v>
      </c>
      <c r="O23" s="135">
        <f>+Actuals!L133</f>
        <v>10459.02</v>
      </c>
      <c r="P23" s="133">
        <f>+Actuals!M133</f>
        <v>0</v>
      </c>
      <c r="Q23" s="135">
        <f>+Actuals!N133</f>
        <v>0</v>
      </c>
      <c r="R23" s="133">
        <f>+Actuals!O133</f>
        <v>0</v>
      </c>
      <c r="S23" s="135">
        <f>+Actuals!P133</f>
        <v>0</v>
      </c>
      <c r="T23" s="133">
        <f>+Actuals!Q133</f>
        <v>-15</v>
      </c>
      <c r="U23" s="135">
        <f>+Actuals!R133</f>
        <v>-26.91</v>
      </c>
      <c r="V23" s="133">
        <f>+Actuals!S133</f>
        <v>0</v>
      </c>
      <c r="W23" s="135">
        <f>+Actuals!T133</f>
        <v>0</v>
      </c>
      <c r="X23" s="133">
        <f>+Actuals!U133</f>
        <v>1228</v>
      </c>
      <c r="Y23" s="135">
        <f>+Actuals!V133</f>
        <v>2203.0320000000002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+Actuals!AA133</f>
        <v>0</v>
      </c>
      <c r="AE23" s="135">
        <f>+Actuals!AB133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  <c r="AL23" s="133">
        <f>+Actuals!AI173</f>
        <v>0</v>
      </c>
      <c r="AM23" s="134">
        <f>+Actuals!AJ173</f>
        <v>0</v>
      </c>
    </row>
    <row r="24" spans="1:39" x14ac:dyDescent="0.2">
      <c r="A24" s="9"/>
      <c r="B24" s="7" t="s">
        <v>37</v>
      </c>
      <c r="C24" s="6"/>
      <c r="D24" s="61">
        <f t="shared" ref="D24:I24" si="5">SUM(D19:D23)</f>
        <v>-64925882</v>
      </c>
      <c r="E24" s="39">
        <f t="shared" si="5"/>
        <v>-118369474.14799999</v>
      </c>
      <c r="F24" s="61">
        <f t="shared" si="5"/>
        <v>0</v>
      </c>
      <c r="G24" s="39">
        <f t="shared" si="5"/>
        <v>776642.4</v>
      </c>
      <c r="H24" s="61">
        <f t="shared" si="5"/>
        <v>-64544247</v>
      </c>
      <c r="I24" s="39">
        <f t="shared" si="5"/>
        <v>-118286430.92</v>
      </c>
      <c r="J24" s="61">
        <f t="shared" ref="J24:AG24" si="6">SUM(J19:J23)</f>
        <v>-276215</v>
      </c>
      <c r="K24" s="39">
        <f t="shared" si="6"/>
        <v>230926.48600000003</v>
      </c>
      <c r="L24" s="61">
        <f t="shared" si="6"/>
        <v>-150242</v>
      </c>
      <c r="M24" s="39">
        <f t="shared" si="6"/>
        <v>-538487.076</v>
      </c>
      <c r="N24" s="61">
        <f t="shared" si="6"/>
        <v>107923</v>
      </c>
      <c r="O24" s="39">
        <f t="shared" si="6"/>
        <v>-395802.83999999997</v>
      </c>
      <c r="P24" s="61">
        <f t="shared" si="6"/>
        <v>15405</v>
      </c>
      <c r="Q24" s="39">
        <f t="shared" si="6"/>
        <v>-7719.49</v>
      </c>
      <c r="R24" s="61">
        <f t="shared" si="6"/>
        <v>0</v>
      </c>
      <c r="S24" s="39">
        <f t="shared" si="6"/>
        <v>0</v>
      </c>
      <c r="T24" s="61">
        <f t="shared" si="6"/>
        <v>721</v>
      </c>
      <c r="U24" s="39">
        <f t="shared" si="6"/>
        <v>-151957.25</v>
      </c>
      <c r="V24" s="61">
        <f t="shared" si="6"/>
        <v>11337</v>
      </c>
      <c r="W24" s="39">
        <f t="shared" si="6"/>
        <v>11838.42</v>
      </c>
      <c r="X24" s="61">
        <f t="shared" si="6"/>
        <v>1228</v>
      </c>
      <c r="Y24" s="39">
        <f t="shared" si="6"/>
        <v>2354.652</v>
      </c>
      <c r="Z24" s="61">
        <f t="shared" si="6"/>
        <v>-282470</v>
      </c>
      <c r="AA24" s="39">
        <f t="shared" si="6"/>
        <v>-489571.61</v>
      </c>
      <c r="AB24" s="61">
        <f t="shared" si="6"/>
        <v>-309066</v>
      </c>
      <c r="AC24" s="39">
        <f t="shared" si="6"/>
        <v>-532133</v>
      </c>
      <c r="AD24" s="61">
        <f t="shared" si="6"/>
        <v>499744</v>
      </c>
      <c r="AE24" s="39">
        <f t="shared" si="6"/>
        <v>891739</v>
      </c>
      <c r="AF24" s="61">
        <f t="shared" si="6"/>
        <v>-499744</v>
      </c>
      <c r="AG24" s="39">
        <f t="shared" si="6"/>
        <v>-772611.92</v>
      </c>
      <c r="AH24" s="61">
        <f t="shared" ref="AH24:AM24" si="7">SUM(AH19:AH23)</f>
        <v>0</v>
      </c>
      <c r="AI24" s="39">
        <f t="shared" si="7"/>
        <v>0</v>
      </c>
      <c r="AJ24" s="61">
        <f t="shared" si="7"/>
        <v>499744</v>
      </c>
      <c r="AK24" s="39">
        <f t="shared" si="7"/>
        <v>891739</v>
      </c>
      <c r="AL24" s="61">
        <f t="shared" si="7"/>
        <v>0</v>
      </c>
      <c r="AM24" s="39">
        <f t="shared" si="7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6328</v>
      </c>
      <c r="E27" s="38">
        <f>SUM(G27,I27,K27,M27,O27,Q27,S27,U27,W27,Y27,AA27,AC27,AE27,AG27,AI27,AK27,AM27)</f>
        <v>11327.12</v>
      </c>
      <c r="F27" s="64">
        <f>'TIE-OUT'!F27+RECLASS!F27</f>
        <v>0</v>
      </c>
      <c r="G27" s="68">
        <f>'TIE-OUT'!G27+RECLASS!G27</f>
        <v>0</v>
      </c>
      <c r="H27" s="133">
        <f>+Actuals!E134</f>
        <v>6328</v>
      </c>
      <c r="I27" s="134">
        <f>+Actuals!F134</f>
        <v>11327.12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+Actuals!AA134</f>
        <v>0</v>
      </c>
      <c r="AE27" s="134">
        <f>+Actuals!AB134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-18440</v>
      </c>
      <c r="E28" s="38">
        <f>SUM(G28,I28,K28,M28,O28,Q28,S28,U28,W28,Y28,AA28,AC28,AE28,AG28,AI28,AK28,AM28)</f>
        <v>-33975.620000000003</v>
      </c>
      <c r="F28" s="81">
        <f>'TIE-OUT'!F28+RECLASS!F28</f>
        <v>0</v>
      </c>
      <c r="G28" s="82">
        <f>'TIE-OUT'!G28+RECLASS!G28</f>
        <v>0</v>
      </c>
      <c r="H28" s="133">
        <f>+Actuals!E135</f>
        <v>-18440</v>
      </c>
      <c r="I28" s="134">
        <f>+Actuals!F135</f>
        <v>-33975.620000000003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+Actuals!AA135</f>
        <v>0</v>
      </c>
      <c r="AE28" s="134">
        <f>+Actuals!AB135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</row>
    <row r="29" spans="1:39" x14ac:dyDescent="0.2">
      <c r="A29" s="9"/>
      <c r="B29" s="7" t="s">
        <v>41</v>
      </c>
      <c r="C29" s="18"/>
      <c r="D29" s="61">
        <f t="shared" ref="D29:I29" si="8">SUM(D27:D28)</f>
        <v>-12112</v>
      </c>
      <c r="E29" s="39">
        <f t="shared" si="8"/>
        <v>-22648.5</v>
      </c>
      <c r="F29" s="61">
        <f t="shared" si="8"/>
        <v>0</v>
      </c>
      <c r="G29" s="39">
        <f t="shared" si="8"/>
        <v>0</v>
      </c>
      <c r="H29" s="61">
        <f t="shared" si="8"/>
        <v>-12112</v>
      </c>
      <c r="I29" s="39">
        <f t="shared" si="8"/>
        <v>-22648.5</v>
      </c>
      <c r="J29" s="61">
        <f t="shared" ref="J29:AG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ref="AH29:AM29" si="10">SUM(AH27:AH28)</f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-14934</v>
      </c>
      <c r="E32" s="38">
        <f t="shared" si="11"/>
        <v>-26792.264000000079</v>
      </c>
      <c r="F32" s="64">
        <f>'TIE-OUT'!F32+RECLASS!F32</f>
        <v>0</v>
      </c>
      <c r="G32" s="68">
        <f>'TIE-OUT'!G32+RECLASS!G32</f>
        <v>0</v>
      </c>
      <c r="H32" s="133">
        <f>+Actuals!E136</f>
        <v>-489819</v>
      </c>
      <c r="I32" s="134">
        <f>+Actuals!F136</f>
        <v>-878735.29</v>
      </c>
      <c r="J32" s="133">
        <f>+Actuals!G136</f>
        <v>496428</v>
      </c>
      <c r="K32" s="134">
        <f>+Actuals!H136</f>
        <v>890598.44499999995</v>
      </c>
      <c r="L32" s="133">
        <f>+Actuals!I136</f>
        <v>-4494</v>
      </c>
      <c r="M32" s="134">
        <f>+Actuals!J136</f>
        <v>-8474.9249999999993</v>
      </c>
      <c r="N32" s="133">
        <f>+Actuals!K136</f>
        <v>-5830</v>
      </c>
      <c r="O32" s="134">
        <f>+Actuals!L136</f>
        <v>-10026.934999999999</v>
      </c>
      <c r="P32" s="133">
        <f>+Actuals!M136</f>
        <v>-10470</v>
      </c>
      <c r="Q32" s="134">
        <f>+Actuals!N136</f>
        <v>-25504.505000000001</v>
      </c>
      <c r="R32" s="133">
        <f>+Actuals!O136</f>
        <v>0</v>
      </c>
      <c r="S32" s="134">
        <f>+Actuals!P136</f>
        <v>1478.077</v>
      </c>
      <c r="T32" s="133">
        <f>+Actuals!Q136</f>
        <v>-749</v>
      </c>
      <c r="U32" s="134">
        <f>+Actuals!R136</f>
        <v>-2577.951</v>
      </c>
      <c r="V32" s="133">
        <f>+Actuals!S136</f>
        <v>0</v>
      </c>
      <c r="W32" s="134">
        <f>+Actuals!T136</f>
        <v>-16546.871999999999</v>
      </c>
      <c r="X32" s="133">
        <f>+Actuals!U136</f>
        <v>0</v>
      </c>
      <c r="Y32" s="134">
        <f>+Actuals!V136</f>
        <v>11484.066000000001</v>
      </c>
      <c r="Z32" s="133">
        <f>+Actuals!W136</f>
        <v>0</v>
      </c>
      <c r="AA32" s="134">
        <f>+Actuals!X136</f>
        <v>11513.626</v>
      </c>
      <c r="AB32" s="133">
        <f>+Actuals!Y136</f>
        <v>0</v>
      </c>
      <c r="AC32" s="134">
        <f>+Actuals!Z136</f>
        <v>0</v>
      </c>
      <c r="AD32" s="133">
        <f>+Actuals!AA136</f>
        <v>0</v>
      </c>
      <c r="AE32" s="134">
        <f>+Actuals!AB136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-22224</v>
      </c>
      <c r="E33" s="38">
        <f t="shared" si="11"/>
        <v>-41250.43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-13645</v>
      </c>
      <c r="K33" s="134">
        <f>+Actuals!H137</f>
        <v>-25546.78</v>
      </c>
      <c r="L33" s="133">
        <f>+Actuals!I137</f>
        <v>-6920</v>
      </c>
      <c r="M33" s="134">
        <f>+Actuals!J137</f>
        <v>-12667.68</v>
      </c>
      <c r="N33" s="133">
        <f>+Actuals!K137</f>
        <v>-1659</v>
      </c>
      <c r="O33" s="134">
        <f>+Actuals!L137</f>
        <v>-3035.97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+Actuals!AA137</f>
        <v>0</v>
      </c>
      <c r="AE33" s="134">
        <f>+Actuals!AB137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26563</v>
      </c>
      <c r="E34" s="38">
        <f t="shared" si="11"/>
        <v>34474.230000000003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26000</v>
      </c>
      <c r="K34" s="134">
        <f>+Actuals!H138</f>
        <v>34092.86</v>
      </c>
      <c r="L34" s="133">
        <f>+Actuals!I138</f>
        <v>563</v>
      </c>
      <c r="M34" s="134">
        <f>+Actuals!J138</f>
        <v>381.37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+Actuals!AA138</f>
        <v>0</v>
      </c>
      <c r="AE34" s="134">
        <f>+Actuals!AB138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-90843</v>
      </c>
      <c r="E35" s="38">
        <f t="shared" si="11"/>
        <v>-194965.66</v>
      </c>
      <c r="F35" s="81">
        <f>'TIE-OUT'!F35+RECLASS!F35</f>
        <v>0</v>
      </c>
      <c r="G35" s="82">
        <f>'TIE-OUT'!G35+RECLASS!G35</f>
        <v>0</v>
      </c>
      <c r="H35" s="133">
        <f>+Actuals!E139</f>
        <v>-89796</v>
      </c>
      <c r="I35" s="134">
        <f>+Actuals!F139</f>
        <v>-0.01</v>
      </c>
      <c r="J35" s="133">
        <f>+Actuals!G139</f>
        <v>-1043</v>
      </c>
      <c r="K35" s="134">
        <f>+Actuals!H139</f>
        <v>0</v>
      </c>
      <c r="L35" s="133">
        <f>+Actuals!I139</f>
        <v>-4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0</v>
      </c>
      <c r="T35" s="133">
        <f>+Actuals!Q139</f>
        <v>0</v>
      </c>
      <c r="U35" s="134">
        <f>+Actuals!R139</f>
        <v>-194965.65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+Actuals!AA139</f>
        <v>0</v>
      </c>
      <c r="AE35" s="134">
        <f>+Actuals!AB139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</row>
    <row r="36" spans="1:39" x14ac:dyDescent="0.2">
      <c r="A36" s="9"/>
      <c r="B36" s="7" t="s">
        <v>47</v>
      </c>
      <c r="C36" s="6"/>
      <c r="D36" s="61">
        <f t="shared" ref="D36:I36" si="12">SUM(D32:D35)</f>
        <v>-101438</v>
      </c>
      <c r="E36" s="39">
        <f t="shared" si="12"/>
        <v>-228534.12400000007</v>
      </c>
      <c r="F36" s="61">
        <f t="shared" si="12"/>
        <v>0</v>
      </c>
      <c r="G36" s="39">
        <f t="shared" si="12"/>
        <v>0</v>
      </c>
      <c r="H36" s="61">
        <f t="shared" si="12"/>
        <v>-579615</v>
      </c>
      <c r="I36" s="39">
        <f t="shared" si="12"/>
        <v>-878735.3</v>
      </c>
      <c r="J36" s="61">
        <f t="shared" ref="J36:AG36" si="13">SUM(J32:J35)</f>
        <v>507740</v>
      </c>
      <c r="K36" s="39">
        <f t="shared" si="13"/>
        <v>899144.52499999991</v>
      </c>
      <c r="L36" s="61">
        <f t="shared" si="13"/>
        <v>-10855</v>
      </c>
      <c r="M36" s="39">
        <f t="shared" si="13"/>
        <v>-20761.235000000001</v>
      </c>
      <c r="N36" s="61">
        <f t="shared" si="13"/>
        <v>-7489</v>
      </c>
      <c r="O36" s="39">
        <f t="shared" si="13"/>
        <v>-13062.904999999999</v>
      </c>
      <c r="P36" s="61">
        <f t="shared" si="13"/>
        <v>-10470</v>
      </c>
      <c r="Q36" s="39">
        <f t="shared" si="13"/>
        <v>-25504.505000000001</v>
      </c>
      <c r="R36" s="61">
        <f t="shared" si="13"/>
        <v>0</v>
      </c>
      <c r="S36" s="39">
        <f t="shared" si="13"/>
        <v>1478.077</v>
      </c>
      <c r="T36" s="61">
        <f t="shared" si="13"/>
        <v>-749</v>
      </c>
      <c r="U36" s="39">
        <f t="shared" si="13"/>
        <v>-197543.601</v>
      </c>
      <c r="V36" s="61">
        <f t="shared" si="13"/>
        <v>0</v>
      </c>
      <c r="W36" s="39">
        <f t="shared" si="13"/>
        <v>-16546.871999999999</v>
      </c>
      <c r="X36" s="61">
        <f t="shared" si="13"/>
        <v>0</v>
      </c>
      <c r="Y36" s="39">
        <f t="shared" si="13"/>
        <v>11484.066000000001</v>
      </c>
      <c r="Z36" s="61">
        <f t="shared" si="13"/>
        <v>0</v>
      </c>
      <c r="AA36" s="39">
        <f t="shared" si="13"/>
        <v>11513.626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ref="AH36:AM36" si="14">SUM(AH32:AH35)</f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'TIE-OUT'!F39+RECLASS!F39</f>
        <v>0</v>
      </c>
      <c r="G39" s="68">
        <f>'TIE-OUT'!G39+RECLASS!G39</f>
        <v>0</v>
      </c>
      <c r="H39" s="133">
        <f>+Actuals!E140</f>
        <v>2390</v>
      </c>
      <c r="I39" s="134">
        <f>+Actuals!F140</f>
        <v>4287.66</v>
      </c>
      <c r="J39" s="133">
        <f>+Actuals!G140</f>
        <v>-2390</v>
      </c>
      <c r="K39" s="134">
        <f>+Actuals!H140</f>
        <v>-4287.66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+Actuals!AA140</f>
        <v>0</v>
      </c>
      <c r="AE39" s="134">
        <f>+Actuals!AB140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-272351</v>
      </c>
      <c r="E40" s="38">
        <f t="shared" si="15"/>
        <v>-247669.69999999998</v>
      </c>
      <c r="F40" s="60">
        <f>'TIE-OUT'!F40+RECLASS!F40</f>
        <v>0</v>
      </c>
      <c r="G40" s="38">
        <f>'TIE-OUT'!G40+RECLASS!G40</f>
        <v>0</v>
      </c>
      <c r="H40" s="133">
        <f>+Actuals!E141</f>
        <v>-116330</v>
      </c>
      <c r="I40" s="134">
        <f>+Actuals!F141</f>
        <v>-246852.26</v>
      </c>
      <c r="J40" s="133">
        <f>+Actuals!G141</f>
        <v>-159023</v>
      </c>
      <c r="K40" s="134">
        <f>+Actuals!H141</f>
        <v>-817.46</v>
      </c>
      <c r="L40" s="133">
        <f>+Actuals!I141</f>
        <v>4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0</v>
      </c>
      <c r="W40" s="134">
        <f>+Actuals!T141</f>
        <v>0</v>
      </c>
      <c r="X40" s="133">
        <f>+Actuals!U141</f>
        <v>2998</v>
      </c>
      <c r="Y40" s="134">
        <f>+Actuals!V141</f>
        <v>0.01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+Actuals!AA141</f>
        <v>0</v>
      </c>
      <c r="AE40" s="134">
        <f>+Actuals!AB141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+Actuals!AA142</f>
        <v>0</v>
      </c>
      <c r="AE41" s="134">
        <f>+Actuals!AB142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</row>
    <row r="42" spans="1:39" x14ac:dyDescent="0.2">
      <c r="A42" s="9"/>
      <c r="B42" s="7"/>
      <c r="C42" s="53" t="s">
        <v>52</v>
      </c>
      <c r="D42" s="61">
        <f t="shared" ref="D42:I42" si="16">SUM(D40:D41)</f>
        <v>-272351</v>
      </c>
      <c r="E42" s="39">
        <f t="shared" si="16"/>
        <v>-247669.69999999998</v>
      </c>
      <c r="F42" s="61">
        <f t="shared" si="16"/>
        <v>0</v>
      </c>
      <c r="G42" s="39">
        <f t="shared" si="16"/>
        <v>0</v>
      </c>
      <c r="H42" s="61">
        <f t="shared" si="16"/>
        <v>-116330</v>
      </c>
      <c r="I42" s="39">
        <f t="shared" si="16"/>
        <v>-246852.26</v>
      </c>
      <c r="J42" s="61">
        <f t="shared" ref="J42:AG42" si="17">SUM(J40:J41)</f>
        <v>-159023</v>
      </c>
      <c r="K42" s="39">
        <f t="shared" si="17"/>
        <v>-817.46</v>
      </c>
      <c r="L42" s="61">
        <f t="shared" si="17"/>
        <v>4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2998</v>
      </c>
      <c r="Y42" s="39">
        <f t="shared" si="17"/>
        <v>0.01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ref="AH42:AM42" si="18">SUM(AH40:AH41)</f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I43" si="19">D42+D39</f>
        <v>-272351</v>
      </c>
      <c r="E43" s="39">
        <f t="shared" si="19"/>
        <v>-247669.69999999998</v>
      </c>
      <c r="F43" s="61">
        <f t="shared" si="19"/>
        <v>0</v>
      </c>
      <c r="G43" s="39">
        <f t="shared" si="19"/>
        <v>0</v>
      </c>
      <c r="H43" s="61">
        <f t="shared" si="19"/>
        <v>-113940</v>
      </c>
      <c r="I43" s="39">
        <f t="shared" si="19"/>
        <v>-242564.6</v>
      </c>
      <c r="J43" s="61">
        <f t="shared" ref="J43:AG43" si="20">J42+J39</f>
        <v>-161413</v>
      </c>
      <c r="K43" s="39">
        <f t="shared" si="20"/>
        <v>-5105.12</v>
      </c>
      <c r="L43" s="61">
        <f t="shared" si="20"/>
        <v>4</v>
      </c>
      <c r="M43" s="39">
        <f t="shared" si="20"/>
        <v>0.01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2998</v>
      </c>
      <c r="Y43" s="39">
        <f t="shared" si="20"/>
        <v>0.01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ref="AH43:AM43" si="21">AH42+AH39</f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+Actuals!AA143</f>
        <v>0</v>
      </c>
      <c r="AE45" s="134">
        <f>+Actuals!AB143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+Actuals!AA144</f>
        <v>0</v>
      </c>
      <c r="AE47" s="134">
        <f>+Actuals!AB144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341852</v>
      </c>
      <c r="E49" s="38">
        <f>SUM(G49,I49,K49,M49,O49,Q49,S49,U49,W49,Y49,AA49,AC49,AE49,AG49,AI49,AK49,AM49)</f>
        <v>612885.29800000007</v>
      </c>
      <c r="F49" s="60">
        <f>'TIE-OUT'!F49+RECLASS!F49</f>
        <v>0</v>
      </c>
      <c r="G49" s="38">
        <f>'TIE-OUT'!G49+RECLASS!G49</f>
        <v>0</v>
      </c>
      <c r="H49" s="133">
        <f>+Actuals!E145</f>
        <v>-274745</v>
      </c>
      <c r="I49" s="134">
        <f>+Actuals!F145</f>
        <v>-492892.53</v>
      </c>
      <c r="J49" s="133">
        <f>+Actuals!G145</f>
        <v>-185389</v>
      </c>
      <c r="K49" s="134">
        <f>+Actuals!H145</f>
        <v>-332587.86599999992</v>
      </c>
      <c r="L49" s="133">
        <f>+Actuals!I145</f>
        <v>834837</v>
      </c>
      <c r="M49" s="134">
        <f>+Actuals!J145</f>
        <v>1497697.578</v>
      </c>
      <c r="N49" s="133">
        <f>+Actuals!K145</f>
        <v>-120092</v>
      </c>
      <c r="O49" s="134">
        <f>+Actuals!L145</f>
        <v>-1787771.2379999999</v>
      </c>
      <c r="P49" s="133">
        <f>+Actuals!M145</f>
        <v>10470</v>
      </c>
      <c r="Q49" s="134">
        <f>+Actuals!N145</f>
        <v>1590712.18</v>
      </c>
      <c r="R49" s="133">
        <f>+Actuals!O145</f>
        <v>5672</v>
      </c>
      <c r="S49" s="134">
        <f>+Actuals!P145</f>
        <v>10175.567999999999</v>
      </c>
      <c r="T49" s="133">
        <f>+Actuals!Q145</f>
        <v>-2918</v>
      </c>
      <c r="U49" s="134">
        <f>+Actuals!R145</f>
        <v>-5234.8919999999998</v>
      </c>
      <c r="V49" s="133">
        <f>+Actuals!S145</f>
        <v>-11337</v>
      </c>
      <c r="W49" s="134">
        <f>+Actuals!T145</f>
        <v>-20338.578000000001</v>
      </c>
      <c r="X49" s="133">
        <f>+Actuals!U145</f>
        <v>4888</v>
      </c>
      <c r="Y49" s="134">
        <f>+Actuals!V145</f>
        <v>8769.0720000000001</v>
      </c>
      <c r="Z49" s="133">
        <f>+Actuals!W145</f>
        <v>-22370</v>
      </c>
      <c r="AA49" s="134">
        <f>+Actuals!X145</f>
        <v>-40131.78</v>
      </c>
      <c r="AB49" s="133">
        <f>+Actuals!Y145</f>
        <v>0</v>
      </c>
      <c r="AC49" s="134">
        <f>+Actuals!Z145</f>
        <v>0</v>
      </c>
      <c r="AD49" s="133">
        <f>+Actuals!AA145</f>
        <v>102836</v>
      </c>
      <c r="AE49" s="134">
        <f>+Actuals!AB145</f>
        <v>184487.78400000001</v>
      </c>
      <c r="AF49" s="133">
        <f>+Actuals!AC185</f>
        <v>-102836</v>
      </c>
      <c r="AG49" s="134">
        <f>+Actuals!AD185</f>
        <v>-184487.78400000001</v>
      </c>
      <c r="AH49" s="133">
        <f>+Actuals!AE185</f>
        <v>0</v>
      </c>
      <c r="AI49" s="134">
        <f>+Actuals!AF185</f>
        <v>0</v>
      </c>
      <c r="AJ49" s="133">
        <f>+Actuals!AG185</f>
        <v>102836</v>
      </c>
      <c r="AK49" s="134">
        <f>+Actuals!AH185</f>
        <v>184487.78400000001</v>
      </c>
      <c r="AL49" s="133">
        <f>+Actuals!AI185</f>
        <v>0</v>
      </c>
      <c r="AM49" s="134">
        <f>+Actuals!AJ185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-211720</v>
      </c>
      <c r="E51" s="38">
        <f>SUM(G51,I51,K51,M51,O51,Q51,S51,U51,W51,Y51,AA51,AC51,AE51,AG51,AI51,AK51,AM51)</f>
        <v>-379825.68199999997</v>
      </c>
      <c r="F51" s="60">
        <f>'TIE-OUT'!F51+RECLASS!F51</f>
        <v>0</v>
      </c>
      <c r="G51" s="38">
        <f>'TIE-OUT'!G51+RECLASS!G51</f>
        <v>0</v>
      </c>
      <c r="H51" s="133">
        <f>+Actuals!E146</f>
        <v>-344152</v>
      </c>
      <c r="I51" s="134">
        <f>+Actuals!F146</f>
        <v>-617408.68999999994</v>
      </c>
      <c r="J51" s="133">
        <f>+Actuals!G146</f>
        <v>139126</v>
      </c>
      <c r="K51" s="134">
        <f>+Actuals!H146</f>
        <v>249592.04399999999</v>
      </c>
      <c r="L51" s="133">
        <f>+Actuals!I146</f>
        <v>349</v>
      </c>
      <c r="M51" s="134">
        <f>+Actuals!J146</f>
        <v>626.10599999999999</v>
      </c>
      <c r="N51" s="133">
        <f>+Actuals!K146</f>
        <v>-5830</v>
      </c>
      <c r="O51" s="134">
        <f>+Actuals!L146</f>
        <v>-10459.02</v>
      </c>
      <c r="P51" s="133">
        <f>+Actuals!M146</f>
        <v>0</v>
      </c>
      <c r="Q51" s="134">
        <f>+Actuals!N146</f>
        <v>0</v>
      </c>
      <c r="R51" s="133">
        <f>+Actuals!O146</f>
        <v>0</v>
      </c>
      <c r="S51" s="134">
        <f>+Actuals!P146</f>
        <v>0</v>
      </c>
      <c r="T51" s="133">
        <f>+Actuals!Q146</f>
        <v>15</v>
      </c>
      <c r="U51" s="134">
        <f>+Actuals!R146</f>
        <v>26.91</v>
      </c>
      <c r="V51" s="133">
        <f>+Actuals!S146</f>
        <v>0</v>
      </c>
      <c r="W51" s="134">
        <f>+Actuals!T146</f>
        <v>0</v>
      </c>
      <c r="X51" s="133">
        <f>+Actuals!U146</f>
        <v>-1228</v>
      </c>
      <c r="Y51" s="134">
        <f>+Actuals!V146</f>
        <v>-2203.0320000000002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+Actuals!AA146</f>
        <v>0</v>
      </c>
      <c r="AE51" s="134">
        <f>+Actuals!AB146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-13147260</v>
      </c>
      <c r="E54" s="38">
        <f>SUM(G54,I54,K54,M54,O54,Q54,S54,U54,W54,Y54,AA54,AC54,AE54,AG54,AI54,AK54,AM54)</f>
        <v>340035.57999999996</v>
      </c>
      <c r="F54" s="64">
        <f>'TIE-OUT'!F54+RECLASS!F54</f>
        <v>0</v>
      </c>
      <c r="G54" s="68">
        <f>'TIE-OUT'!G54+RECLASS!G54</f>
        <v>0</v>
      </c>
      <c r="H54" s="133">
        <f>+Actuals!E147</f>
        <v>-7503970</v>
      </c>
      <c r="I54" s="134">
        <f>+Actuals!F147</f>
        <v>-846440.04</v>
      </c>
      <c r="J54" s="133">
        <f>+Actuals!G147</f>
        <v>-5619003</v>
      </c>
      <c r="K54" s="134">
        <f>+Actuals!H147+574371</f>
        <v>623658.85</v>
      </c>
      <c r="L54" s="133">
        <f>+Actuals!I147</f>
        <v>-1373</v>
      </c>
      <c r="M54" s="134">
        <f>+Actuals!J147</f>
        <v>-7563.18</v>
      </c>
      <c r="N54" s="133">
        <f>+Actuals!K147</f>
        <v>-2710</v>
      </c>
      <c r="O54" s="134">
        <f>+Actuals!L147</f>
        <v>-1381.24</v>
      </c>
      <c r="P54" s="133">
        <f>+Actuals!M147</f>
        <v>0</v>
      </c>
      <c r="Q54" s="134">
        <f>+Actuals!N147</f>
        <v>0</v>
      </c>
      <c r="R54" s="133">
        <f>+Actuals!O147</f>
        <v>0</v>
      </c>
      <c r="S54" s="134">
        <f>+Actuals!P147</f>
        <v>0</v>
      </c>
      <c r="T54" s="133">
        <f>+Actuals!Q147</f>
        <v>736</v>
      </c>
      <c r="U54" s="134">
        <f>+Actuals!R147</f>
        <v>154.56</v>
      </c>
      <c r="V54" s="133">
        <f>+Actuals!S147</f>
        <v>-20940</v>
      </c>
      <c r="W54" s="134">
        <f>+Actuals!T147</f>
        <v>-2764.08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574370.71</v>
      </c>
      <c r="AB54" s="133">
        <f>+Actuals!Y147</f>
        <v>0</v>
      </c>
      <c r="AC54" s="134">
        <f>+Actuals!Z147</f>
        <v>0</v>
      </c>
      <c r="AD54" s="133">
        <f>+Actuals!AA147</f>
        <v>0</v>
      </c>
      <c r="AE54" s="134">
        <f>+Actuals!AB147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-2010129.1000000003</v>
      </c>
      <c r="F55" s="81">
        <f>'TIE-OUT'!F55+RECLASS!F55</f>
        <v>0</v>
      </c>
      <c r="G55" s="82">
        <f>'TIE-OUT'!G55+RECLASS!G55</f>
        <v>1459232.91</v>
      </c>
      <c r="H55" s="133">
        <f>+Actuals!E148</f>
        <v>0</v>
      </c>
      <c r="I55" s="134">
        <f>+Actuals!F148</f>
        <v>-2595525.83</v>
      </c>
      <c r="J55" s="133">
        <f>+Actuals!G148</f>
        <v>0</v>
      </c>
      <c r="K55" s="134">
        <f>+Actuals!H148</f>
        <v>78224.45</v>
      </c>
      <c r="L55" s="133">
        <f>+Actuals!I148</f>
        <v>0</v>
      </c>
      <c r="M55" s="172">
        <f>+Actuals!J148+1575024</f>
        <v>1575023.98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72">
        <f>+Actuals!N148-969422</f>
        <v>-969422</v>
      </c>
      <c r="R55" s="133">
        <f>+Actuals!O148</f>
        <v>0</v>
      </c>
      <c r="S55" s="172">
        <f>+Actuals!P148-1575000</f>
        <v>-1575000</v>
      </c>
      <c r="T55" s="133">
        <f>+Actuals!Q148</f>
        <v>0</v>
      </c>
      <c r="U55" s="134">
        <f>+Actuals!R148</f>
        <v>15517.4</v>
      </c>
      <c r="V55" s="133">
        <f>+Actuals!S148</f>
        <v>0</v>
      </c>
      <c r="W55" s="134">
        <f>+Actuals!T148</f>
        <v>1820.01</v>
      </c>
      <c r="X55" s="133">
        <f>+Actuals!U148</f>
        <v>0</v>
      </c>
      <c r="Y55" s="134">
        <f>+Actuals!V148</f>
        <v>-0.01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+Actuals!AA148</f>
        <v>0</v>
      </c>
      <c r="AE55" s="134">
        <f>+Actuals!AB148</f>
        <v>0</v>
      </c>
      <c r="AF55" s="133">
        <f>+Actuals!AC188</f>
        <v>0</v>
      </c>
      <c r="AG55" s="134">
        <f>+Actuals!AD188</f>
        <v>-0.01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</row>
    <row r="56" spans="1:39" x14ac:dyDescent="0.2">
      <c r="A56" s="9"/>
      <c r="B56" s="7" t="s">
        <v>61</v>
      </c>
      <c r="C56" s="6"/>
      <c r="D56" s="61">
        <f t="shared" ref="D56:I56" si="22">SUM(D54:D55)</f>
        <v>-13147260</v>
      </c>
      <c r="E56" s="39">
        <f t="shared" si="22"/>
        <v>-1670093.5200000005</v>
      </c>
      <c r="F56" s="61">
        <f t="shared" si="22"/>
        <v>0</v>
      </c>
      <c r="G56" s="39">
        <f t="shared" si="22"/>
        <v>1459232.91</v>
      </c>
      <c r="H56" s="61">
        <f t="shared" si="22"/>
        <v>-7503970</v>
      </c>
      <c r="I56" s="39">
        <f t="shared" si="22"/>
        <v>-3441965.87</v>
      </c>
      <c r="J56" s="61">
        <f t="shared" ref="J56:AG56" si="23">SUM(J54:J55)</f>
        <v>-5619003</v>
      </c>
      <c r="K56" s="39">
        <f t="shared" si="23"/>
        <v>701883.29999999993</v>
      </c>
      <c r="L56" s="61">
        <f t="shared" si="23"/>
        <v>-1373</v>
      </c>
      <c r="M56" s="39">
        <f t="shared" si="23"/>
        <v>1567460.8</v>
      </c>
      <c r="N56" s="61">
        <f t="shared" si="23"/>
        <v>-2710</v>
      </c>
      <c r="O56" s="39">
        <f t="shared" si="23"/>
        <v>-1381.24</v>
      </c>
      <c r="P56" s="61">
        <f t="shared" si="23"/>
        <v>0</v>
      </c>
      <c r="Q56" s="39">
        <f t="shared" si="23"/>
        <v>-969422</v>
      </c>
      <c r="R56" s="61">
        <f t="shared" si="23"/>
        <v>0</v>
      </c>
      <c r="S56" s="39">
        <f t="shared" si="23"/>
        <v>-1575000</v>
      </c>
      <c r="T56" s="61">
        <f t="shared" si="23"/>
        <v>736</v>
      </c>
      <c r="U56" s="39">
        <f t="shared" si="23"/>
        <v>15671.96</v>
      </c>
      <c r="V56" s="61">
        <f t="shared" si="23"/>
        <v>-20940</v>
      </c>
      <c r="W56" s="39">
        <f t="shared" si="23"/>
        <v>-944.06999999999994</v>
      </c>
      <c r="X56" s="61">
        <f t="shared" si="23"/>
        <v>0</v>
      </c>
      <c r="Y56" s="39">
        <f t="shared" si="23"/>
        <v>-0.01</v>
      </c>
      <c r="Z56" s="61">
        <f t="shared" si="23"/>
        <v>0</v>
      </c>
      <c r="AA56" s="39">
        <f t="shared" si="23"/>
        <v>574370.71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-0.01</v>
      </c>
      <c r="AH56" s="61">
        <f t="shared" ref="AH56:AM56" si="24">SUM(AH54:AH55)</f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+Actuals!AA149</f>
        <v>0</v>
      </c>
      <c r="AE59" s="134">
        <f>+Actuals!AB149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+Actuals!AA150</f>
        <v>0</v>
      </c>
      <c r="AE60" s="134">
        <f>+Actuals!AB150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</row>
    <row r="61" spans="1:39" x14ac:dyDescent="0.2">
      <c r="A61" s="9"/>
      <c r="B61" s="62" t="s">
        <v>65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G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+Actuals!AA151</f>
        <v>0</v>
      </c>
      <c r="AE64" s="134">
        <f>+Actuals!AB151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+Actuals!AA152</f>
        <v>0</v>
      </c>
      <c r="AE65" s="134">
        <f>+Actuals!AB152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</row>
    <row r="66" spans="1:39" x14ac:dyDescent="0.2">
      <c r="A66" s="9"/>
      <c r="B66" s="7" t="s">
        <v>68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G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ref="AH66:AM66" si="30">SUM(AH64:AH65)</f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30"/>
        <v>0</v>
      </c>
      <c r="AM66" s="39">
        <f t="shared" si="30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-675834</v>
      </c>
      <c r="F70" s="64">
        <f>'TIE-OUT'!F70+RECLASS!F70</f>
        <v>0</v>
      </c>
      <c r="G70" s="68">
        <f>'TIE-OUT'!G70+RECLASS!G70</f>
        <v>-675834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+Actuals!AA153</f>
        <v>0</v>
      </c>
      <c r="AE70" s="134">
        <f>+Actuals!AB153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+Actuals!AA154</f>
        <v>0</v>
      </c>
      <c r="AE71" s="134">
        <f>+Actuals!AB154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</row>
    <row r="72" spans="1:39" x14ac:dyDescent="0.2">
      <c r="A72" s="9"/>
      <c r="B72" s="3"/>
      <c r="C72" s="55" t="s">
        <v>73</v>
      </c>
      <c r="D72" s="61">
        <f t="shared" ref="D72:I72" si="31">SUM(D70:D71)</f>
        <v>0</v>
      </c>
      <c r="E72" s="39">
        <f t="shared" si="31"/>
        <v>-675834</v>
      </c>
      <c r="F72" s="61">
        <f t="shared" si="31"/>
        <v>0</v>
      </c>
      <c r="G72" s="39">
        <f t="shared" si="31"/>
        <v>-675834</v>
      </c>
      <c r="H72" s="61">
        <f t="shared" si="31"/>
        <v>0</v>
      </c>
      <c r="I72" s="39">
        <f t="shared" si="31"/>
        <v>0</v>
      </c>
      <c r="J72" s="61">
        <f t="shared" ref="J72:AG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ref="AH72:AM72" si="33">SUM(AH70:AH71)</f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3"/>
        <v>0</v>
      </c>
      <c r="AM72" s="39">
        <f t="shared" si="3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+Actuals!AA155</f>
        <v>0</v>
      </c>
      <c r="AE73" s="134">
        <f>+Actuals!AB155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343342.49</v>
      </c>
      <c r="F74" s="60">
        <f>'TIE-OUT'!F74+RECLASS!F74</f>
        <v>0</v>
      </c>
      <c r="G74" s="60">
        <f>'TIE-OUT'!G74+RECLASS!G74</f>
        <v>333644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+Actuals!H156+9698.49</f>
        <v>9698.49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+Actuals!AA156</f>
        <v>0</v>
      </c>
      <c r="AE74" s="134">
        <f>+Actuals!AB156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330600</v>
      </c>
      <c r="F75" s="60">
        <f>'TIE-OUT'!F75+RECLASS!F75</f>
        <v>0</v>
      </c>
      <c r="G75" s="60">
        <f>'TIE-OUT'!G75+RECLASS!G75</f>
        <v>330600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+Actuals!AA157</f>
        <v>0</v>
      </c>
      <c r="AE75" s="134">
        <f>+Actuals!AB157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-11539.400000000001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-150</v>
      </c>
      <c r="J76" s="133">
        <f>+Actuals!G158</f>
        <v>0</v>
      </c>
      <c r="K76" s="134">
        <f>+Actuals!H158</f>
        <v>-5886.38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-5503.02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+Actuals!AA158</f>
        <v>0</v>
      </c>
      <c r="AE76" s="134">
        <f>+Actuals!AB158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+Actuals!AA159</f>
        <v>0</v>
      </c>
      <c r="AE77" s="134">
        <f>+Actuals!AB159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+Actuals!AA160</f>
        <v>0</v>
      </c>
      <c r="AE78" s="134">
        <f>+Actuals!AB160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+Actuals!AA161</f>
        <v>0</v>
      </c>
      <c r="AE79" s="134">
        <f>+Actuals!AB161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+Actuals!AA162</f>
        <v>0</v>
      </c>
      <c r="AE80" s="134">
        <f>+Actuals!AB162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393315.7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209250</v>
      </c>
      <c r="J81" s="133">
        <f>+Actuals!G163</f>
        <v>0</v>
      </c>
      <c r="K81" s="134">
        <f>+Actuals!H163</f>
        <v>177800</v>
      </c>
      <c r="L81" s="133">
        <f>+Actuals!I163</f>
        <v>0</v>
      </c>
      <c r="M81" s="134">
        <f>+Actuals!J163</f>
        <v>6265.7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+Actuals!AA163</f>
        <v>0</v>
      </c>
      <c r="AE81" s="134">
        <f>+Actuals!AB163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82449.314000024926</v>
      </c>
      <c r="F82" s="92">
        <f>F16+F24+F29+F36+F43+F45+F47+F49</f>
        <v>0</v>
      </c>
      <c r="G82" s="93">
        <f>SUM(G72:G81)+G16+G24+G29+G36+G43+G45+G47+G49+G51+G56+G61+G66</f>
        <v>-12403379.029999999</v>
      </c>
      <c r="H82" s="92">
        <f>H16+H24+H29+H36+H43+H45+H47+H49</f>
        <v>0</v>
      </c>
      <c r="I82" s="166">
        <f>SUM(I72:I81)+I16+I24+I29+I36+I43+I45+I47+I49+I51+I56+I61+I66</f>
        <v>16780436.649999995</v>
      </c>
      <c r="J82" s="92">
        <f>J16+J24+J29+J36+J43+J45+J47+J49</f>
        <v>0</v>
      </c>
      <c r="K82" s="166">
        <f>SUM(K72:K81)+K16+K24+K29+K36+K43+K45+K47+K49+K51+K56+K61+K66</f>
        <v>-4037832.9009999996</v>
      </c>
      <c r="L82" s="92">
        <f>L16+L24+L29+L36+L43+L45+L47+L49</f>
        <v>0</v>
      </c>
      <c r="M82" s="93">
        <f>SUM(M72:M81)+M16+M24+M29+M36+M43+M45+M47+M49+M51+M56+M61+M66</f>
        <v>2803759.8130000001</v>
      </c>
      <c r="N82" s="92">
        <f>N16+N24+N29+N36+N43+N45+N47+N49</f>
        <v>0</v>
      </c>
      <c r="O82" s="93">
        <f>SUM(O72:O81)+O16+O24+O29+O36+O43+O45+O47+O49+O51+O56+O61+O66</f>
        <v>-2322136.3730000001</v>
      </c>
      <c r="P82" s="92">
        <f>P16+P24+P29+P36+P43+P45+P47+P49</f>
        <v>0</v>
      </c>
      <c r="Q82" s="93">
        <f>SUM(Q72:Q81)+Q16+Q24+Q29+Q36+Q43+Q45+Q47+Q49+Q51+Q56+Q61+Q66</f>
        <v>724740.18499999982</v>
      </c>
      <c r="R82" s="92">
        <f>R16+R24+R29+R36+R43+R45+R47+R49</f>
        <v>0</v>
      </c>
      <c r="S82" s="93">
        <f>SUM(S72:S81)+S16+S24+S29+S36+S43+S45+S47+S49+S51+S56+S61+S66</f>
        <v>-1571713.5549999999</v>
      </c>
      <c r="T82" s="92">
        <f>T16+T24+T29+T36+T43+T45+T47+T49</f>
        <v>0</v>
      </c>
      <c r="U82" s="93">
        <f>SUM(U72:U81)+U16+U24+U29+U36+U43+U45+U47+U49+U51+U56+U61+U66</f>
        <v>-260584.27300000002</v>
      </c>
      <c r="V82" s="92">
        <f>V16+V24+V29+V36+V43+V45+V47+V49</f>
        <v>0</v>
      </c>
      <c r="W82" s="93">
        <f>SUM(W72:W81)+W16+W24+W29+W36+W43+W45+W47+W49+W51+W56+W61+W66</f>
        <v>-287858.3</v>
      </c>
      <c r="X82" s="92">
        <f>X16+X24+X29+X36+X43+X45+X47+X49</f>
        <v>0</v>
      </c>
      <c r="Y82" s="93">
        <f>SUM(Y72:Y81)+Y16+Y24+Y29+Y36+Y43+Y45+Y47+Y49+Y51+Y56+Y61+Y66</f>
        <v>-940.51200000000131</v>
      </c>
      <c r="Z82" s="92">
        <f>Z16+Z24+Z29+Z36+Z43+Z45+Z47+Z49</f>
        <v>0</v>
      </c>
      <c r="AA82" s="93">
        <f>SUM(AA72:AA81)+AA16+AA24+AA29+AA36+AA43+AA45+AA47+AA49+AA51+AA56+AA61+AA66</f>
        <v>505813.55599999998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36358.784000000014</v>
      </c>
      <c r="AF82" s="92">
        <f>AF16+AF24+AF29+AF36+AF43+AF45+AF47+AF49</f>
        <v>0</v>
      </c>
      <c r="AG82" s="93">
        <f>SUM(AG72:AG81)+AG16+AG24+AG29+AG36+AG43+AG45+AG47+AG49+AG51+AG56+AG61+AG66</f>
        <v>79426.485999999903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36358.784000000014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  <c r="AM85" s="31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8"/>
  <sheetViews>
    <sheetView tabSelected="1" topLeftCell="A13" zoomScale="75" workbookViewId="0">
      <selection activeCell="C20" sqref="C20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184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-731602.00571049377</v>
      </c>
      <c r="C11" s="60">
        <f>CE_GL!$E$82</f>
        <v>82449.314000024926</v>
      </c>
      <c r="D11" s="108">
        <f t="shared" ref="D11:D19" si="0">C11-B11</f>
        <v>814051.3197105187</v>
      </c>
      <c r="E11" s="31"/>
      <c r="F11" s="31">
        <f>CE_GL!G82</f>
        <v>-12403379.029999999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-1643925.2400000007</v>
      </c>
      <c r="G12" s="31"/>
      <c r="H12" s="31"/>
    </row>
    <row r="13" spans="1:8" x14ac:dyDescent="0.2">
      <c r="A13" s="102" t="s">
        <v>172</v>
      </c>
      <c r="B13" s="145">
        <f>'SE-EGM-FLSH'!$M$82+'NE-FLSH'!M82</f>
        <v>686320.74475360289</v>
      </c>
      <c r="C13" s="60">
        <f>'SE-EGM-GL'!$E$82+NE_GL!E82</f>
        <v>-1736842.2729999442</v>
      </c>
      <c r="D13" s="108">
        <f t="shared" si="0"/>
        <v>-2423163.0177535471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173</v>
      </c>
      <c r="B14" s="145">
        <f>'SE-LRC-FLSH'!$M$82</f>
        <v>-2776295.5871700263</v>
      </c>
      <c r="C14" s="60">
        <f>'SE-LRC-GL'!$E$82</f>
        <v>209708.18199999374</v>
      </c>
      <c r="D14" s="108">
        <f t="shared" si="0"/>
        <v>2986003.7691700198</v>
      </c>
      <c r="E14" s="31"/>
      <c r="F14" s="31">
        <f>'SE-LRC-GL'!G82</f>
        <v>-1564542.32</v>
      </c>
      <c r="G14" s="31"/>
      <c r="H14" s="31"/>
    </row>
    <row r="15" spans="1:8" x14ac:dyDescent="0.2">
      <c r="A15" s="102" t="s">
        <v>192</v>
      </c>
      <c r="B15" s="145">
        <f>+'NE-FLSH'!M89</f>
        <v>-104334</v>
      </c>
      <c r="C15" s="60">
        <f>+NE_GL!E89</f>
        <v>-104428.15</v>
      </c>
      <c r="D15" s="108">
        <f>C15-B15</f>
        <v>-94.149999999994179</v>
      </c>
      <c r="E15" s="31"/>
      <c r="F15" s="31">
        <f>'SE-EGM-GL'!G84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-251078.46901477501</v>
      </c>
      <c r="C16" s="60">
        <f>'TX-EGM-GL'!$E$82</f>
        <v>702522.30599999346</v>
      </c>
      <c r="D16" s="108">
        <f t="shared" si="0"/>
        <v>953600.77501476847</v>
      </c>
      <c r="E16" s="31"/>
      <c r="F16" s="31">
        <f>'TX-EGM-GL'!G82</f>
        <v>-9571859.0199999996</v>
      </c>
      <c r="G16" s="31"/>
      <c r="H16" s="31"/>
    </row>
    <row r="17" spans="1:8" x14ac:dyDescent="0.2">
      <c r="A17" s="102" t="s">
        <v>19</v>
      </c>
      <c r="B17" s="145">
        <f>'TX-HPL-FLSH'!$M$82</f>
        <v>-21086.215697929263</v>
      </c>
      <c r="C17" s="60">
        <f>'TX-HPL-GL '!$E$82</f>
        <v>-1045618.5835999935</v>
      </c>
      <c r="D17" s="108">
        <f t="shared" si="0"/>
        <v>-1024532.3679020642</v>
      </c>
      <c r="E17" s="31"/>
      <c r="F17" s="31">
        <f>'TX-HPL-GL '!G82</f>
        <v>-2555679.69</v>
      </c>
      <c r="G17" s="31"/>
      <c r="H17" s="31"/>
    </row>
    <row r="18" spans="1:8" x14ac:dyDescent="0.2">
      <c r="A18" s="102" t="s">
        <v>194</v>
      </c>
      <c r="B18" s="145">
        <f>'TX-EGM-FLSH'!$M$89</f>
        <v>-6729</v>
      </c>
      <c r="C18" s="60">
        <f>'TX-EGM-GL'!$E$89</f>
        <v>-6810.5599999999977</v>
      </c>
      <c r="D18" s="108">
        <f>C18-B18</f>
        <v>-81.559999999997672</v>
      </c>
      <c r="E18" s="31"/>
      <c r="F18" s="31">
        <f>'TX-EGM-GL'!G84</f>
        <v>0</v>
      </c>
      <c r="G18" s="31"/>
      <c r="H18" s="31"/>
    </row>
    <row r="19" spans="1:8" x14ac:dyDescent="0.2">
      <c r="A19" s="102" t="s">
        <v>20</v>
      </c>
      <c r="B19" s="145">
        <f>'WE-FLSH'!$M$82</f>
        <v>244501.05100993812</v>
      </c>
      <c r="C19" s="60">
        <f>'WE-GL '!$E$82</f>
        <v>46776.745999997482</v>
      </c>
      <c r="D19" s="108">
        <f t="shared" si="0"/>
        <v>-197724.30500994064</v>
      </c>
      <c r="E19" s="31"/>
      <c r="F19" s="31">
        <f>'WE-GL '!G82</f>
        <v>-418107.06000000017</v>
      </c>
      <c r="G19" s="31"/>
      <c r="H19" s="31"/>
    </row>
    <row r="20" spans="1:8" x14ac:dyDescent="0.2">
      <c r="A20" s="102" t="s">
        <v>21</v>
      </c>
      <c r="B20" s="145">
        <f>STG_FLSH!$M$82</f>
        <v>1540000</v>
      </c>
      <c r="C20" s="60">
        <f>STG_GL!$E$82</f>
        <v>1722384</v>
      </c>
      <c r="D20" s="108">
        <f>C20-B20</f>
        <v>182384</v>
      </c>
      <c r="E20" s="31"/>
      <c r="F20" s="31">
        <f>STG_GL!G82</f>
        <v>-5941724</v>
      </c>
      <c r="G20" s="31"/>
      <c r="H20" s="31"/>
    </row>
    <row r="21" spans="1:8" x14ac:dyDescent="0.2">
      <c r="A21" s="102" t="s">
        <v>22</v>
      </c>
      <c r="B21" s="145">
        <f>TRNSPT_FLSH!$M$82</f>
        <v>0</v>
      </c>
      <c r="C21" s="60">
        <f>'TRANSPT_GL '!$E$82</f>
        <v>0</v>
      </c>
      <c r="D21" s="108">
        <f>C21-B21</f>
        <v>0</v>
      </c>
      <c r="E21" s="31"/>
      <c r="F21" s="31">
        <f>'TRANSPT_GL '!G82</f>
        <v>0</v>
      </c>
      <c r="G21" s="31"/>
      <c r="H21" s="31"/>
    </row>
    <row r="22" spans="1:8" x14ac:dyDescent="0.2">
      <c r="A22" s="171" t="s">
        <v>177</v>
      </c>
      <c r="B22" s="145">
        <f>+BGC_FLSH!M82</f>
        <v>-51617</v>
      </c>
      <c r="C22" s="60">
        <f>+BGC_GL!E82</f>
        <v>788060.21200000378</v>
      </c>
      <c r="D22" s="108">
        <f>C22-B22</f>
        <v>839677.21200000378</v>
      </c>
      <c r="E22" s="31"/>
      <c r="F22" s="31">
        <f>+BGC_GL!G82</f>
        <v>-154392</v>
      </c>
      <c r="G22" s="31"/>
      <c r="H22" s="31"/>
    </row>
    <row r="23" spans="1:8" ht="21.75" customHeight="1" thickBot="1" x14ac:dyDescent="0.25">
      <c r="A23" s="102" t="s">
        <v>10</v>
      </c>
      <c r="B23" s="61">
        <f>SUM(B11:B22)</f>
        <v>-1471920.4818296833</v>
      </c>
      <c r="C23" s="61">
        <f>SUM(C11:C22)</f>
        <v>658201.19340007589</v>
      </c>
      <c r="D23" s="109">
        <f>SUM(D11:D22)</f>
        <v>2130121.675229759</v>
      </c>
      <c r="E23" s="31"/>
      <c r="F23" s="61">
        <f>SUM(F11:F22)</f>
        <v>-34253608.359999999</v>
      </c>
      <c r="G23" s="31"/>
      <c r="H23" s="31"/>
    </row>
    <row r="24" spans="1:8" ht="21" customHeight="1" thickBot="1" x14ac:dyDescent="0.25">
      <c r="A24" s="103" t="s">
        <v>23</v>
      </c>
      <c r="B24" s="104">
        <f>TOTAL!$E$91</f>
        <v>-1471920.4818297233</v>
      </c>
      <c r="C24" s="104">
        <f>TOTAL!$G$91</f>
        <v>658201.1934001036</v>
      </c>
      <c r="D24" s="110">
        <f>TOTAL!$I$82</f>
        <v>2130297.3852297766</v>
      </c>
      <c r="E24" s="31"/>
      <c r="F24" s="31">
        <f>'TIE-OUT'!E82+RECLASS!E82</f>
        <v>-34253608.359999999</v>
      </c>
      <c r="G24" s="31"/>
      <c r="H24" s="31"/>
    </row>
    <row r="25" spans="1:8" x14ac:dyDescent="0.2">
      <c r="B25" s="45"/>
      <c r="C25" s="45"/>
      <c r="D25" s="45"/>
      <c r="E25" s="45"/>
      <c r="F25" s="45"/>
      <c r="G25" s="45"/>
      <c r="H25" s="45"/>
    </row>
    <row r="26" spans="1:8" x14ac:dyDescent="0.2">
      <c r="B26" s="45">
        <f>+B23-B24</f>
        <v>4.0046870708465576E-8</v>
      </c>
      <c r="C26" s="45">
        <f>+C23-C24</f>
        <v>-2.7706846594810486E-8</v>
      </c>
      <c r="D26" s="45"/>
      <c r="E26" s="45"/>
      <c r="F26" s="45">
        <f>+F23-F24</f>
        <v>0</v>
      </c>
      <c r="G26" s="45"/>
      <c r="H26" s="45"/>
    </row>
    <row r="27" spans="1:8" ht="13.5" thickBot="1" x14ac:dyDescent="0.25"/>
    <row r="28" spans="1:8" ht="18.75" thickBot="1" x14ac:dyDescent="0.3">
      <c r="A28" s="105" t="s">
        <v>12</v>
      </c>
      <c r="B28" s="106" t="s">
        <v>166</v>
      </c>
      <c r="C28" s="107" t="s">
        <v>8</v>
      </c>
      <c r="D28" s="107" t="s">
        <v>9</v>
      </c>
    </row>
    <row r="29" spans="1:8" x14ac:dyDescent="0.2">
      <c r="A29" s="102" t="s">
        <v>14</v>
      </c>
      <c r="B29" s="146">
        <f>+'[2]ST Warroom 99'!$B$39</f>
        <v>112326</v>
      </c>
      <c r="C29" s="178">
        <f>C11</f>
        <v>82449.314000024926</v>
      </c>
      <c r="D29" s="108">
        <f t="shared" ref="D29:D36" si="1">C29-B29</f>
        <v>-29876.685999975074</v>
      </c>
    </row>
    <row r="30" spans="1:8" x14ac:dyDescent="0.2">
      <c r="A30" s="102" t="s">
        <v>15</v>
      </c>
      <c r="B30" s="146">
        <v>0</v>
      </c>
      <c r="C30" s="60">
        <f>C12</f>
        <v>0</v>
      </c>
      <c r="D30" s="108">
        <f t="shared" si="1"/>
        <v>0</v>
      </c>
    </row>
    <row r="31" spans="1:8" x14ac:dyDescent="0.2">
      <c r="A31" s="102" t="s">
        <v>174</v>
      </c>
      <c r="B31" s="145">
        <f>+'[2]ST Warroom 99'!$C$39+'[2]ST Warroom 99'!$D$39+'[2]ST Warroom 99'!$E$39</f>
        <v>-1631562</v>
      </c>
      <c r="C31" s="178">
        <f>C13+C14+C15</f>
        <v>-1631562.2409999503</v>
      </c>
      <c r="D31" s="108">
        <f t="shared" si="1"/>
        <v>-0.24099995032884181</v>
      </c>
    </row>
    <row r="32" spans="1:8" x14ac:dyDescent="0.2">
      <c r="A32" s="102" t="s">
        <v>168</v>
      </c>
      <c r="B32" s="145">
        <f>+'[2]ST Warroom 99'!$H$39+'[2]ST Warroom 99'!$I$39+'[2]ST Warroom 99'!$J$39+'[2]ST Warroom 99'!$K$39</f>
        <v>-796783</v>
      </c>
      <c r="C32" s="60">
        <f>C16+C17+C18</f>
        <v>-349906.83760000003</v>
      </c>
      <c r="D32" s="108">
        <f t="shared" si="1"/>
        <v>446876.16239999997</v>
      </c>
    </row>
    <row r="33" spans="1:4" x14ac:dyDescent="0.2">
      <c r="A33" s="102" t="s">
        <v>20</v>
      </c>
      <c r="B33" s="145">
        <f>+'[2]ST Warroom 99'!$L$39</f>
        <v>-5630</v>
      </c>
      <c r="C33" s="178">
        <f>C19</f>
        <v>46776.745999997482</v>
      </c>
      <c r="D33" s="108">
        <f t="shared" si="1"/>
        <v>52406.745999997482</v>
      </c>
    </row>
    <row r="34" spans="1:4" x14ac:dyDescent="0.2">
      <c r="A34" s="102" t="s">
        <v>21</v>
      </c>
      <c r="B34" s="145">
        <f>+'[2]ST Warroom 99'!$M$39</f>
        <v>1722384</v>
      </c>
      <c r="C34" s="60">
        <f>C20</f>
        <v>1722384</v>
      </c>
      <c r="D34" s="108">
        <f t="shared" si="1"/>
        <v>0</v>
      </c>
    </row>
    <row r="35" spans="1:4" x14ac:dyDescent="0.2">
      <c r="A35" s="102" t="s">
        <v>22</v>
      </c>
      <c r="B35" s="145">
        <f>+'[2]ST Warroom 99'!$O$39</f>
        <v>0</v>
      </c>
      <c r="C35" s="178">
        <f>C21</f>
        <v>0</v>
      </c>
      <c r="D35" s="108">
        <f t="shared" si="1"/>
        <v>0</v>
      </c>
    </row>
    <row r="36" spans="1:4" x14ac:dyDescent="0.2">
      <c r="A36" s="171" t="s">
        <v>177</v>
      </c>
      <c r="B36" s="145">
        <f>+'[2]ST Warroom 99'!$F$39</f>
        <v>788060</v>
      </c>
      <c r="C36" s="178">
        <f>C22</f>
        <v>788060.21200000378</v>
      </c>
      <c r="D36" s="108">
        <f t="shared" si="1"/>
        <v>0.2120000037830323</v>
      </c>
    </row>
    <row r="37" spans="1:4" ht="13.5" thickBot="1" x14ac:dyDescent="0.25">
      <c r="A37" s="102" t="s">
        <v>10</v>
      </c>
      <c r="B37" s="61">
        <f>SUM(B29:B36)</f>
        <v>188795</v>
      </c>
      <c r="C37" s="61">
        <f>SUM(C29:C36)</f>
        <v>658201.19340007589</v>
      </c>
      <c r="D37" s="109">
        <f>SUM(D29:D36)</f>
        <v>469406.19340007583</v>
      </c>
    </row>
    <row r="38" spans="1:4" ht="13.5" thickBot="1" x14ac:dyDescent="0.25">
      <c r="A38" s="103" t="s">
        <v>169</v>
      </c>
      <c r="B38" s="104">
        <f>+B37</f>
        <v>188795</v>
      </c>
      <c r="C38" s="104">
        <f>TOTAL!$G$91</f>
        <v>658201.1934001036</v>
      </c>
      <c r="D38" s="110">
        <f>C38-B38</f>
        <v>469406.1934001036</v>
      </c>
    </row>
    <row r="40" spans="1:4" x14ac:dyDescent="0.2">
      <c r="C40" s="45">
        <f>C38-[1]OAvsACT!$C$41</f>
        <v>23.843400102108717</v>
      </c>
      <c r="D40" s="163">
        <f>-D38+[1]OAvsACT!$G$41</f>
        <v>-23.843400102108717</v>
      </c>
    </row>
    <row r="41" spans="1:4" x14ac:dyDescent="0.2">
      <c r="C41" s="45"/>
      <c r="D41" s="164"/>
    </row>
    <row r="42" spans="1:4" x14ac:dyDescent="0.2">
      <c r="C42" s="45"/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>
      <c r="C70" s="2"/>
    </row>
    <row r="71" spans="3:3" hidden="1" x14ac:dyDescent="0.2"/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7" spans="1:4" ht="13.5" thickBot="1" x14ac:dyDescent="0.25"/>
    <row r="98" spans="1:4" ht="18.75" thickBot="1" x14ac:dyDescent="0.3">
      <c r="A98" s="105" t="s">
        <v>12</v>
      </c>
      <c r="B98" s="106" t="s">
        <v>91</v>
      </c>
      <c r="C98" s="107" t="s">
        <v>8</v>
      </c>
      <c r="D98" s="107" t="s">
        <v>9</v>
      </c>
    </row>
    <row r="99" spans="1:4" x14ac:dyDescent="0.2">
      <c r="A99" s="102" t="s">
        <v>14</v>
      </c>
      <c r="B99" s="146">
        <f>'CE-FLSH'!$M$82</f>
        <v>-731602.00571049377</v>
      </c>
      <c r="C99" s="60">
        <f>CE_GL!$E$82</f>
        <v>82449.314000024926</v>
      </c>
      <c r="D99" s="108">
        <f t="shared" ref="D99:D108" si="2">C99-B99</f>
        <v>814051.3197105187</v>
      </c>
    </row>
    <row r="100" spans="1:4" x14ac:dyDescent="0.2">
      <c r="A100" s="102" t="s">
        <v>15</v>
      </c>
      <c r="B100" s="146">
        <f>'NE-FLSH'!$M$82</f>
        <v>686320.74475360289</v>
      </c>
      <c r="C100" s="60">
        <f>NE_GL!$E$82</f>
        <v>-1736842.2729999442</v>
      </c>
      <c r="D100" s="108">
        <f t="shared" si="2"/>
        <v>-2423163.0177535471</v>
      </c>
    </row>
    <row r="101" spans="1:4" x14ac:dyDescent="0.2">
      <c r="A101" s="102" t="s">
        <v>16</v>
      </c>
      <c r="B101" s="145">
        <f>'SE-EGM-FLSH'!$M$82</f>
        <v>0</v>
      </c>
      <c r="C101" s="60">
        <f>'SE-EGM-GL'!$E$82</f>
        <v>0</v>
      </c>
      <c r="D101" s="108">
        <f t="shared" si="2"/>
        <v>0</v>
      </c>
    </row>
    <row r="102" spans="1:4" x14ac:dyDescent="0.2">
      <c r="A102" s="102" t="s">
        <v>17</v>
      </c>
      <c r="B102" s="145">
        <f>'SE-LRC-FLSH'!$M$82</f>
        <v>-2776295.5871700263</v>
      </c>
      <c r="C102" s="60">
        <f>'SE-LRC-GL'!$E$82</f>
        <v>209708.18199999374</v>
      </c>
      <c r="D102" s="108">
        <f t="shared" si="2"/>
        <v>2986003.7691700198</v>
      </c>
    </row>
    <row r="103" spans="1:4" x14ac:dyDescent="0.2">
      <c r="A103" s="102" t="s">
        <v>18</v>
      </c>
      <c r="B103" s="145">
        <f>'TX-EGM-FLSH'!$M$82</f>
        <v>-251078.46901477501</v>
      </c>
      <c r="C103" s="60">
        <f>'TX-EGM-GL'!$E$82</f>
        <v>702522.30599999346</v>
      </c>
      <c r="D103" s="108">
        <f t="shared" si="2"/>
        <v>953600.77501476847</v>
      </c>
    </row>
    <row r="104" spans="1:4" x14ac:dyDescent="0.2">
      <c r="A104" s="102" t="s">
        <v>19</v>
      </c>
      <c r="B104" s="145">
        <f>'TX-HPL-FLSH'!$M$82</f>
        <v>-21086.215697929263</v>
      </c>
      <c r="C104" s="60">
        <f>'TX-HPL-GL '!$E$82</f>
        <v>-1045618.5835999935</v>
      </c>
      <c r="D104" s="108">
        <f t="shared" si="2"/>
        <v>-1024532.3679020642</v>
      </c>
    </row>
    <row r="105" spans="1:4" x14ac:dyDescent="0.2">
      <c r="A105" s="102" t="s">
        <v>20</v>
      </c>
      <c r="B105" s="145">
        <f>'WE-FLSH'!$M$82</f>
        <v>244501.05100993812</v>
      </c>
      <c r="C105" s="60">
        <f>'WE-GL '!$E$82</f>
        <v>46776.745999997482</v>
      </c>
      <c r="D105" s="108">
        <f t="shared" si="2"/>
        <v>-197724.30500994064</v>
      </c>
    </row>
    <row r="106" spans="1:4" x14ac:dyDescent="0.2">
      <c r="A106" s="102" t="s">
        <v>21</v>
      </c>
      <c r="B106" s="145">
        <f>STG_FLSH!$M$82</f>
        <v>1540000</v>
      </c>
      <c r="C106" s="60">
        <f>STG_GL!$E$82</f>
        <v>1722384</v>
      </c>
      <c r="D106" s="108">
        <f t="shared" si="2"/>
        <v>182384</v>
      </c>
    </row>
    <row r="107" spans="1:4" x14ac:dyDescent="0.2">
      <c r="A107" s="102" t="s">
        <v>22</v>
      </c>
      <c r="B107" s="145">
        <f>TRNSPT_FLSH!$M$82</f>
        <v>0</v>
      </c>
      <c r="C107" s="60">
        <f>'TRANSPT_GL '!$E$82</f>
        <v>0</v>
      </c>
      <c r="D107" s="108">
        <f t="shared" si="2"/>
        <v>0</v>
      </c>
    </row>
    <row r="108" spans="1:4" x14ac:dyDescent="0.2">
      <c r="A108" s="102" t="s">
        <v>176</v>
      </c>
      <c r="B108" s="145">
        <f>BGC_FLSH!$M$82</f>
        <v>-51617</v>
      </c>
      <c r="C108" s="60">
        <f>BGC_GL!$E$82</f>
        <v>788060.21200000378</v>
      </c>
      <c r="D108" s="108">
        <f t="shared" si="2"/>
        <v>839677.21200000378</v>
      </c>
    </row>
    <row r="109" spans="1:4" ht="13.5" thickBot="1" x14ac:dyDescent="0.25">
      <c r="A109" s="102" t="s">
        <v>10</v>
      </c>
      <c r="B109" s="61">
        <f>SUM(B99:B108)</f>
        <v>-1360857.4818296833</v>
      </c>
      <c r="C109" s="61">
        <f>SUM(C99:C108)</f>
        <v>769439.90340007585</v>
      </c>
      <c r="D109" s="109">
        <f>SUM(D99:D108)</f>
        <v>2130297.3852297589</v>
      </c>
    </row>
    <row r="110" spans="1:4" ht="13.5" thickBot="1" x14ac:dyDescent="0.25">
      <c r="A110" s="103" t="s">
        <v>23</v>
      </c>
      <c r="B110" s="104">
        <f>TOTAL!$E$82</f>
        <v>-1360857.4818297233</v>
      </c>
      <c r="C110" s="104">
        <f>TOTAL!$G$82</f>
        <v>769439.90340010356</v>
      </c>
      <c r="D110" s="110">
        <f>TOTAL!$I$82</f>
        <v>2130297.3852297766</v>
      </c>
    </row>
    <row r="111" spans="1:4" x14ac:dyDescent="0.2">
      <c r="B111" s="45"/>
      <c r="C111" s="45"/>
      <c r="D111" s="45"/>
    </row>
    <row r="112" spans="1:4" x14ac:dyDescent="0.2">
      <c r="B112" s="45">
        <f>+B109-B110</f>
        <v>4.0046870708465576E-8</v>
      </c>
      <c r="C112" s="45">
        <f>+C109-C110</f>
        <v>-2.7706846594810486E-8</v>
      </c>
      <c r="D112" s="45"/>
    </row>
    <row r="113" spans="1:4" ht="13.5" thickBot="1" x14ac:dyDescent="0.25"/>
    <row r="114" spans="1:4" ht="18.75" thickBot="1" x14ac:dyDescent="0.3">
      <c r="A114" s="105" t="s">
        <v>12</v>
      </c>
      <c r="B114" s="106" t="s">
        <v>166</v>
      </c>
      <c r="C114" s="107" t="s">
        <v>8</v>
      </c>
      <c r="D114" s="107" t="s">
        <v>9</v>
      </c>
    </row>
    <row r="115" spans="1:4" x14ac:dyDescent="0.2">
      <c r="A115" s="102" t="s">
        <v>14</v>
      </c>
      <c r="B115" s="146">
        <f>'[1]ST Warroom 97&amp;98'!$B$89</f>
        <v>0</v>
      </c>
      <c r="C115" s="60">
        <f>C99</f>
        <v>82449.314000024926</v>
      </c>
      <c r="D115" s="108">
        <f t="shared" ref="D115:D122" si="3">C115-B115</f>
        <v>82449.314000024926</v>
      </c>
    </row>
    <row r="116" spans="1:4" x14ac:dyDescent="0.2">
      <c r="A116" s="102" t="s">
        <v>15</v>
      </c>
      <c r="B116" s="146">
        <f>'[1]ST Warroom 97&amp;98'!$C$89</f>
        <v>0</v>
      </c>
      <c r="C116" s="60">
        <f>C100</f>
        <v>-1736842.2729999442</v>
      </c>
      <c r="D116" s="108">
        <f t="shared" si="3"/>
        <v>-1736842.2729999442</v>
      </c>
    </row>
    <row r="117" spans="1:4" x14ac:dyDescent="0.2">
      <c r="A117" s="102" t="s">
        <v>167</v>
      </c>
      <c r="B117" s="145">
        <f>'[1]ST Warroom 97&amp;98'!$E$89</f>
        <v>0</v>
      </c>
      <c r="C117" s="60">
        <f>C101+C102</f>
        <v>209708.18199999374</v>
      </c>
      <c r="D117" s="108">
        <f t="shared" si="3"/>
        <v>209708.18199999374</v>
      </c>
    </row>
    <row r="118" spans="1:4" x14ac:dyDescent="0.2">
      <c r="A118" s="102" t="s">
        <v>168</v>
      </c>
      <c r="B118" s="145">
        <f>'[1]ST Warroom 97&amp;98'!$F$89</f>
        <v>0</v>
      </c>
      <c r="C118" s="60">
        <f>C103+C104</f>
        <v>-343096.27760000003</v>
      </c>
      <c r="D118" s="108">
        <f t="shared" si="3"/>
        <v>-343096.27760000003</v>
      </c>
    </row>
    <row r="119" spans="1:4" x14ac:dyDescent="0.2">
      <c r="A119" s="102" t="s">
        <v>20</v>
      </c>
      <c r="B119" s="145">
        <f>'[1]ST Warroom 97&amp;98'!$G$89</f>
        <v>0</v>
      </c>
      <c r="C119" s="60">
        <f>C105</f>
        <v>46776.745999997482</v>
      </c>
      <c r="D119" s="108">
        <f t="shared" si="3"/>
        <v>46776.745999997482</v>
      </c>
    </row>
    <row r="120" spans="1:4" x14ac:dyDescent="0.2">
      <c r="A120" s="102" t="s">
        <v>21</v>
      </c>
      <c r="B120" s="145">
        <f>'[1]ST Warroom 97&amp;98'!$H$89</f>
        <v>0</v>
      </c>
      <c r="C120" s="60">
        <f>C106</f>
        <v>1722384</v>
      </c>
      <c r="D120" s="108">
        <f t="shared" si="3"/>
        <v>1722384</v>
      </c>
    </row>
    <row r="121" spans="1:4" x14ac:dyDescent="0.2">
      <c r="A121" s="102" t="s">
        <v>22</v>
      </c>
      <c r="B121" s="145">
        <f>'[1]ST Warroom 97&amp;98'!$I$89</f>
        <v>0</v>
      </c>
      <c r="C121" s="60">
        <f>C107</f>
        <v>0</v>
      </c>
      <c r="D121" s="108">
        <f t="shared" si="3"/>
        <v>0</v>
      </c>
    </row>
    <row r="122" spans="1:4" x14ac:dyDescent="0.2">
      <c r="A122" s="102" t="s">
        <v>176</v>
      </c>
      <c r="B122" s="145">
        <f>'[1]ST Warroom 97&amp;98'!$D$89</f>
        <v>0</v>
      </c>
      <c r="C122" s="60">
        <f>C108</f>
        <v>788060.21200000378</v>
      </c>
      <c r="D122" s="108">
        <f t="shared" si="3"/>
        <v>788060.21200000378</v>
      </c>
    </row>
    <row r="123" spans="1:4" ht="13.5" thickBot="1" x14ac:dyDescent="0.25">
      <c r="A123" s="102" t="s">
        <v>10</v>
      </c>
      <c r="B123" s="61">
        <f>SUM(B115:B122)</f>
        <v>0</v>
      </c>
      <c r="C123" s="61">
        <f>SUM(C115:C122)</f>
        <v>769439.90340007585</v>
      </c>
      <c r="D123" s="109">
        <f>SUM(D115:D122)</f>
        <v>769439.90340007585</v>
      </c>
    </row>
    <row r="124" spans="1:4" ht="13.5" thickBot="1" x14ac:dyDescent="0.25">
      <c r="A124" s="103" t="s">
        <v>169</v>
      </c>
      <c r="B124" s="104">
        <f>'[1]ST Warroom 97&amp;98'!$M$89</f>
        <v>0</v>
      </c>
      <c r="C124" s="104">
        <f>TOTAL!$G$82</f>
        <v>769439.90340010356</v>
      </c>
      <c r="D124" s="110">
        <f>C124-B124</f>
        <v>769439.90340010356</v>
      </c>
    </row>
    <row r="126" spans="1:4" x14ac:dyDescent="0.2">
      <c r="C126" s="45">
        <f>C124-[1]OAvsACT!$C$39</f>
        <v>-27342584.876599897</v>
      </c>
      <c r="D126" s="163">
        <f>-D124+[1]OAvsACT!$G$39</f>
        <v>1902564.8765998976</v>
      </c>
    </row>
    <row r="128" spans="1:4" x14ac:dyDescent="0.2">
      <c r="D128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M187"/>
  <sheetViews>
    <sheetView zoomScale="75" workbookViewId="0">
      <pane xSplit="3" ySplit="9" topLeftCell="AB42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124062383</v>
      </c>
      <c r="E11" s="38">
        <f t="shared" si="0"/>
        <v>267904097.63000005</v>
      </c>
      <c r="F11" s="60">
        <f>'TIE-OUT'!H11+RECLASS!H11</f>
        <v>0</v>
      </c>
      <c r="G11" s="38">
        <f>'TIE-OUT'!I11+RECLASS!I11</f>
        <v>0</v>
      </c>
      <c r="H11" s="133">
        <f>+Actuals!E164</f>
        <v>124181509</v>
      </c>
      <c r="I11" s="134">
        <f>+Actuals!F164</f>
        <v>260925509.26999998</v>
      </c>
      <c r="J11" s="133">
        <f>+Actuals!G164</f>
        <v>1547321</v>
      </c>
      <c r="K11" s="153">
        <f>+Actuals!H164</f>
        <v>14039133.539999999</v>
      </c>
      <c r="L11" s="133">
        <f>+Actuals!I164</f>
        <v>1052</v>
      </c>
      <c r="M11" s="134">
        <f>+Actuals!J164</f>
        <v>-548413.78</v>
      </c>
      <c r="N11" s="133">
        <f>+Actuals!K164</f>
        <v>-59812</v>
      </c>
      <c r="O11" s="134">
        <f>+Actuals!L164</f>
        <v>-5992506.8799999999</v>
      </c>
      <c r="P11" s="133">
        <f>+Actuals!M164</f>
        <v>-1607936</v>
      </c>
      <c r="Q11" s="134">
        <f>+Actuals!N164</f>
        <v>-4670784.62</v>
      </c>
      <c r="R11" s="133">
        <f>+Actuals!O164</f>
        <v>249</v>
      </c>
      <c r="S11" s="134">
        <f>+Actuals!P164</f>
        <v>438.86</v>
      </c>
      <c r="T11" s="133">
        <f>+Actuals!Q164</f>
        <v>0</v>
      </c>
      <c r="U11" s="134">
        <f>+Actuals!R164</f>
        <v>-3838.39</v>
      </c>
      <c r="V11" s="133">
        <f>+Actuals!S164</f>
        <v>0</v>
      </c>
      <c r="W11" s="134">
        <f>+Actuals!T164</f>
        <v>194130.93</v>
      </c>
      <c r="X11" s="133">
        <f>+Actuals!U164</f>
        <v>0</v>
      </c>
      <c r="Y11" s="134">
        <f>+Actuals!V164</f>
        <v>0</v>
      </c>
      <c r="Z11" s="133">
        <f>+Actuals!W164</f>
        <v>0</v>
      </c>
      <c r="AA11" s="134">
        <f>+Actuals!X164</f>
        <v>3960185</v>
      </c>
      <c r="AB11" s="133">
        <f>+Actuals!Y164</f>
        <v>0</v>
      </c>
      <c r="AC11" s="134">
        <f>+Actuals!Z164</f>
        <v>243.7</v>
      </c>
      <c r="AD11" s="133">
        <f>+Actuals!AA164</f>
        <v>0</v>
      </c>
      <c r="AE11" s="134">
        <f>+Actuals!AB164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  <c r="AL11" s="133">
        <f>+Actuals!AI244</f>
        <v>0</v>
      </c>
      <c r="AM11" s="134">
        <f>+Actuals!AJ244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'TIE-OUT'!H12+RECLASS!H12</f>
        <v>0</v>
      </c>
      <c r="G12" s="38">
        <f>'TIE-OUT'!I12+RECLASS!I12</f>
        <v>-15935494.610000001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+Actuals!H165-296860.04</f>
        <v>-296860.03999999998</v>
      </c>
      <c r="L12" s="133">
        <f>+Actuals!I165</f>
        <v>0</v>
      </c>
      <c r="M12" s="134">
        <v>-127827.78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70923796</v>
      </c>
      <c r="E13" s="38">
        <f t="shared" si="0"/>
        <v>147978095</v>
      </c>
      <c r="F13" s="60">
        <f>'TIE-OUT'!H13+RECLASS!H13</f>
        <v>0</v>
      </c>
      <c r="G13" s="38">
        <f>'TIE-OUT'!I13+RECLASS!I13</f>
        <v>0</v>
      </c>
      <c r="H13" s="133">
        <f>+Actuals!E166</f>
        <v>70923796</v>
      </c>
      <c r="I13" s="134">
        <f>+Actuals!F166</f>
        <v>147978095</v>
      </c>
      <c r="J13" s="133">
        <f>+Actuals!G166</f>
        <v>0</v>
      </c>
      <c r="K13" s="153">
        <f>+Actuals!H166</f>
        <v>0</v>
      </c>
      <c r="L13" s="133">
        <f>+Actuals!I166</f>
        <v>0</v>
      </c>
      <c r="M13" s="134">
        <f>+Actuals!J166</f>
        <v>0</v>
      </c>
      <c r="N13" s="133">
        <f>+Actuals!K166</f>
        <v>2271</v>
      </c>
      <c r="O13" s="134">
        <f>+Actuals!L166</f>
        <v>3910</v>
      </c>
      <c r="P13" s="133">
        <f>+Actuals!M166</f>
        <v>0</v>
      </c>
      <c r="Q13" s="134">
        <f>+Actuals!N166</f>
        <v>0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0</v>
      </c>
      <c r="Y13" s="134">
        <f>+Actuals!V166</f>
        <v>0</v>
      </c>
      <c r="Z13" s="133">
        <f>+Actuals!W166</f>
        <v>85200</v>
      </c>
      <c r="AA13" s="134">
        <f>+Actuals!X166</f>
        <v>149851</v>
      </c>
      <c r="AB13" s="133">
        <f>+Actuals!Y166</f>
        <v>85200</v>
      </c>
      <c r="AC13" s="134">
        <f>+Actuals!Z166</f>
        <v>149851</v>
      </c>
      <c r="AD13" s="133">
        <f>+Actuals!AA166</f>
        <v>-172671</v>
      </c>
      <c r="AE13" s="134">
        <f>+Actuals!AB166</f>
        <v>-303612</v>
      </c>
      <c r="AF13" s="133">
        <f>+Actuals!AC246</f>
        <v>172671</v>
      </c>
      <c r="AG13" s="134">
        <f>+Actuals!AD246</f>
        <v>303612</v>
      </c>
      <c r="AH13" s="133">
        <f>+Actuals!AE246</f>
        <v>0</v>
      </c>
      <c r="AI13" s="134">
        <f>+Actuals!AF246</f>
        <v>0</v>
      </c>
      <c r="AJ13" s="133">
        <f>+Actuals!AG246</f>
        <v>-172671</v>
      </c>
      <c r="AK13" s="134">
        <f>+Actuals!AH246</f>
        <v>-303612</v>
      </c>
      <c r="AL13" s="133">
        <f>+Actuals!AI246</f>
        <v>0</v>
      </c>
      <c r="AM13" s="134">
        <f>+Actuals!AJ246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4">
        <f>+Actuals!AB168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194986179</v>
      </c>
      <c r="E16" s="39">
        <f t="shared" si="1"/>
        <v>399522010.20000005</v>
      </c>
      <c r="F16" s="61">
        <f t="shared" si="1"/>
        <v>0</v>
      </c>
      <c r="G16" s="39">
        <f t="shared" si="1"/>
        <v>-15935494.610000001</v>
      </c>
      <c r="H16" s="61">
        <f t="shared" si="1"/>
        <v>195105305</v>
      </c>
      <c r="I16" s="39">
        <f t="shared" si="1"/>
        <v>408903604.26999998</v>
      </c>
      <c r="J16" s="61">
        <f t="shared" si="1"/>
        <v>1547321</v>
      </c>
      <c r="K16" s="154">
        <f t="shared" si="1"/>
        <v>13742273.5</v>
      </c>
      <c r="L16" s="61">
        <f t="shared" si="1"/>
        <v>1052</v>
      </c>
      <c r="M16" s="39">
        <f t="shared" si="1"/>
        <v>-676241.56</v>
      </c>
      <c r="N16" s="61">
        <f t="shared" si="1"/>
        <v>-57541</v>
      </c>
      <c r="O16" s="39">
        <f t="shared" si="1"/>
        <v>-5988596.8799999999</v>
      </c>
      <c r="P16" s="61">
        <f t="shared" si="1"/>
        <v>-1607936</v>
      </c>
      <c r="Q16" s="39">
        <f t="shared" si="1"/>
        <v>-4670784.62</v>
      </c>
      <c r="R16" s="61">
        <f t="shared" si="1"/>
        <v>249</v>
      </c>
      <c r="S16" s="39">
        <f t="shared" si="1"/>
        <v>438.86</v>
      </c>
      <c r="T16" s="61">
        <f t="shared" si="1"/>
        <v>0</v>
      </c>
      <c r="U16" s="39">
        <f t="shared" si="1"/>
        <v>-3838.39</v>
      </c>
      <c r="V16" s="61">
        <f t="shared" si="1"/>
        <v>0</v>
      </c>
      <c r="W16" s="39">
        <f t="shared" si="1"/>
        <v>194130.93</v>
      </c>
      <c r="X16" s="61">
        <f t="shared" si="1"/>
        <v>0</v>
      </c>
      <c r="Y16" s="39">
        <f t="shared" si="1"/>
        <v>0</v>
      </c>
      <c r="Z16" s="61">
        <f t="shared" si="1"/>
        <v>85200</v>
      </c>
      <c r="AA16" s="39">
        <f t="shared" si="1"/>
        <v>4110036</v>
      </c>
      <c r="AB16" s="61">
        <f t="shared" si="1"/>
        <v>85200</v>
      </c>
      <c r="AC16" s="39">
        <f t="shared" si="1"/>
        <v>150094.70000000001</v>
      </c>
      <c r="AD16" s="61">
        <f t="shared" si="1"/>
        <v>-172671</v>
      </c>
      <c r="AE16" s="39">
        <f t="shared" si="1"/>
        <v>-303612</v>
      </c>
      <c r="AF16" s="61">
        <f t="shared" si="1"/>
        <v>172671</v>
      </c>
      <c r="AG16" s="39">
        <f t="shared" si="1"/>
        <v>303612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-172671</v>
      </c>
      <c r="AK16" s="39">
        <f t="shared" si="2"/>
        <v>-303612</v>
      </c>
      <c r="AL16" s="61">
        <f t="shared" si="2"/>
        <v>0</v>
      </c>
      <c r="AM16" s="39">
        <f t="shared" si="2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-119302634</v>
      </c>
      <c r="E19" s="38">
        <f t="shared" si="3"/>
        <v>-226419489.44999999</v>
      </c>
      <c r="F19" s="64">
        <f>'TIE-OUT'!H19+RECLASS!H19</f>
        <v>0</v>
      </c>
      <c r="G19" s="68">
        <f>'TIE-OUT'!I19+RECLASS!I19</f>
        <v>-98101</v>
      </c>
      <c r="H19" s="133">
        <f>+Actuals!E169</f>
        <v>-118894924</v>
      </c>
      <c r="I19" s="134">
        <f>+Actuals!F169</f>
        <v>-223154302.16999999</v>
      </c>
      <c r="J19" s="133">
        <f>+Actuals!G169</f>
        <v>-1193507</v>
      </c>
      <c r="K19" s="153">
        <f>+Actuals!H169</f>
        <v>-6221527.0399999991</v>
      </c>
      <c r="L19" s="133">
        <f>+Actuals!I169</f>
        <v>-776315</v>
      </c>
      <c r="M19" s="134">
        <f>+Actuals!J169</f>
        <v>370185.84</v>
      </c>
      <c r="N19" s="133">
        <f>+Actuals!K169</f>
        <v>14197</v>
      </c>
      <c r="O19" s="134">
        <f>+Actuals!L169</f>
        <v>134223.38</v>
      </c>
      <c r="P19" s="133">
        <f>+Actuals!M169</f>
        <v>1549484</v>
      </c>
      <c r="Q19" s="134">
        <f>+Actuals!N169</f>
        <v>2624268.5699999998</v>
      </c>
      <c r="R19" s="133">
        <f>+Actuals!O169</f>
        <v>-1462</v>
      </c>
      <c r="S19" s="134">
        <f>+Actuals!P169</f>
        <v>-6982.89</v>
      </c>
      <c r="T19" s="133">
        <f>+Actuals!Q169</f>
        <v>-37</v>
      </c>
      <c r="U19" s="134">
        <f>+Actuals!R169</f>
        <v>-777.99</v>
      </c>
      <c r="V19" s="133">
        <f>+Actuals!S169</f>
        <v>0</v>
      </c>
      <c r="W19" s="134">
        <f>+Actuals!T169</f>
        <v>-65565.38</v>
      </c>
      <c r="X19" s="133">
        <f>+Actuals!U169</f>
        <v>-70</v>
      </c>
      <c r="Y19" s="134">
        <f>+Actuals!V169</f>
        <v>-135.77000000000001</v>
      </c>
      <c r="Z19" s="133">
        <f>+Actuals!W169</f>
        <v>0</v>
      </c>
      <c r="AA19" s="134">
        <f>+Actuals!X169</f>
        <v>-775</v>
      </c>
      <c r="AB19" s="133">
        <f>+Actuals!Y169</f>
        <v>0</v>
      </c>
      <c r="AC19" s="134">
        <f>+Actuals!Z169</f>
        <v>0</v>
      </c>
      <c r="AD19" s="133">
        <f>+Actuals!AA169</f>
        <v>0</v>
      </c>
      <c r="AE19" s="134">
        <f>+Actuals!AB169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  <c r="AL19" s="133">
        <f>+Actuals!AI249</f>
        <v>0</v>
      </c>
      <c r="AM19" s="134">
        <f>+Actuals!AJ249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8475325.2800000012</v>
      </c>
      <c r="F20" s="60">
        <f>'TIE-OUT'!H20+RECLASS!H20</f>
        <v>0</v>
      </c>
      <c r="G20" s="38">
        <f>'TIE-OUT'!I20+RECLASS!I20</f>
        <v>8186928.1100000003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+Actuals!H170+288397.17</f>
        <v>288397.17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-69466461</v>
      </c>
      <c r="E21" s="38">
        <f t="shared" si="3"/>
        <v>-145653791</v>
      </c>
      <c r="F21" s="60">
        <f>'TIE-OUT'!H21+RECLASS!H21</f>
        <v>0</v>
      </c>
      <c r="G21" s="38">
        <f>'TIE-OUT'!I21+RECLASS!I21</f>
        <v>0</v>
      </c>
      <c r="H21" s="133">
        <f>+Actuals!E171</f>
        <v>-69466461</v>
      </c>
      <c r="I21" s="134">
        <f>+Actuals!F171</f>
        <v>-145653791</v>
      </c>
      <c r="J21" s="133">
        <f>+Actuals!G171</f>
        <v>0</v>
      </c>
      <c r="K21" s="153">
        <f>+Actuals!H171</f>
        <v>0</v>
      </c>
      <c r="L21" s="133">
        <f>+Actuals!I171</f>
        <v>0</v>
      </c>
      <c r="M21" s="134">
        <f>+Actuals!J171</f>
        <v>0</v>
      </c>
      <c r="N21" s="133">
        <f>+Actuals!K171</f>
        <v>459988</v>
      </c>
      <c r="O21" s="134">
        <f>+Actuals!L171</f>
        <v>806778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0</v>
      </c>
      <c r="Y21" s="134">
        <f>+Actuals!V171</f>
        <v>0</v>
      </c>
      <c r="Z21" s="133">
        <f>+Actuals!W171</f>
        <v>-85200</v>
      </c>
      <c r="AA21" s="134">
        <f>+Actuals!X171</f>
        <v>-149851</v>
      </c>
      <c r="AB21" s="133">
        <f>+Actuals!Y171</f>
        <v>-85200</v>
      </c>
      <c r="AC21" s="134">
        <f>+Actuals!Z171</f>
        <v>-149851</v>
      </c>
      <c r="AD21" s="133">
        <f>+Actuals!AA171</f>
        <v>-289588</v>
      </c>
      <c r="AE21" s="134">
        <f>+Actuals!AB171</f>
        <v>-507076</v>
      </c>
      <c r="AF21" s="133">
        <f>+Actuals!AC251</f>
        <v>289588</v>
      </c>
      <c r="AG21" s="134">
        <f>+Actuals!AD251</f>
        <v>507076</v>
      </c>
      <c r="AH21" s="133">
        <f>+Actuals!AE251</f>
        <v>0</v>
      </c>
      <c r="AI21" s="134">
        <f>+Actuals!AF251</f>
        <v>0</v>
      </c>
      <c r="AJ21" s="133">
        <f>+Actuals!AG251</f>
        <v>-289588</v>
      </c>
      <c r="AK21" s="134">
        <f>+Actuals!AH251</f>
        <v>-507076</v>
      </c>
      <c r="AL21" s="133">
        <f>+Actuals!AI251</f>
        <v>0</v>
      </c>
      <c r="AM21" s="134">
        <f>+Actuals!AJ251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1259837</v>
      </c>
      <c r="E23" s="38">
        <f t="shared" si="3"/>
        <v>2226131.9790000003</v>
      </c>
      <c r="F23" s="81">
        <f>'TIE-OUT'!H23+RECLASS!H23</f>
        <v>0</v>
      </c>
      <c r="G23" s="82">
        <f>'TIE-OUT'!I23+RECLASS!I23</f>
        <v>0</v>
      </c>
      <c r="H23" s="133">
        <f>+Actuals!E173</f>
        <v>1436350</v>
      </c>
      <c r="I23" s="134">
        <f>+Actuals!F173</f>
        <v>2538030.4500000002</v>
      </c>
      <c r="J23" s="133">
        <f>+Actuals!G173</f>
        <v>-111457</v>
      </c>
      <c r="K23" s="153">
        <f>+Actuals!H173</f>
        <v>-196944.519</v>
      </c>
      <c r="L23" s="133">
        <f>+Actuals!I173</f>
        <v>-89715</v>
      </c>
      <c r="M23" s="134">
        <f>+Actuals!J173</f>
        <v>-158526.405</v>
      </c>
      <c r="N23" s="133">
        <f>+Actuals!K173</f>
        <v>24707</v>
      </c>
      <c r="O23" s="134">
        <f>+Actuals!L173</f>
        <v>43657.269</v>
      </c>
      <c r="P23" s="133">
        <f>+Actuals!M173</f>
        <v>0</v>
      </c>
      <c r="Q23" s="134">
        <f>+Actuals!N173</f>
        <v>0</v>
      </c>
      <c r="R23" s="133">
        <f>+Actuals!O173</f>
        <v>-48</v>
      </c>
      <c r="S23" s="134">
        <f>+Actuals!P173</f>
        <v>-84.816000000000003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4">
        <f>+Actuals!AB173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-187509258</v>
      </c>
      <c r="E24" s="39">
        <f t="shared" si="4"/>
        <v>-361371823.19099998</v>
      </c>
      <c r="F24" s="61">
        <f t="shared" si="4"/>
        <v>0</v>
      </c>
      <c r="G24" s="39">
        <f t="shared" si="4"/>
        <v>8088827.1100000003</v>
      </c>
      <c r="H24" s="61">
        <f t="shared" si="4"/>
        <v>-186925035</v>
      </c>
      <c r="I24" s="39">
        <f t="shared" si="4"/>
        <v>-366270062.71999997</v>
      </c>
      <c r="J24" s="61">
        <f t="shared" si="4"/>
        <v>-1304964</v>
      </c>
      <c r="K24" s="154">
        <f t="shared" si="4"/>
        <v>-6130074.3889999995</v>
      </c>
      <c r="L24" s="61">
        <f t="shared" si="4"/>
        <v>-866030</v>
      </c>
      <c r="M24" s="39">
        <f t="shared" si="4"/>
        <v>211659.43500000003</v>
      </c>
      <c r="N24" s="61">
        <f t="shared" si="4"/>
        <v>498892</v>
      </c>
      <c r="O24" s="39">
        <f t="shared" si="4"/>
        <v>984658.64899999998</v>
      </c>
      <c r="P24" s="61">
        <f t="shared" si="4"/>
        <v>1549484</v>
      </c>
      <c r="Q24" s="39">
        <f t="shared" si="4"/>
        <v>2624268.5699999998</v>
      </c>
      <c r="R24" s="61">
        <f t="shared" si="4"/>
        <v>-1510</v>
      </c>
      <c r="S24" s="39">
        <f t="shared" si="4"/>
        <v>-7067.7060000000001</v>
      </c>
      <c r="T24" s="61">
        <f t="shared" si="4"/>
        <v>-37</v>
      </c>
      <c r="U24" s="39">
        <f t="shared" si="4"/>
        <v>-777.99</v>
      </c>
      <c r="V24" s="61">
        <f t="shared" si="4"/>
        <v>0</v>
      </c>
      <c r="W24" s="39">
        <f t="shared" si="4"/>
        <v>-65565.38</v>
      </c>
      <c r="X24" s="61">
        <f t="shared" si="4"/>
        <v>-70</v>
      </c>
      <c r="Y24" s="39">
        <f t="shared" si="4"/>
        <v>-135.77000000000001</v>
      </c>
      <c r="Z24" s="61">
        <f t="shared" si="4"/>
        <v>-85200</v>
      </c>
      <c r="AA24" s="39">
        <f t="shared" si="4"/>
        <v>-150626</v>
      </c>
      <c r="AB24" s="61">
        <f t="shared" si="4"/>
        <v>-85200</v>
      </c>
      <c r="AC24" s="39">
        <f t="shared" si="4"/>
        <v>-149851</v>
      </c>
      <c r="AD24" s="61">
        <f t="shared" si="4"/>
        <v>-289588</v>
      </c>
      <c r="AE24" s="39">
        <f t="shared" si="4"/>
        <v>-507076</v>
      </c>
      <c r="AF24" s="61">
        <f t="shared" si="4"/>
        <v>289588</v>
      </c>
      <c r="AG24" s="39">
        <f t="shared" si="4"/>
        <v>507076</v>
      </c>
      <c r="AH24" s="61">
        <f t="shared" ref="AH24:AM24" si="5">SUM(AH19:AH23)</f>
        <v>0</v>
      </c>
      <c r="AI24" s="39">
        <f t="shared" si="5"/>
        <v>0</v>
      </c>
      <c r="AJ24" s="61">
        <f t="shared" si="5"/>
        <v>-289588</v>
      </c>
      <c r="AK24" s="39">
        <f t="shared" si="5"/>
        <v>-507076</v>
      </c>
      <c r="AL24" s="61">
        <f t="shared" si="5"/>
        <v>0</v>
      </c>
      <c r="AM24" s="39">
        <f t="shared" si="5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9657096</v>
      </c>
      <c r="E27" s="38">
        <f>SUM(G27,I27,K27,M27,O27,Q27,S27,U27,W27,Y27,AA27,AC27,AE27,AG27,AI27,AK27,AM27)</f>
        <v>17557451.59</v>
      </c>
      <c r="F27" s="64">
        <f>'TIE-OUT'!H27+RECLASS!H27</f>
        <v>0</v>
      </c>
      <c r="G27" s="68">
        <f>'TIE-OUT'!I27+RECLASS!I27</f>
        <v>0</v>
      </c>
      <c r="H27" s="133">
        <f>+Actuals!E174</f>
        <v>9657096</v>
      </c>
      <c r="I27" s="134">
        <f>+Actuals!F174</f>
        <v>17557451.59</v>
      </c>
      <c r="J27" s="133">
        <f>+Actuals!G174</f>
        <v>0</v>
      </c>
      <c r="K27" s="153">
        <f>+Actuals!H174</f>
        <v>0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-4219301</v>
      </c>
      <c r="E28" s="38">
        <f>SUM(G28,I28,K28,M28,O28,Q28,S28,U28,W28,Y28,AA28,AC28,AE28,AG28,AI28,AK28,AM28)</f>
        <v>-7858592.4499999993</v>
      </c>
      <c r="F28" s="81">
        <f>'TIE-OUT'!H28+RECLASS!H28</f>
        <v>0</v>
      </c>
      <c r="G28" s="82">
        <f>'TIE-OUT'!I28+RECLASS!I28</f>
        <v>0</v>
      </c>
      <c r="H28" s="133">
        <f>+Actuals!E175</f>
        <v>-4219308</v>
      </c>
      <c r="I28" s="134">
        <f>+Actuals!F175</f>
        <v>-7858604.8099999996</v>
      </c>
      <c r="J28" s="133">
        <f>+Actuals!G175</f>
        <v>7</v>
      </c>
      <c r="K28" s="153">
        <f>+Actuals!H175</f>
        <v>12.36</v>
      </c>
      <c r="L28" s="133">
        <f>+Actuals!I175</f>
        <v>0</v>
      </c>
      <c r="M28" s="134">
        <f>+Actuals!J175</f>
        <v>0</v>
      </c>
      <c r="N28" s="133">
        <f>+Actuals!K175</f>
        <v>0</v>
      </c>
      <c r="O28" s="134">
        <f>+Actuals!L175</f>
        <v>0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5437795</v>
      </c>
      <c r="E29" s="39">
        <f t="shared" si="6"/>
        <v>9698859.1400000006</v>
      </c>
      <c r="F29" s="61">
        <f t="shared" si="6"/>
        <v>0</v>
      </c>
      <c r="G29" s="39">
        <f t="shared" si="6"/>
        <v>0</v>
      </c>
      <c r="H29" s="61">
        <f t="shared" si="6"/>
        <v>5437788</v>
      </c>
      <c r="I29" s="39">
        <f t="shared" si="6"/>
        <v>9698846.7800000012</v>
      </c>
      <c r="J29" s="61">
        <f t="shared" si="6"/>
        <v>7</v>
      </c>
      <c r="K29" s="154">
        <f t="shared" si="6"/>
        <v>12.36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-198384</v>
      </c>
      <c r="E32" s="38">
        <f t="shared" si="8"/>
        <v>-350544.30399999983</v>
      </c>
      <c r="F32" s="64">
        <f>'TIE-OUT'!H32+RECLASS!H32</f>
        <v>0</v>
      </c>
      <c r="G32" s="68">
        <f>'TIE-OUT'!I32+RECLASS!I32</f>
        <v>0</v>
      </c>
      <c r="H32" s="133">
        <f>+Actuals!E176</f>
        <v>-745776</v>
      </c>
      <c r="I32" s="134">
        <f>+Actuals!F176</f>
        <v>-1317786.19</v>
      </c>
      <c r="J32" s="133">
        <f>+Actuals!G176</f>
        <v>-414585</v>
      </c>
      <c r="K32" s="153">
        <f>+Actuals!H176</f>
        <v>-756939.15</v>
      </c>
      <c r="L32" s="133">
        <f>+Actuals!I176</f>
        <v>-158540</v>
      </c>
      <c r="M32" s="134">
        <f>+Actuals!J176</f>
        <v>-228619.58</v>
      </c>
      <c r="N32" s="133">
        <f>+Actuals!K176</f>
        <v>-71999</v>
      </c>
      <c r="O32" s="134">
        <f>+Actuals!L176</f>
        <v>-226582.492</v>
      </c>
      <c r="P32" s="133">
        <f>+Actuals!M176</f>
        <v>469402</v>
      </c>
      <c r="Q32" s="134">
        <f>+Actuals!N176</f>
        <v>359803.152</v>
      </c>
      <c r="R32" s="133">
        <f>+Actuals!O176</f>
        <v>154468</v>
      </c>
      <c r="S32" s="134">
        <f>+Actuals!P176</f>
        <v>460417.16399999999</v>
      </c>
      <c r="T32" s="133">
        <f>+Actuals!Q176</f>
        <v>-92</v>
      </c>
      <c r="U32" s="134">
        <f>+Actuals!R176</f>
        <v>-27821.243999999999</v>
      </c>
      <c r="V32" s="133">
        <f>+Actuals!S176</f>
        <v>551418</v>
      </c>
      <c r="W32" s="134">
        <f>+Actuals!T176</f>
        <v>990986.96200000006</v>
      </c>
      <c r="X32" s="133">
        <f>+Actuals!U176</f>
        <v>511</v>
      </c>
      <c r="Y32" s="134">
        <f>+Actuals!V176</f>
        <v>65987.645999999993</v>
      </c>
      <c r="Z32" s="133">
        <f>+Actuals!W176</f>
        <v>16809</v>
      </c>
      <c r="AA32" s="134">
        <f>+Actuals!X176</f>
        <v>330009.42800000001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-81918</v>
      </c>
      <c r="E33" s="38">
        <f t="shared" si="8"/>
        <v>-236309.39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-36061</v>
      </c>
      <c r="K33" s="153">
        <f>+Actuals!H177</f>
        <v>-151079.98000000001</v>
      </c>
      <c r="L33" s="133">
        <f>+Actuals!I177</f>
        <v>-537</v>
      </c>
      <c r="M33" s="134">
        <f>+Actuals!J177</f>
        <v>-1040.04</v>
      </c>
      <c r="N33" s="133">
        <f>+Actuals!K177</f>
        <v>-44073</v>
      </c>
      <c r="O33" s="134">
        <f>+Actuals!L177</f>
        <v>-81894.17</v>
      </c>
      <c r="P33" s="133">
        <f>+Actuals!M177</f>
        <v>0</v>
      </c>
      <c r="Q33" s="134">
        <f>+Actuals!N177</f>
        <v>0</v>
      </c>
      <c r="R33" s="133">
        <f>+Actuals!O177</f>
        <v>-1247</v>
      </c>
      <c r="S33" s="134">
        <f>+Actuals!P177</f>
        <v>-2295.1999999999998</v>
      </c>
      <c r="T33" s="133">
        <f>+Actuals!Q177</f>
        <v>0</v>
      </c>
      <c r="U33" s="134">
        <f>+Actuals!R177</f>
        <v>0</v>
      </c>
      <c r="V33" s="133">
        <f>+Actuals!S177</f>
        <v>0</v>
      </c>
      <c r="W33" s="134">
        <f>+Actuals!T177</f>
        <v>0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280120</v>
      </c>
      <c r="E34" s="38">
        <f t="shared" si="8"/>
        <v>514229.76000000001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239550</v>
      </c>
      <c r="K34" s="153">
        <f>+Actuals!H178</f>
        <v>440743.3</v>
      </c>
      <c r="L34" s="133">
        <f>+Actuals!I178</f>
        <v>31204</v>
      </c>
      <c r="M34" s="134">
        <f>+Actuals!J178</f>
        <v>56276.46</v>
      </c>
      <c r="N34" s="133">
        <f>+Actuals!K178</f>
        <v>6461</v>
      </c>
      <c r="O34" s="134">
        <f>+Actuals!L178</f>
        <v>11932.44</v>
      </c>
      <c r="P34" s="133">
        <f>+Actuals!M178</f>
        <v>741</v>
      </c>
      <c r="Q34" s="134">
        <f>+Actuals!N178</f>
        <v>1407.9</v>
      </c>
      <c r="R34" s="133">
        <f>+Actuals!O178</f>
        <v>2164</v>
      </c>
      <c r="S34" s="134">
        <f>+Actuals!P178</f>
        <v>3869.66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-33000</v>
      </c>
      <c r="E35" s="38">
        <f t="shared" si="8"/>
        <v>-56931.01</v>
      </c>
      <c r="F35" s="81">
        <f>'TIE-OUT'!H35+RECLASS!H35</f>
        <v>0</v>
      </c>
      <c r="G35" s="82">
        <f>'TIE-OUT'!I35+RECLASS!I35</f>
        <v>0</v>
      </c>
      <c r="H35" s="133">
        <f>+Actuals!E179</f>
        <v>-83068</v>
      </c>
      <c r="I35" s="134">
        <f>+Actuals!F179</f>
        <v>-0.01</v>
      </c>
      <c r="J35" s="133">
        <f>+Actuals!G179</f>
        <v>362643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50000</v>
      </c>
      <c r="O35" s="134">
        <f>+Actuals!L179</f>
        <v>0</v>
      </c>
      <c r="P35" s="133">
        <f>+Actuals!M179</f>
        <v>-362575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-56931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-33182</v>
      </c>
      <c r="E36" s="39">
        <f t="shared" si="9"/>
        <v>-129554.9439999999</v>
      </c>
      <c r="F36" s="61">
        <f t="shared" si="9"/>
        <v>0</v>
      </c>
      <c r="G36" s="39">
        <f t="shared" si="9"/>
        <v>0</v>
      </c>
      <c r="H36" s="61">
        <f t="shared" si="9"/>
        <v>-828844</v>
      </c>
      <c r="I36" s="39">
        <f t="shared" si="9"/>
        <v>-1317786.2</v>
      </c>
      <c r="J36" s="61">
        <f t="shared" si="9"/>
        <v>151547</v>
      </c>
      <c r="K36" s="154">
        <f t="shared" si="9"/>
        <v>-467275.83</v>
      </c>
      <c r="L36" s="61">
        <f t="shared" si="9"/>
        <v>-127873</v>
      </c>
      <c r="M36" s="39">
        <f t="shared" si="9"/>
        <v>-173383.16</v>
      </c>
      <c r="N36" s="61">
        <f t="shared" si="9"/>
        <v>-59611</v>
      </c>
      <c r="O36" s="39">
        <f t="shared" si="9"/>
        <v>-296544.22200000001</v>
      </c>
      <c r="P36" s="61">
        <f t="shared" si="9"/>
        <v>107568</v>
      </c>
      <c r="Q36" s="39">
        <f t="shared" si="9"/>
        <v>361211.05200000003</v>
      </c>
      <c r="R36" s="61">
        <f t="shared" si="9"/>
        <v>155385</v>
      </c>
      <c r="S36" s="39">
        <f t="shared" si="9"/>
        <v>461991.62399999995</v>
      </c>
      <c r="T36" s="61">
        <f t="shared" si="9"/>
        <v>-92</v>
      </c>
      <c r="U36" s="39">
        <f t="shared" si="9"/>
        <v>-27821.243999999999</v>
      </c>
      <c r="V36" s="61">
        <f t="shared" si="9"/>
        <v>551418</v>
      </c>
      <c r="W36" s="39">
        <f t="shared" si="9"/>
        <v>990986.96200000006</v>
      </c>
      <c r="X36" s="61">
        <f t="shared" si="9"/>
        <v>511</v>
      </c>
      <c r="Y36" s="39">
        <f t="shared" si="9"/>
        <v>65987.645999999993</v>
      </c>
      <c r="Z36" s="61">
        <f t="shared" si="9"/>
        <v>16809</v>
      </c>
      <c r="AA36" s="39">
        <f t="shared" si="9"/>
        <v>273078.42800000001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-53792</v>
      </c>
      <c r="E39" s="38">
        <f t="shared" si="11"/>
        <v>-159016.1</v>
      </c>
      <c r="F39" s="64">
        <f>'TIE-OUT'!H39+RECLASS!H39</f>
        <v>0</v>
      </c>
      <c r="G39" s="68">
        <f>'TIE-OUT'!I39+RECLASS!I39</f>
        <v>0</v>
      </c>
      <c r="H39" s="133">
        <f>+Actuals!E180</f>
        <v>60065</v>
      </c>
      <c r="I39" s="134">
        <f>+Actuals!F180</f>
        <v>105113.75</v>
      </c>
      <c r="J39" s="133">
        <f>+Actuals!G180</f>
        <v>975</v>
      </c>
      <c r="K39" s="153">
        <f>+Actuals!H180</f>
        <v>1706.25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0</v>
      </c>
      <c r="Q39" s="134">
        <f>+Actuals!N180</f>
        <v>0</v>
      </c>
      <c r="R39" s="133">
        <f>+Actuals!O180</f>
        <v>-114832</v>
      </c>
      <c r="S39" s="134">
        <f>+Actuals!P180</f>
        <v>-265836.08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-0.02</v>
      </c>
      <c r="AD39" s="133">
        <f>+Actuals!AA180</f>
        <v>0</v>
      </c>
      <c r="AE39" s="134">
        <f>+Actuals!AB180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  <c r="AL39" s="133">
        <f>+Actuals!AI260</f>
        <v>0</v>
      </c>
      <c r="AM39" s="134">
        <f>+Actuals!AJ260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-12506825</v>
      </c>
      <c r="E40" s="38">
        <f t="shared" si="11"/>
        <v>-28375508.440000005</v>
      </c>
      <c r="F40" s="60">
        <f>'TIE-OUT'!H40+RECLASS!H40</f>
        <v>0</v>
      </c>
      <c r="G40" s="38">
        <f>'TIE-OUT'!I40+RECLASS!I40</f>
        <v>0</v>
      </c>
      <c r="H40" s="133">
        <f>+Actuals!E181</f>
        <v>-14105365</v>
      </c>
      <c r="I40" s="134">
        <f>+Actuals!F181</f>
        <v>-32062854.190000001</v>
      </c>
      <c r="J40" s="133">
        <f>+Actuals!G181</f>
        <v>376988</v>
      </c>
      <c r="K40" s="153">
        <f>+Actuals!H181</f>
        <v>-14906904.16</v>
      </c>
      <c r="L40" s="133">
        <f>+Actuals!I181</f>
        <v>215035</v>
      </c>
      <c r="M40" s="134">
        <f>+Actuals!J181</f>
        <v>459176.04</v>
      </c>
      <c r="N40" s="133">
        <f>+Actuals!K181</f>
        <v>-102539</v>
      </c>
      <c r="O40" s="134">
        <f>+Actuals!L181</f>
        <v>15551056.92</v>
      </c>
      <c r="P40" s="133">
        <f>+Actuals!M181</f>
        <v>114832</v>
      </c>
      <c r="Q40" s="134">
        <f>+Actuals!N181</f>
        <v>265836.08</v>
      </c>
      <c r="R40" s="133">
        <f>+Actuals!O181</f>
        <v>-150799</v>
      </c>
      <c r="S40" s="134">
        <f>+Actuals!P181</f>
        <v>-305959.12</v>
      </c>
      <c r="T40" s="133">
        <f>+Actuals!Q181</f>
        <v>-1</v>
      </c>
      <c r="U40" s="134">
        <f>+Actuals!R181</f>
        <v>2624139.9500000002</v>
      </c>
      <c r="V40" s="133">
        <f>+Actuals!S181</f>
        <v>-555626</v>
      </c>
      <c r="W40" s="134">
        <f>+Actuals!T181</f>
        <v>-0.01</v>
      </c>
      <c r="X40" s="133">
        <f>+Actuals!U181</f>
        <v>0</v>
      </c>
      <c r="Y40" s="134">
        <f>+Actuals!V181</f>
        <v>0</v>
      </c>
      <c r="Z40" s="133">
        <f>+Actuals!W181</f>
        <v>1700650</v>
      </c>
      <c r="AA40" s="134">
        <f>+Actuals!X181</f>
        <v>0.05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  <c r="AL40" s="133">
        <f>+Actuals!AI261</f>
        <v>0</v>
      </c>
      <c r="AM40" s="134">
        <f>+Actuals!AJ261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278626</v>
      </c>
      <c r="F41" s="81">
        <f>'TIE-OUT'!H41+RECLASS!H41</f>
        <v>0</v>
      </c>
      <c r="G41" s="82">
        <f>'TIE-OUT'!I41+RECLASS!I41</f>
        <v>278626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-12506825</v>
      </c>
      <c r="E42" s="39">
        <f t="shared" si="12"/>
        <v>-28096882.440000005</v>
      </c>
      <c r="F42" s="61">
        <f t="shared" si="12"/>
        <v>0</v>
      </c>
      <c r="G42" s="39">
        <f t="shared" si="12"/>
        <v>278626</v>
      </c>
      <c r="H42" s="61">
        <f t="shared" si="12"/>
        <v>-14105365</v>
      </c>
      <c r="I42" s="39">
        <f t="shared" si="12"/>
        <v>-32062854.190000001</v>
      </c>
      <c r="J42" s="61">
        <f t="shared" si="12"/>
        <v>376988</v>
      </c>
      <c r="K42" s="154">
        <f t="shared" si="12"/>
        <v>-14906904.16</v>
      </c>
      <c r="L42" s="61">
        <f t="shared" si="12"/>
        <v>215035</v>
      </c>
      <c r="M42" s="39">
        <f t="shared" si="12"/>
        <v>459176.04</v>
      </c>
      <c r="N42" s="61">
        <f t="shared" si="12"/>
        <v>-102539</v>
      </c>
      <c r="O42" s="39">
        <f t="shared" si="12"/>
        <v>15551056.92</v>
      </c>
      <c r="P42" s="61">
        <f t="shared" si="12"/>
        <v>114832</v>
      </c>
      <c r="Q42" s="39">
        <f t="shared" si="12"/>
        <v>265836.08</v>
      </c>
      <c r="R42" s="61">
        <f t="shared" si="12"/>
        <v>-150799</v>
      </c>
      <c r="S42" s="39">
        <f t="shared" si="12"/>
        <v>-305959.12</v>
      </c>
      <c r="T42" s="61">
        <f t="shared" si="12"/>
        <v>-1</v>
      </c>
      <c r="U42" s="39">
        <f t="shared" si="12"/>
        <v>2624139.9500000002</v>
      </c>
      <c r="V42" s="61">
        <f t="shared" si="12"/>
        <v>-555626</v>
      </c>
      <c r="W42" s="39">
        <f t="shared" si="12"/>
        <v>-0.01</v>
      </c>
      <c r="X42" s="61">
        <f t="shared" si="12"/>
        <v>0</v>
      </c>
      <c r="Y42" s="39">
        <f t="shared" si="12"/>
        <v>0</v>
      </c>
      <c r="Z42" s="61">
        <f t="shared" si="12"/>
        <v>1700650</v>
      </c>
      <c r="AA42" s="39">
        <f t="shared" si="12"/>
        <v>0.05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-12560617</v>
      </c>
      <c r="E43" s="39">
        <f t="shared" si="14"/>
        <v>-28255898.540000007</v>
      </c>
      <c r="F43" s="61">
        <f t="shared" si="14"/>
        <v>0</v>
      </c>
      <c r="G43" s="39">
        <f t="shared" si="14"/>
        <v>278626</v>
      </c>
      <c r="H43" s="61">
        <f t="shared" si="14"/>
        <v>-14045300</v>
      </c>
      <c r="I43" s="39">
        <f t="shared" si="14"/>
        <v>-31957740.440000001</v>
      </c>
      <c r="J43" s="61">
        <f t="shared" si="14"/>
        <v>377963</v>
      </c>
      <c r="K43" s="154">
        <f t="shared" si="14"/>
        <v>-14905197.91</v>
      </c>
      <c r="L43" s="61">
        <f t="shared" si="14"/>
        <v>215035</v>
      </c>
      <c r="M43" s="39">
        <f t="shared" si="14"/>
        <v>459176.04</v>
      </c>
      <c r="N43" s="61">
        <f t="shared" si="14"/>
        <v>-102539</v>
      </c>
      <c r="O43" s="39">
        <f t="shared" si="14"/>
        <v>15551056.92</v>
      </c>
      <c r="P43" s="61">
        <f t="shared" si="14"/>
        <v>114832</v>
      </c>
      <c r="Q43" s="39">
        <f t="shared" si="14"/>
        <v>265836.08</v>
      </c>
      <c r="R43" s="61">
        <f t="shared" si="14"/>
        <v>-265631</v>
      </c>
      <c r="S43" s="39">
        <f t="shared" si="14"/>
        <v>-571795.19999999995</v>
      </c>
      <c r="T43" s="61">
        <f t="shared" si="14"/>
        <v>-1</v>
      </c>
      <c r="U43" s="39">
        <f t="shared" si="14"/>
        <v>2624139.9500000002</v>
      </c>
      <c r="V43" s="61">
        <f t="shared" si="14"/>
        <v>-555626</v>
      </c>
      <c r="W43" s="39">
        <f t="shared" si="14"/>
        <v>-0.01</v>
      </c>
      <c r="X43" s="61">
        <f t="shared" si="14"/>
        <v>0</v>
      </c>
      <c r="Y43" s="39">
        <f t="shared" si="14"/>
        <v>0</v>
      </c>
      <c r="Z43" s="61">
        <f t="shared" si="14"/>
        <v>1700650</v>
      </c>
      <c r="AA43" s="39">
        <f t="shared" si="14"/>
        <v>0.05</v>
      </c>
      <c r="AB43" s="61">
        <f t="shared" si="14"/>
        <v>0</v>
      </c>
      <c r="AC43" s="39">
        <f t="shared" si="14"/>
        <v>-0.02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-320917</v>
      </c>
      <c r="E49" s="38">
        <f>SUM(G49,I49,K49,M49,O49,Q49,S49,U49,W49,Y49,AA49,AC49,AE49,AG49,AI49,AK49,AM49)</f>
        <v>-567852.98899999971</v>
      </c>
      <c r="F49" s="60">
        <f>'TIE-OUT'!H49+RECLASS!H49</f>
        <v>0</v>
      </c>
      <c r="G49" s="38">
        <f>'TIE-OUT'!I49+RECLASS!I49</f>
        <v>0</v>
      </c>
      <c r="H49" s="133">
        <f>+Actuals!E185</f>
        <v>1256086</v>
      </c>
      <c r="I49" s="134">
        <f>+Actuals!F185</f>
        <v>2219503.9619999998</v>
      </c>
      <c r="J49" s="133">
        <f>+Actuals!G185</f>
        <v>-771874</v>
      </c>
      <c r="K49" s="153">
        <f>+Actuals!H185</f>
        <v>-1363901.3579999998</v>
      </c>
      <c r="L49" s="133">
        <f>+Actuals!I185</f>
        <v>777816</v>
      </c>
      <c r="M49" s="134">
        <f>+Actuals!J185</f>
        <v>1374400.872</v>
      </c>
      <c r="N49" s="133">
        <f>+Actuals!K185</f>
        <v>-279201</v>
      </c>
      <c r="O49" s="134">
        <f>+Actuals!L185</f>
        <v>2719692.1830000002</v>
      </c>
      <c r="P49" s="133">
        <f>+Actuals!M185</f>
        <v>-163948</v>
      </c>
      <c r="Q49" s="134">
        <f>+Actuals!N185</f>
        <v>-3503529.1159999999</v>
      </c>
      <c r="R49" s="133">
        <f>+Actuals!O185</f>
        <v>111507</v>
      </c>
      <c r="S49" s="134">
        <f>+Actuals!P185</f>
        <v>197032.86900000001</v>
      </c>
      <c r="T49" s="133">
        <f>+Actuals!Q185</f>
        <v>130</v>
      </c>
      <c r="U49" s="134">
        <f>+Actuals!R185</f>
        <v>229.71</v>
      </c>
      <c r="V49" s="133">
        <f>+Actuals!S185</f>
        <v>4208</v>
      </c>
      <c r="W49" s="134">
        <f>+Actuals!T185</f>
        <v>7435.5360000000001</v>
      </c>
      <c r="X49" s="133">
        <f>+Actuals!U185</f>
        <v>-441</v>
      </c>
      <c r="Y49" s="134">
        <f>+Actuals!V185</f>
        <v>-779.24699999999996</v>
      </c>
      <c r="Z49" s="133">
        <f>+Actuals!W185</f>
        <v>-1717459</v>
      </c>
      <c r="AA49" s="134">
        <f>+Actuals!X185</f>
        <v>-3034750.0529999998</v>
      </c>
      <c r="AB49" s="133">
        <f>+Actuals!Y185</f>
        <v>0</v>
      </c>
      <c r="AC49" s="134">
        <f>+Actuals!Z185</f>
        <v>0</v>
      </c>
      <c r="AD49" s="133">
        <f>+Actuals!AA185</f>
        <v>462259</v>
      </c>
      <c r="AE49" s="134">
        <f>+Actuals!AB185</f>
        <v>816811.65300000005</v>
      </c>
      <c r="AF49" s="133">
        <f>+Actuals!AC265</f>
        <v>-462259</v>
      </c>
      <c r="AG49" s="134">
        <f>+Actuals!AD265</f>
        <v>-816811.65300000005</v>
      </c>
      <c r="AH49" s="133">
        <f>+Actuals!AE265</f>
        <v>0</v>
      </c>
      <c r="AI49" s="134">
        <f>+Actuals!AF265</f>
        <v>0</v>
      </c>
      <c r="AJ49" s="133">
        <f>+Actuals!AG265</f>
        <v>462259</v>
      </c>
      <c r="AK49" s="134">
        <f>+Actuals!AH265</f>
        <v>816811.65300000005</v>
      </c>
      <c r="AL49" s="133">
        <f>+Actuals!AI265</f>
        <v>0</v>
      </c>
      <c r="AM49" s="134">
        <f>+Actuals!AJ265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-1701259</v>
      </c>
      <c r="E51" s="38">
        <f>SUM(G51,I51,K51,M51,O51,Q51,S51,U51,W51,Y51,AA51,AC51,AE51,AG51,AI51,AK51,AM51)</f>
        <v>-2226131.9790000003</v>
      </c>
      <c r="F51" s="60">
        <f>'TIE-OUT'!H51+RECLASS!H51</f>
        <v>0</v>
      </c>
      <c r="G51" s="38">
        <f>'TIE-OUT'!I51+RECLASS!I51</f>
        <v>0</v>
      </c>
      <c r="H51" s="133">
        <f>+Actuals!E186</f>
        <v>-1436350</v>
      </c>
      <c r="I51" s="134">
        <f>+Actuals!F186</f>
        <v>-2538030.4500000002</v>
      </c>
      <c r="J51" s="133">
        <f>+Actuals!G186</f>
        <v>111457</v>
      </c>
      <c r="K51" s="153">
        <f>+Actuals!H186</f>
        <v>196944.519</v>
      </c>
      <c r="L51" s="133">
        <f>+Actuals!I186</f>
        <v>89715</v>
      </c>
      <c r="M51" s="134">
        <f>+Actuals!J186</f>
        <v>158526.405</v>
      </c>
      <c r="N51" s="133">
        <f>+Actuals!K186</f>
        <v>-24707</v>
      </c>
      <c r="O51" s="134">
        <f>+Actuals!L186</f>
        <v>-43657.269</v>
      </c>
      <c r="P51" s="133">
        <f>+Actuals!M186</f>
        <v>0</v>
      </c>
      <c r="Q51" s="134">
        <f>+Actuals!N186</f>
        <v>0</v>
      </c>
      <c r="R51" s="133">
        <f>+Actuals!O186</f>
        <v>48</v>
      </c>
      <c r="S51" s="134">
        <f>+Actuals!P186</f>
        <v>84.816000000000003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-441422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-66624562</v>
      </c>
      <c r="E54" s="38">
        <f>SUM(G54,I54,K54,M54,O54,Q54,S54,U54,W54,Y54,AA54,AC54,AE54,AG54,AI54,AK54,AM54)</f>
        <v>-1623965.29</v>
      </c>
      <c r="F54" s="64">
        <f>'TIE-OUT'!H54+RECLASS!H54</f>
        <v>0</v>
      </c>
      <c r="G54" s="68">
        <f>'TIE-OUT'!I54+RECLASS!I54</f>
        <v>0</v>
      </c>
      <c r="H54" s="133">
        <f>+Actuals!E187</f>
        <v>-67818560</v>
      </c>
      <c r="I54" s="134">
        <f>+Actuals!F187</f>
        <v>-2966001.47</v>
      </c>
      <c r="J54" s="133">
        <f>+Actuals!G187</f>
        <v>1030113</v>
      </c>
      <c r="K54" s="153">
        <f>+Actuals!H187</f>
        <v>625412.37</v>
      </c>
      <c r="L54" s="133">
        <f>+Actuals!I187</f>
        <v>73827</v>
      </c>
      <c r="M54" s="134">
        <f>+Actuals!J187</f>
        <v>-15165.64</v>
      </c>
      <c r="N54" s="133">
        <f>+Actuals!K187</f>
        <v>77445</v>
      </c>
      <c r="O54" s="134">
        <f>+Actuals!L187</f>
        <v>-82307.3</v>
      </c>
      <c r="P54" s="133">
        <f>+Actuals!M187</f>
        <v>-840</v>
      </c>
      <c r="Q54" s="134">
        <f>+Actuals!N187</f>
        <v>82825.63</v>
      </c>
      <c r="R54" s="133">
        <f>+Actuals!O187</f>
        <v>-787</v>
      </c>
      <c r="S54" s="134">
        <f>+Actuals!P187</f>
        <v>-363.87</v>
      </c>
      <c r="T54" s="133">
        <f>+Actuals!Q187</f>
        <v>0</v>
      </c>
      <c r="U54" s="134">
        <f>+Actuals!R187</f>
        <v>0</v>
      </c>
      <c r="V54" s="133">
        <f>+Actuals!S187</f>
        <v>14310</v>
      </c>
      <c r="W54" s="134">
        <f>+Actuals!T187</f>
        <v>0.32999999999992724</v>
      </c>
      <c r="X54" s="133">
        <f>+Actuals!U187</f>
        <v>-70</v>
      </c>
      <c r="Y54" s="134">
        <f>+Actuals!V187</f>
        <v>-9.34</v>
      </c>
      <c r="Z54" s="133">
        <f>+Actuals!W187</f>
        <v>0</v>
      </c>
      <c r="AA54" s="134">
        <f>+Actuals!X187+731644</f>
        <v>731644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+Actuals!AC267</f>
        <v>0</v>
      </c>
      <c r="AG54" s="172">
        <f>+Actuals!AD267</f>
        <v>0</v>
      </c>
      <c r="AH54" s="133">
        <f>+Actuals!AE267</f>
        <v>0</v>
      </c>
      <c r="AI54" s="172">
        <f>+Actuals!AF267</f>
        <v>0</v>
      </c>
      <c r="AJ54" s="133">
        <f>+Actuals!AG267</f>
        <v>0</v>
      </c>
      <c r="AK54" s="172">
        <f>+Actuals!AH267</f>
        <v>0</v>
      </c>
      <c r="AL54" s="133">
        <f>+Actuals!AI267</f>
        <v>0</v>
      </c>
      <c r="AM54" s="172">
        <f>+Actuals!AJ267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-15397685.619999999</v>
      </c>
      <c r="F55" s="81">
        <f>'TIE-OUT'!H55+RECLASS!H55</f>
        <v>0</v>
      </c>
      <c r="G55" s="82">
        <f>'TIE-OUT'!I55+RECLASS!I55</f>
        <v>638345.11</v>
      </c>
      <c r="H55" s="133">
        <f>+Actuals!E188</f>
        <v>0</v>
      </c>
      <c r="I55" s="134">
        <f>+Actuals!F188</f>
        <v>-16549210.6</v>
      </c>
      <c r="J55" s="133">
        <f>+Actuals!G188</f>
        <v>0</v>
      </c>
      <c r="K55" s="153">
        <f>+Actuals!H188</f>
        <v>481773.21</v>
      </c>
      <c r="L55" s="133">
        <f>+Actuals!I188</f>
        <v>0</v>
      </c>
      <c r="M55" s="134">
        <f>+Actuals!J188</f>
        <v>36742.78</v>
      </c>
      <c r="N55" s="133">
        <f>+Actuals!K188</f>
        <v>0</v>
      </c>
      <c r="O55" s="134">
        <f>+Actuals!L188</f>
        <v>-9935.86</v>
      </c>
      <c r="P55" s="133">
        <f>+Actuals!M188</f>
        <v>0</v>
      </c>
      <c r="Q55" s="134">
        <f>+Actuals!N188</f>
        <v>3.72</v>
      </c>
      <c r="R55" s="133">
        <f>+Actuals!O188</f>
        <v>0</v>
      </c>
      <c r="S55" s="134">
        <f>+Actuals!P188</f>
        <v>4596.0200000000004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-66624562</v>
      </c>
      <c r="E56" s="39">
        <f t="shared" si="16"/>
        <v>-17021650.91</v>
      </c>
      <c r="F56" s="61">
        <f t="shared" si="16"/>
        <v>0</v>
      </c>
      <c r="G56" s="39">
        <f t="shared" si="16"/>
        <v>638345.11</v>
      </c>
      <c r="H56" s="61">
        <f t="shared" si="16"/>
        <v>-67818560</v>
      </c>
      <c r="I56" s="39">
        <f t="shared" si="16"/>
        <v>-19515212.07</v>
      </c>
      <c r="J56" s="61">
        <f t="shared" si="16"/>
        <v>1030113</v>
      </c>
      <c r="K56" s="154">
        <f t="shared" si="16"/>
        <v>1107185.58</v>
      </c>
      <c r="L56" s="61">
        <f t="shared" si="16"/>
        <v>73827</v>
      </c>
      <c r="M56" s="39">
        <f t="shared" si="16"/>
        <v>21577.14</v>
      </c>
      <c r="N56" s="61">
        <f t="shared" si="16"/>
        <v>77445</v>
      </c>
      <c r="O56" s="39">
        <f t="shared" si="16"/>
        <v>-92243.16</v>
      </c>
      <c r="P56" s="61">
        <f t="shared" si="16"/>
        <v>-840</v>
      </c>
      <c r="Q56" s="39">
        <f t="shared" si="16"/>
        <v>82829.350000000006</v>
      </c>
      <c r="R56" s="61">
        <f t="shared" si="16"/>
        <v>-787</v>
      </c>
      <c r="S56" s="39">
        <f t="shared" si="16"/>
        <v>4232.1500000000005</v>
      </c>
      <c r="T56" s="61">
        <f t="shared" si="16"/>
        <v>0</v>
      </c>
      <c r="U56" s="39">
        <f t="shared" si="16"/>
        <v>0</v>
      </c>
      <c r="V56" s="61">
        <f t="shared" si="16"/>
        <v>14310</v>
      </c>
      <c r="W56" s="39">
        <f t="shared" si="16"/>
        <v>0.32999999999992724</v>
      </c>
      <c r="X56" s="61">
        <f t="shared" si="16"/>
        <v>-70</v>
      </c>
      <c r="Y56" s="39">
        <f t="shared" si="16"/>
        <v>-9.34</v>
      </c>
      <c r="Z56" s="61">
        <f t="shared" si="16"/>
        <v>0</v>
      </c>
      <c r="AA56" s="39">
        <f t="shared" si="16"/>
        <v>731644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ref="AH56:AM56" si="17">SUM(AH54:AH55)</f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'TIE-OUT'!H64+RECLASS!H64</f>
        <v>0</v>
      </c>
      <c r="G64" s="68">
        <f>'TIE-OUT'!I64+RECLASS!I64</f>
        <v>0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'TIE-OUT'!H65+RECLASS!H65</f>
        <v>0</v>
      </c>
      <c r="G65" s="82">
        <f>'TIE-OUT'!I65+RECLASS!I65</f>
        <v>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-11762935.85</v>
      </c>
      <c r="F70" s="64">
        <f>'TIE-OUT'!H70+RECLASS!H70</f>
        <v>0</v>
      </c>
      <c r="G70" s="68">
        <f>'TIE-OUT'!I70+RECLASS!I70</f>
        <v>-1003281.85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65">
        <v>-10759654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-11762935.85</v>
      </c>
      <c r="F72" s="61">
        <f t="shared" si="22"/>
        <v>0</v>
      </c>
      <c r="G72" s="39">
        <f t="shared" si="22"/>
        <v>-1003281.85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-10759654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13034492</v>
      </c>
      <c r="F74" s="60">
        <f>'TIE-OUT'!H74+RECLASS!H74</f>
        <v>0</v>
      </c>
      <c r="G74" s="60">
        <f>'TIE-OUT'!I74+RECLASS!I74</f>
        <v>9319951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f>+Actuals!J196+3714541</f>
        <v>3714541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+Actuals!AA196</f>
        <v>0</v>
      </c>
      <c r="AE74" s="134">
        <f>+Actuals!AB196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191500</v>
      </c>
      <c r="F75" s="60">
        <f>'TIE-OUT'!H75+RECLASS!H75</f>
        <v>0</v>
      </c>
      <c r="G75" s="60">
        <f>'TIE-OUT'!I75+RECLASS!I75</f>
        <v>191500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-217667.54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-100</v>
      </c>
      <c r="J76" s="133">
        <f>+Actuals!G198</f>
        <v>0</v>
      </c>
      <c r="K76" s="153">
        <f>+Actuals!H198</f>
        <v>-217567.54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646621.32999999996</v>
      </c>
      <c r="F81" s="60">
        <f>'TIE-OUT'!H81+RECLASS!H81</f>
        <v>0</v>
      </c>
      <c r="G81" s="60">
        <f>'TIE-OUT'!I81+RECLASS!I81</f>
        <v>54411</v>
      </c>
      <c r="H81" s="133">
        <f>+Actuals!E203</f>
        <v>0</v>
      </c>
      <c r="I81" s="134">
        <f>+Actuals!F203</f>
        <v>386552.33</v>
      </c>
      <c r="J81" s="133">
        <f>+Actuals!G203</f>
        <v>0</v>
      </c>
      <c r="K81" s="153">
        <f>+Actuals!H203</f>
        <v>52966.8</v>
      </c>
      <c r="L81" s="133">
        <f>+Actuals!I203</f>
        <v>0</v>
      </c>
      <c r="M81" s="134">
        <f>+Actuals!J203</f>
        <v>152520</v>
      </c>
      <c r="N81" s="133">
        <f>+Actuals!K203</f>
        <v>0</v>
      </c>
      <c r="O81" s="134">
        <f>+Actuals!L203</f>
        <v>171.2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-1736842.2729999442</v>
      </c>
      <c r="F82" s="92">
        <f>F16+F24+F29+F36+F43+F45+F47+F49</f>
        <v>0</v>
      </c>
      <c r="G82" s="93">
        <f>SUM(G72:G81)+G16+G24+G29+G36+G43+G45+G47+G49+G51+G56+G61+G66</f>
        <v>-1643925.2400000007</v>
      </c>
      <c r="H82" s="92">
        <f>H16+H24+H29+H36+H43+H45+H47+H49</f>
        <v>0</v>
      </c>
      <c r="I82" s="93">
        <f>SUM(I72:I81)+I16+I24+I29+I36+I43+I45+I47+I49+I51+I56+I61+I66</f>
        <v>-390424.53800000623</v>
      </c>
      <c r="J82" s="92">
        <f>J16+J24+J29+J36+J43+J45+J47+J49</f>
        <v>0</v>
      </c>
      <c r="K82" s="166">
        <f>SUM(K72:K81)+K16+K24+K29+K36+K43+K45+K47+K49+K51+K56+K61+K66</f>
        <v>-7984634.2679999992</v>
      </c>
      <c r="L82" s="92">
        <f>L16+L24+L29+L36+L43+L45+L47+L49</f>
        <v>0</v>
      </c>
      <c r="M82" s="93">
        <f>SUM(M72:M81)+M16+M24+M29+M36+M43+M45+M47+M49+M51+M56+M61+M66</f>
        <v>-5516877.8280000016</v>
      </c>
      <c r="N82" s="92">
        <f>N16+N24+N29+N36+N43+N45+N47+N49</f>
        <v>0</v>
      </c>
      <c r="O82" s="93">
        <f>SUM(O72:O81)+O16+O24+O29+O36+O43+O45+O47+O49+O51+O56+O61+O66</f>
        <v>12834537.421</v>
      </c>
      <c r="P82" s="92">
        <f>P16+P24+P29+P36+P43+P45+P47+P49</f>
        <v>0</v>
      </c>
      <c r="Q82" s="93">
        <f>SUM(Q72:Q81)+Q16+Q24+Q29+Q36+Q43+Q45+Q47+Q49+Q51+Q56+Q61+Q66</f>
        <v>-4840168.6840000004</v>
      </c>
      <c r="R82" s="92">
        <f>R16+R24+R29+R36+R43+R45+R47+R49</f>
        <v>0</v>
      </c>
      <c r="S82" s="93">
        <f>SUM(S72:S81)+S16+S24+S29+S36+S43+S45+S47+S49+S51+S56+S61+S66</f>
        <v>84917.412999999986</v>
      </c>
      <c r="T82" s="92">
        <f>T16+T24+T29+T36+T43+T45+T47+T49</f>
        <v>0</v>
      </c>
      <c r="U82" s="93">
        <f>SUM(U72:U81)+U16+U24+U29+U36+U43+U45+U47+U49+U51+U56+U61+U66</f>
        <v>2591932.0360000003</v>
      </c>
      <c r="V82" s="92">
        <f>V16+V24+V29+V36+V43+V45+V47+V49</f>
        <v>0</v>
      </c>
      <c r="W82" s="93">
        <f>SUM(W72:W81)+W16+W24+W29+W36+W43+W45+W47+W49+W51+W56+W61+W66</f>
        <v>1126988.3680000002</v>
      </c>
      <c r="X82" s="92">
        <f>X16+X24+X29+X36+X43+X45+X47+X49</f>
        <v>0</v>
      </c>
      <c r="Y82" s="93">
        <f>SUM(Y72:Y81)+Y16+Y24+Y29+Y36+Y43+Y45+Y47+Y49+Y51+Y56+Y61+Y66</f>
        <v>65063.28899999999</v>
      </c>
      <c r="Z82" s="92">
        <f>Z16+Z24+Z29+Z36+Z43+Z45+Z47+Z49</f>
        <v>0</v>
      </c>
      <c r="AA82" s="93">
        <f>SUM(AA72:AA81)+AA16+AA24+AA29+AA36+AA43+AA45+AA47+AA49+AA51+AA56+AA61+AA66</f>
        <v>1929382.4250000003</v>
      </c>
      <c r="AB82" s="92">
        <f>AB16+AB24+AB29+AB36+AB43+AB45+AB47+AB49</f>
        <v>0</v>
      </c>
      <c r="AC82" s="93">
        <f>SUM(AC72:AC81)+AC16+AC24+AC29+AC36+AC43+AC45+AC47+AC49+AC51+AC56+AC61+AC66</f>
        <v>243.68000000001163</v>
      </c>
      <c r="AD82" s="92">
        <f>AD16+AD24+AD29+AD36+AD43+AD45+AD47+AD49</f>
        <v>0</v>
      </c>
      <c r="AE82" s="93">
        <f>SUM(AE72:AE81)+AE16+AE24+AE29+AE36+AE43+AE45+AE47+AE49+AE51+AE56+AE61+AE66</f>
        <v>6123.6530000000494</v>
      </c>
      <c r="AF82" s="92">
        <f>AF16+AF24+AF29+AF36+AF43+AF45+AF47+AF49</f>
        <v>0</v>
      </c>
      <c r="AG82" s="93">
        <f>SUM(AG72:AG81)+AG16+AG24+AG29+AG36+AG43+AG45+AG47+AG49+AG51+AG56+AG61+AG66</f>
        <v>-6123.6530000000494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6123.6530000000494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 t="s">
        <v>195</v>
      </c>
      <c r="B85" s="3"/>
      <c r="F85" s="31"/>
      <c r="G85" s="31"/>
      <c r="H85" s="31"/>
      <c r="I85" s="31"/>
      <c r="K85"/>
      <c r="L85" s="45"/>
    </row>
    <row r="86" spans="1:39" s="3" customFormat="1" x14ac:dyDescent="0.2">
      <c r="A86" s="181"/>
      <c r="C86" s="10" t="s">
        <v>189</v>
      </c>
      <c r="D86" s="182">
        <f t="shared" ref="D86:E88" si="26">SUM(F86,H86,J86,L86,N86,P86,R86,T86,V86,X86,Z86,AB86,AD86)</f>
        <v>0</v>
      </c>
      <c r="E86" s="182">
        <f t="shared" si="26"/>
        <v>97571.85</v>
      </c>
      <c r="F86" s="182">
        <f>'TIE-OUT'!H86+RECLASS!H86</f>
        <v>0</v>
      </c>
      <c r="G86" s="182">
        <f>'TIE-OUT'!I86+RECLASS!I86</f>
        <v>97571.85</v>
      </c>
      <c r="H86" s="182">
        <v>0</v>
      </c>
      <c r="I86" s="182">
        <v>0</v>
      </c>
      <c r="J86" s="182">
        <f>+Actuals!G208</f>
        <v>0</v>
      </c>
      <c r="K86" s="182">
        <f>+Actuals!H208</f>
        <v>0</v>
      </c>
      <c r="L86" s="182">
        <f>+Actuals!I208</f>
        <v>0</v>
      </c>
      <c r="M86" s="182">
        <f>+Actuals!J208</f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</row>
    <row r="87" spans="1:39" s="3" customFormat="1" x14ac:dyDescent="0.2">
      <c r="A87" s="181"/>
      <c r="C87" s="10" t="s">
        <v>75</v>
      </c>
      <c r="D87" s="183">
        <f t="shared" si="26"/>
        <v>0</v>
      </c>
      <c r="E87" s="183">
        <f t="shared" si="26"/>
        <v>0</v>
      </c>
      <c r="F87" s="183">
        <f>'TIE-OUT'!H87+RECLASS!H87</f>
        <v>0</v>
      </c>
      <c r="G87" s="183">
        <f>'TIE-OUT'!I87+RECLASS!I87</f>
        <v>0</v>
      </c>
      <c r="H87" s="183">
        <v>0</v>
      </c>
      <c r="I87" s="183">
        <v>0</v>
      </c>
      <c r="J87" s="183">
        <f>+Actuals!G209</f>
        <v>0</v>
      </c>
      <c r="K87" s="183">
        <f>+Actuals!H209</f>
        <v>0</v>
      </c>
      <c r="L87" s="183">
        <f>+Actuals!I209</f>
        <v>0</v>
      </c>
      <c r="M87" s="183">
        <f>+Actuals!J209</f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</row>
    <row r="88" spans="1:39" s="3" customFormat="1" x14ac:dyDescent="0.2">
      <c r="A88" s="181"/>
      <c r="C88" s="10" t="s">
        <v>76</v>
      </c>
      <c r="D88" s="184">
        <f t="shared" si="26"/>
        <v>0</v>
      </c>
      <c r="E88" s="184">
        <f t="shared" si="26"/>
        <v>-202000</v>
      </c>
      <c r="F88" s="184">
        <f>'TIE-OUT'!H88+RECLASS!H88</f>
        <v>0</v>
      </c>
      <c r="G88" s="184">
        <f>'TIE-OUT'!I88+RECLASS!I88</f>
        <v>-202000</v>
      </c>
      <c r="H88" s="184">
        <v>0</v>
      </c>
      <c r="I88" s="184">
        <v>0</v>
      </c>
      <c r="J88" s="184">
        <f>+Actuals!G210</f>
        <v>0</v>
      </c>
      <c r="K88" s="184">
        <f>+Actuals!H210</f>
        <v>0</v>
      </c>
      <c r="L88" s="184">
        <f>+Actuals!I210</f>
        <v>0</v>
      </c>
      <c r="M88" s="184">
        <f>+Actuals!J210</f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</row>
    <row r="89" spans="1:39" s="149" customFormat="1" ht="20.25" customHeight="1" x14ac:dyDescent="0.2">
      <c r="A89" s="185"/>
      <c r="B89" s="186"/>
      <c r="C89" s="187" t="s">
        <v>190</v>
      </c>
      <c r="D89" s="188">
        <f>SUM(D86:D88)</f>
        <v>0</v>
      </c>
      <c r="E89" s="188">
        <f t="shared" ref="E89:AE89" si="27">SUM(E86:E88)</f>
        <v>-104428.15</v>
      </c>
      <c r="F89" s="188">
        <f t="shared" si="27"/>
        <v>0</v>
      </c>
      <c r="G89" s="188">
        <f t="shared" si="27"/>
        <v>-104428.15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0</v>
      </c>
      <c r="L89" s="188">
        <f t="shared" si="27"/>
        <v>0</v>
      </c>
      <c r="M89" s="188">
        <f t="shared" si="27"/>
        <v>0</v>
      </c>
      <c r="N89" s="188">
        <f t="shared" si="27"/>
        <v>0</v>
      </c>
      <c r="O89" s="188">
        <f t="shared" si="27"/>
        <v>0</v>
      </c>
      <c r="P89" s="188">
        <f t="shared" si="27"/>
        <v>0</v>
      </c>
      <c r="Q89" s="188">
        <f t="shared" si="27"/>
        <v>0</v>
      </c>
      <c r="R89" s="188">
        <f t="shared" si="27"/>
        <v>0</v>
      </c>
      <c r="S89" s="188">
        <f t="shared" si="27"/>
        <v>0</v>
      </c>
      <c r="T89" s="188">
        <f t="shared" si="27"/>
        <v>0</v>
      </c>
      <c r="U89" s="188">
        <f t="shared" si="27"/>
        <v>0</v>
      </c>
      <c r="V89" s="188">
        <f t="shared" si="27"/>
        <v>0</v>
      </c>
      <c r="W89" s="188">
        <f t="shared" si="27"/>
        <v>0</v>
      </c>
      <c r="X89" s="188">
        <f t="shared" si="27"/>
        <v>0</v>
      </c>
      <c r="Y89" s="188">
        <f t="shared" si="27"/>
        <v>0</v>
      </c>
      <c r="Z89" s="188">
        <f t="shared" si="27"/>
        <v>0</v>
      </c>
      <c r="AA89" s="188">
        <f t="shared" si="27"/>
        <v>0</v>
      </c>
      <c r="AB89" s="188">
        <f t="shared" si="27"/>
        <v>0</v>
      </c>
      <c r="AC89" s="188">
        <f t="shared" si="27"/>
        <v>0</v>
      </c>
      <c r="AD89" s="188">
        <f t="shared" si="27"/>
        <v>0</v>
      </c>
      <c r="AE89" s="188">
        <f t="shared" si="27"/>
        <v>0</v>
      </c>
      <c r="AF89" s="188">
        <f t="shared" ref="AF89:AK89" si="28">SUM(AF86:AF88)</f>
        <v>0</v>
      </c>
      <c r="AG89" s="188">
        <f t="shared" si="28"/>
        <v>0</v>
      </c>
      <c r="AH89" s="188">
        <f t="shared" si="28"/>
        <v>0</v>
      </c>
      <c r="AI89" s="188">
        <f t="shared" si="28"/>
        <v>0</v>
      </c>
      <c r="AJ89" s="188">
        <f t="shared" si="28"/>
        <v>0</v>
      </c>
      <c r="AK89" s="188">
        <f t="shared" si="28"/>
        <v>0</v>
      </c>
      <c r="AL89" s="188">
        <f>SUM(AL86:AL88)</f>
        <v>0</v>
      </c>
      <c r="AM89" s="188">
        <f>SUM(AM86:AM88)</f>
        <v>0</v>
      </c>
    </row>
    <row r="90" spans="1:39" x14ac:dyDescent="0.2">
      <c r="A90" s="4"/>
      <c r="B90" s="3"/>
      <c r="F90" s="31"/>
      <c r="G90" s="31"/>
      <c r="H90" s="31"/>
      <c r="I90" s="31"/>
      <c r="K90"/>
    </row>
    <row r="91" spans="1:39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29">+E82+E89</f>
        <v>-1841270.4229999441</v>
      </c>
      <c r="F91" s="188">
        <f t="shared" si="29"/>
        <v>0</v>
      </c>
      <c r="G91" s="188">
        <f t="shared" si="29"/>
        <v>-1748353.3900000006</v>
      </c>
      <c r="H91" s="188">
        <f t="shared" si="29"/>
        <v>0</v>
      </c>
      <c r="I91" s="188">
        <f t="shared" si="29"/>
        <v>-390424.53800000623</v>
      </c>
      <c r="J91" s="188">
        <f t="shared" si="29"/>
        <v>0</v>
      </c>
      <c r="K91" s="188">
        <f t="shared" si="29"/>
        <v>-7984634.2679999992</v>
      </c>
      <c r="L91" s="188">
        <f t="shared" si="29"/>
        <v>0</v>
      </c>
      <c r="M91" s="188">
        <f t="shared" si="29"/>
        <v>-5516877.8280000016</v>
      </c>
      <c r="N91" s="188">
        <f t="shared" si="29"/>
        <v>0</v>
      </c>
      <c r="O91" s="188">
        <f t="shared" si="29"/>
        <v>12834537.421</v>
      </c>
      <c r="P91" s="188">
        <f t="shared" si="29"/>
        <v>0</v>
      </c>
      <c r="Q91" s="188">
        <f t="shared" si="29"/>
        <v>-4840168.6840000004</v>
      </c>
      <c r="R91" s="188">
        <f t="shared" si="29"/>
        <v>0</v>
      </c>
      <c r="S91" s="188">
        <f t="shared" si="29"/>
        <v>84917.412999999986</v>
      </c>
      <c r="T91" s="188">
        <f t="shared" si="29"/>
        <v>0</v>
      </c>
      <c r="U91" s="188">
        <f t="shared" si="29"/>
        <v>2591932.0360000003</v>
      </c>
      <c r="V91" s="188">
        <f t="shared" si="29"/>
        <v>0</v>
      </c>
      <c r="W91" s="188">
        <f t="shared" si="29"/>
        <v>1126988.3680000002</v>
      </c>
      <c r="X91" s="188">
        <f t="shared" si="29"/>
        <v>0</v>
      </c>
      <c r="Y91" s="188">
        <f t="shared" si="29"/>
        <v>65063.28899999999</v>
      </c>
      <c r="Z91" s="188">
        <f t="shared" si="29"/>
        <v>0</v>
      </c>
      <c r="AA91" s="188">
        <f t="shared" si="29"/>
        <v>1929382.4250000003</v>
      </c>
      <c r="AB91" s="188">
        <f t="shared" si="29"/>
        <v>0</v>
      </c>
      <c r="AC91" s="188">
        <f t="shared" si="29"/>
        <v>243.68000000001163</v>
      </c>
      <c r="AD91" s="188">
        <f t="shared" si="29"/>
        <v>0</v>
      </c>
      <c r="AE91" s="188">
        <f t="shared" si="29"/>
        <v>6123.6530000000494</v>
      </c>
      <c r="AF91" s="188">
        <f t="shared" ref="AF91:AK91" si="30">+AF82+AF89</f>
        <v>0</v>
      </c>
      <c r="AG91" s="188">
        <f t="shared" si="30"/>
        <v>-6123.6530000000494</v>
      </c>
      <c r="AH91" s="188">
        <f t="shared" si="30"/>
        <v>0</v>
      </c>
      <c r="AI91" s="188">
        <f t="shared" si="30"/>
        <v>0</v>
      </c>
      <c r="AJ91" s="188">
        <f t="shared" si="30"/>
        <v>0</v>
      </c>
      <c r="AK91" s="188">
        <f t="shared" si="30"/>
        <v>6123.6530000000494</v>
      </c>
      <c r="AL91" s="188">
        <f>+AL82+AL89</f>
        <v>0</v>
      </c>
      <c r="AM91" s="188">
        <f>+AM82+AM89</f>
        <v>0</v>
      </c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M187"/>
  <sheetViews>
    <sheetView zoomScale="75" workbookViewId="0">
      <pane xSplit="3" ySplit="9" topLeftCell="D66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M187"/>
  <sheetViews>
    <sheetView zoomScale="75" workbookViewId="0">
      <pane xSplit="3" ySplit="9" topLeftCell="D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28515625" style="149" customWidth="1"/>
    <col min="12" max="57" width="15.28515625" customWidth="1"/>
    <col min="62" max="100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8760907</v>
      </c>
      <c r="E11" s="38">
        <f t="shared" si="0"/>
        <v>17414482.489999995</v>
      </c>
      <c r="F11" s="58">
        <f>'TIE-OUT'!J11+RECLASS!J11</f>
        <v>0</v>
      </c>
      <c r="G11" s="15">
        <f>'TIE-OUT'!K11+RECLASS!K11</f>
        <v>0</v>
      </c>
      <c r="H11" s="133">
        <f>+Actuals!E44</f>
        <v>9140188</v>
      </c>
      <c r="I11" s="134">
        <f>+Actuals!F44</f>
        <v>18207329.989999998</v>
      </c>
      <c r="J11" s="133">
        <f>+Actuals!G44</f>
        <v>-446300</v>
      </c>
      <c r="K11" s="153">
        <f>+Actuals!H44</f>
        <v>-917209.47000000067</v>
      </c>
      <c r="L11" s="133">
        <f>+Actuals!I44</f>
        <v>67019</v>
      </c>
      <c r="M11" s="134">
        <f>+Actuals!J44</f>
        <v>124361.97</v>
      </c>
      <c r="N11" s="133">
        <f>+Actuals!K44</f>
        <v>0</v>
      </c>
      <c r="O11" s="134">
        <f>+Actuals!L44</f>
        <v>0</v>
      </c>
      <c r="P11" s="133">
        <f>+Actuals!M44</f>
        <v>0</v>
      </c>
      <c r="Q11" s="134">
        <f>+Actuals!N44</f>
        <v>0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0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0</v>
      </c>
      <c r="AE11" s="134">
        <f>+Actuals!AB44</f>
        <v>0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</row>
    <row r="16" spans="1:3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154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-2123880</v>
      </c>
      <c r="E19" s="38">
        <f t="shared" si="3"/>
        <v>-3797697.04</v>
      </c>
      <c r="F19" s="84">
        <f>'TIE-OUT'!J19+RECLASS!J19</f>
        <v>0</v>
      </c>
      <c r="G19" s="85">
        <f>'TIE-OUT'!K19+RECLASS!K19</f>
        <v>0</v>
      </c>
      <c r="H19" s="133">
        <f>+Actuals!E49</f>
        <v>-2488315</v>
      </c>
      <c r="I19" s="134">
        <f>+Actuals!F49</f>
        <v>-4458771</v>
      </c>
      <c r="J19" s="133">
        <f>+Actuals!G49</f>
        <v>452693</v>
      </c>
      <c r="K19" s="153">
        <f>+Actuals!H49</f>
        <v>826952.86</v>
      </c>
      <c r="L19" s="133">
        <f>+Actuals!I49</f>
        <v>-62394</v>
      </c>
      <c r="M19" s="134">
        <f>+Actuals!J49</f>
        <v>-109098.54</v>
      </c>
      <c r="N19" s="133">
        <f>+Actuals!K49</f>
        <v>8978</v>
      </c>
      <c r="O19" s="134">
        <f>+Actuals!L49</f>
        <v>16444.93</v>
      </c>
      <c r="P19" s="133">
        <f>+Actuals!M49</f>
        <v>0</v>
      </c>
      <c r="Q19" s="134">
        <f>+Actuals!N49</f>
        <v>-12676.2</v>
      </c>
      <c r="R19" s="133">
        <f>+Actuals!O49</f>
        <v>-37236</v>
      </c>
      <c r="S19" s="134">
        <f>+Actuals!P49</f>
        <v>-64673.94</v>
      </c>
      <c r="T19" s="133">
        <f>+Actuals!Q49</f>
        <v>2394</v>
      </c>
      <c r="U19" s="134">
        <f>+Actuals!R49</f>
        <v>4124.8500000000004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0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-1394542.32</v>
      </c>
      <c r="F20" s="58">
        <f>'TIE-OUT'!J20+RECLASS!J20</f>
        <v>0</v>
      </c>
      <c r="G20" s="15">
        <f>'TIE-OUT'!K20+RECLASS!K20</f>
        <v>-1394542.32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41815</v>
      </c>
      <c r="E23" s="38">
        <f t="shared" si="3"/>
        <v>76475.87</v>
      </c>
      <c r="F23" s="98">
        <f>'TIE-OUT'!J23+RECLASS!J23</f>
        <v>0</v>
      </c>
      <c r="G23" s="99">
        <f>'TIE-OUT'!K23+RECLASS!K23</f>
        <v>0</v>
      </c>
      <c r="H23" s="133">
        <f>+Actuals!E53</f>
        <v>60000</v>
      </c>
      <c r="I23" s="134">
        <f>+Actuals!F53</f>
        <v>108826.47</v>
      </c>
      <c r="J23" s="133">
        <f>+Actuals!G53</f>
        <v>-18185</v>
      </c>
      <c r="K23" s="153">
        <f>+Actuals!H53</f>
        <v>-32350.6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0</v>
      </c>
      <c r="AG23" s="134">
        <f>+Actuals!AD53</f>
        <v>0</v>
      </c>
      <c r="AH23" s="133">
        <f>+Actuals!AE53</f>
        <v>0</v>
      </c>
      <c r="AI23" s="134">
        <f>+Actuals!AF53</f>
        <v>0</v>
      </c>
      <c r="AJ23" s="133">
        <f>+Actuals!AG53</f>
        <v>0</v>
      </c>
      <c r="AK23" s="134">
        <f>+Actuals!AH53</f>
        <v>0</v>
      </c>
      <c r="AL23" s="133">
        <f>+Actuals!AI53</f>
        <v>0</v>
      </c>
      <c r="AM23" s="134">
        <f>+Actuals!AJ53</f>
        <v>0</v>
      </c>
    </row>
    <row r="24" spans="1:3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59">
        <f t="shared" ref="F24:AE24" si="4">SUM(F19:F23)</f>
        <v>0</v>
      </c>
      <c r="G24" s="23">
        <f t="shared" si="4"/>
        <v>-1394542.32</v>
      </c>
      <c r="H24" s="61">
        <f t="shared" si="4"/>
        <v>-2428315</v>
      </c>
      <c r="I24" s="39">
        <f t="shared" si="4"/>
        <v>-4349944.53</v>
      </c>
      <c r="J24" s="61">
        <f t="shared" si="4"/>
        <v>434508</v>
      </c>
      <c r="K24" s="154">
        <f t="shared" si="4"/>
        <v>794602.26</v>
      </c>
      <c r="L24" s="61">
        <f t="shared" si="4"/>
        <v>-62394</v>
      </c>
      <c r="M24" s="39">
        <f t="shared" si="4"/>
        <v>-109098.54</v>
      </c>
      <c r="N24" s="61">
        <f t="shared" si="4"/>
        <v>8978</v>
      </c>
      <c r="O24" s="39">
        <f t="shared" si="4"/>
        <v>16444.93</v>
      </c>
      <c r="P24" s="61">
        <f t="shared" si="4"/>
        <v>0</v>
      </c>
      <c r="Q24" s="39">
        <f t="shared" si="4"/>
        <v>-12676.2</v>
      </c>
      <c r="R24" s="61">
        <f t="shared" si="4"/>
        <v>-37236</v>
      </c>
      <c r="S24" s="39">
        <f t="shared" si="4"/>
        <v>-64673.94</v>
      </c>
      <c r="T24" s="61">
        <f t="shared" si="4"/>
        <v>2394</v>
      </c>
      <c r="U24" s="39">
        <f t="shared" si="4"/>
        <v>4124.8500000000004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4176979</v>
      </c>
      <c r="E27" s="38">
        <f>SUM(G27,I27,K27,M27,O27,Q27,S27,U27,W27,Y27,AA27,AC27,AE27,AG27,AI27,AK27,AM27)</f>
        <v>7789923.3300000001</v>
      </c>
      <c r="F27" s="84">
        <f>'TIE-OUT'!J27+RECLASS!J27</f>
        <v>0</v>
      </c>
      <c r="G27" s="85">
        <f>'TIE-OUT'!K27+RECLASS!K27</f>
        <v>0</v>
      </c>
      <c r="H27" s="133">
        <f>+Actuals!E54</f>
        <v>4126748</v>
      </c>
      <c r="I27" s="134">
        <f>+Actuals!F54</f>
        <v>7697205</v>
      </c>
      <c r="J27" s="133">
        <f>+Actuals!G54</f>
        <v>50231</v>
      </c>
      <c r="K27" s="153">
        <f>+Actuals!H54</f>
        <v>92718.33</v>
      </c>
      <c r="L27" s="133">
        <f>+Actuals!I54</f>
        <v>0</v>
      </c>
      <c r="M27" s="134">
        <f>+Actuals!J54</f>
        <v>0</v>
      </c>
      <c r="N27" s="133">
        <f>+Actuals!K54</f>
        <v>0</v>
      </c>
      <c r="O27" s="134">
        <f>+Actuals!L54</f>
        <v>0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0</v>
      </c>
      <c r="W27" s="134">
        <f>+Actuals!T54</f>
        <v>0</v>
      </c>
      <c r="X27" s="133">
        <f>+Actuals!U54</f>
        <v>0</v>
      </c>
      <c r="Y27" s="134">
        <f>+Actuals!V54</f>
        <v>0</v>
      </c>
      <c r="Z27" s="133">
        <f>+Actuals!W54</f>
        <v>0</v>
      </c>
      <c r="AA27" s="134">
        <f>+Actuals!X54</f>
        <v>0</v>
      </c>
      <c r="AB27" s="133">
        <f>+Actuals!Y54</f>
        <v>0</v>
      </c>
      <c r="AC27" s="134">
        <f>+Actuals!Z54</f>
        <v>0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0</v>
      </c>
      <c r="AM27" s="134">
        <f>+Actuals!AJ54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-9713655</v>
      </c>
      <c r="E28" s="38">
        <f>SUM(G28,I28,K28,M28,O28,Q28,S28,U28,W28,Y28,AA28,AC28,AE28,AG28,AI28,AK28,AM28)</f>
        <v>-17661497.370000001</v>
      </c>
      <c r="F28" s="98">
        <f>'TIE-OUT'!J28+RECLASS!J28</f>
        <v>0</v>
      </c>
      <c r="G28" s="99">
        <f>'TIE-OUT'!K28+RECLASS!K28</f>
        <v>0</v>
      </c>
      <c r="H28" s="133">
        <f>+Actuals!E55</f>
        <v>-9663424</v>
      </c>
      <c r="I28" s="134">
        <f>+Actuals!F55</f>
        <v>-17568778.710000001</v>
      </c>
      <c r="J28" s="133">
        <f>+Actuals!G55</f>
        <v>-50231</v>
      </c>
      <c r="K28" s="153">
        <f>+Actuals!H55</f>
        <v>-92718.66</v>
      </c>
      <c r="L28" s="133">
        <f>+Actuals!I55</f>
        <v>0</v>
      </c>
      <c r="M28" s="134">
        <f>+Actuals!J55</f>
        <v>0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0</v>
      </c>
      <c r="U28" s="134">
        <f>+Actuals!R55</f>
        <v>0</v>
      </c>
      <c r="V28" s="133">
        <f>+Actuals!S55</f>
        <v>0</v>
      </c>
      <c r="W28" s="134">
        <f>+Actuals!T55</f>
        <v>0</v>
      </c>
      <c r="X28" s="133">
        <f>+Actuals!U55</f>
        <v>0</v>
      </c>
      <c r="Y28" s="134">
        <f>+Actuals!V55</f>
        <v>0</v>
      </c>
      <c r="Z28" s="133">
        <f>+Actuals!W55</f>
        <v>0</v>
      </c>
      <c r="AA28" s="134">
        <f>+Actuals!X55</f>
        <v>0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0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  <c r="AL28" s="133">
        <f>+Actuals!AI55</f>
        <v>0</v>
      </c>
      <c r="AM28" s="134">
        <f>+Actuals!AJ55</f>
        <v>0</v>
      </c>
    </row>
    <row r="29" spans="1:3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-5536676</v>
      </c>
      <c r="I29" s="39">
        <f t="shared" si="6"/>
        <v>-9871573.7100000009</v>
      </c>
      <c r="J29" s="61">
        <f t="shared" si="6"/>
        <v>0</v>
      </c>
      <c r="K29" s="154">
        <f t="shared" si="6"/>
        <v>-0.33000000000174623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-39120</v>
      </c>
      <c r="E32" s="38">
        <f t="shared" si="8"/>
        <v>-69125.040000000023</v>
      </c>
      <c r="F32" s="84">
        <f>'TIE-OUT'!J32+RECLASS!J32</f>
        <v>0</v>
      </c>
      <c r="G32" s="85">
        <f>'TIE-OUT'!K32+RECLASS!K32</f>
        <v>0</v>
      </c>
      <c r="H32" s="133">
        <f>+Actuals!E56</f>
        <v>-68513</v>
      </c>
      <c r="I32" s="134">
        <f>+Actuals!F56</f>
        <v>-123542</v>
      </c>
      <c r="J32" s="133">
        <f>+Actuals!G56</f>
        <v>29393</v>
      </c>
      <c r="K32" s="153">
        <f>+Actuals!H56</f>
        <v>54416.959999999999</v>
      </c>
      <c r="L32" s="133">
        <f>+Actuals!I56</f>
        <v>0</v>
      </c>
      <c r="M32" s="134">
        <f>+Actuals!J56</f>
        <v>-821.52</v>
      </c>
      <c r="N32" s="133">
        <f>+Actuals!K56</f>
        <v>0</v>
      </c>
      <c r="O32" s="134">
        <f>+Actuals!L56</f>
        <v>6728.64</v>
      </c>
      <c r="P32" s="133">
        <f>+Actuals!M56</f>
        <v>0</v>
      </c>
      <c r="Q32" s="134">
        <f>+Actuals!N56</f>
        <v>-11031.84</v>
      </c>
      <c r="R32" s="133">
        <f>+Actuals!O56</f>
        <v>0</v>
      </c>
      <c r="S32" s="134">
        <f>+Actuals!P56</f>
        <v>-17877.84</v>
      </c>
      <c r="T32" s="133">
        <f>+Actuals!Q56</f>
        <v>0</v>
      </c>
      <c r="U32" s="134">
        <f>+Actuals!R56</f>
        <v>4929.12</v>
      </c>
      <c r="V32" s="133">
        <f>+Actuals!S56</f>
        <v>0</v>
      </c>
      <c r="W32" s="134">
        <f>+Actuals!T56</f>
        <v>-1408.32</v>
      </c>
      <c r="X32" s="133">
        <f>+Actuals!U56</f>
        <v>0</v>
      </c>
      <c r="Y32" s="134">
        <f>+Actuals!V56</f>
        <v>-13652.88</v>
      </c>
      <c r="Z32" s="133">
        <f>+Actuals!W56</f>
        <v>0</v>
      </c>
      <c r="AA32" s="134">
        <f>+Actuals!X56</f>
        <v>-11110.08</v>
      </c>
      <c r="AB32" s="133">
        <f>+Actuals!Y56</f>
        <v>0</v>
      </c>
      <c r="AC32" s="134">
        <f>+Actuals!Z56</f>
        <v>44244.72</v>
      </c>
      <c r="AD32" s="133">
        <f>+Actuals!AA56</f>
        <v>0</v>
      </c>
      <c r="AE32" s="134">
        <f>+Actuals!AB56</f>
        <v>0</v>
      </c>
      <c r="AF32" s="133">
        <f>+Actuals!AC56</f>
        <v>0</v>
      </c>
      <c r="AG32" s="134">
        <f>+Actuals!AD56</f>
        <v>0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</row>
    <row r="36" spans="1:3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-68513</v>
      </c>
      <c r="I36" s="39">
        <f t="shared" si="9"/>
        <v>-123542</v>
      </c>
      <c r="J36" s="61">
        <f t="shared" si="9"/>
        <v>29393</v>
      </c>
      <c r="K36" s="154">
        <f t="shared" si="9"/>
        <v>54416.959999999999</v>
      </c>
      <c r="L36" s="61">
        <f t="shared" si="9"/>
        <v>0</v>
      </c>
      <c r="M36" s="39">
        <f t="shared" si="9"/>
        <v>-821.52</v>
      </c>
      <c r="N36" s="61">
        <f t="shared" si="9"/>
        <v>0</v>
      </c>
      <c r="O36" s="39">
        <f t="shared" si="9"/>
        <v>6728.64</v>
      </c>
      <c r="P36" s="61">
        <f t="shared" si="9"/>
        <v>0</v>
      </c>
      <c r="Q36" s="39">
        <f t="shared" si="9"/>
        <v>-11031.84</v>
      </c>
      <c r="R36" s="61">
        <f t="shared" si="9"/>
        <v>0</v>
      </c>
      <c r="S36" s="39">
        <f t="shared" si="9"/>
        <v>-17877.84</v>
      </c>
      <c r="T36" s="61">
        <f t="shared" si="9"/>
        <v>0</v>
      </c>
      <c r="U36" s="39">
        <f t="shared" si="9"/>
        <v>4929.12</v>
      </c>
      <c r="V36" s="61">
        <f t="shared" si="9"/>
        <v>0</v>
      </c>
      <c r="W36" s="39">
        <f t="shared" si="9"/>
        <v>-1408.32</v>
      </c>
      <c r="X36" s="61">
        <f t="shared" si="9"/>
        <v>0</v>
      </c>
      <c r="Y36" s="39">
        <f t="shared" si="9"/>
        <v>-13652.88</v>
      </c>
      <c r="Z36" s="61">
        <f t="shared" si="9"/>
        <v>0</v>
      </c>
      <c r="AA36" s="39">
        <f t="shared" si="9"/>
        <v>-11110.08</v>
      </c>
      <c r="AB36" s="61">
        <f t="shared" si="9"/>
        <v>0</v>
      </c>
      <c r="AC36" s="39">
        <f t="shared" si="9"/>
        <v>44244.72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784843</v>
      </c>
      <c r="E39" s="38">
        <f t="shared" si="11"/>
        <v>1557128.51</v>
      </c>
      <c r="F39" s="84">
        <f>'TIE-OUT'!J39+RECLASS!J39</f>
        <v>0</v>
      </c>
      <c r="G39" s="85">
        <f>'TIE-OUT'!K39+RECLASS!K39</f>
        <v>0</v>
      </c>
      <c r="H39" s="133">
        <f>+Actuals!E60</f>
        <v>978794</v>
      </c>
      <c r="I39" s="134">
        <f>+Actuals!F60</f>
        <v>1772939</v>
      </c>
      <c r="J39" s="133">
        <f>+Actuals!G60</f>
        <v>-193951</v>
      </c>
      <c r="K39" s="153">
        <f>+Actuals!H60</f>
        <v>-215810.49</v>
      </c>
      <c r="L39" s="133">
        <f>+Actuals!I60</f>
        <v>0</v>
      </c>
      <c r="M39" s="134">
        <f>+Actuals!J60</f>
        <v>0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-2004147</v>
      </c>
      <c r="E40" s="38">
        <f t="shared" si="11"/>
        <v>-3976227.65</v>
      </c>
      <c r="F40" s="58">
        <f>'TIE-OUT'!J40+RECLASS!J40</f>
        <v>0</v>
      </c>
      <c r="G40" s="15">
        <f>'TIE-OUT'!K40+RECLASS!K40</f>
        <v>0</v>
      </c>
      <c r="H40" s="133">
        <f>+Actuals!E61</f>
        <v>-2176461</v>
      </c>
      <c r="I40" s="134">
        <f>+Actuals!F61</f>
        <v>-4133745</v>
      </c>
      <c r="J40" s="133">
        <f>+Actuals!G61</f>
        <v>172314</v>
      </c>
      <c r="K40" s="153">
        <f>+Actuals!H61</f>
        <v>157517.35</v>
      </c>
      <c r="L40" s="133">
        <f>+Actuals!I61</f>
        <v>0</v>
      </c>
      <c r="M40" s="134">
        <f>+Actuals!J61</f>
        <v>0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</row>
    <row r="42" spans="1:3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-2176461</v>
      </c>
      <c r="I42" s="39">
        <f t="shared" si="12"/>
        <v>-4133745</v>
      </c>
      <c r="J42" s="61">
        <f t="shared" si="12"/>
        <v>172314</v>
      </c>
      <c r="K42" s="154">
        <f t="shared" si="12"/>
        <v>157517.35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-1197667</v>
      </c>
      <c r="I43" s="39">
        <f t="shared" si="14"/>
        <v>-2360806</v>
      </c>
      <c r="J43" s="61">
        <f t="shared" si="14"/>
        <v>-21637</v>
      </c>
      <c r="K43" s="154">
        <f t="shared" si="14"/>
        <v>-58293.139999999985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8416</v>
      </c>
      <c r="K45" s="153">
        <f>+Actuals!H63</f>
        <v>16242.88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</row>
    <row r="46" spans="1:39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58">
        <f>'TIE-OUT'!J47+RECLASS!J47</f>
        <v>0</v>
      </c>
      <c r="G47" s="15">
        <f>'TIE-OUT'!K47+RECLASS!K47</f>
        <v>0</v>
      </c>
      <c r="H47" s="133">
        <f>+Actuals!E64</f>
        <v>90983</v>
      </c>
      <c r="I47" s="134">
        <f>+Actuals!F64</f>
        <v>163769.73000000001</v>
      </c>
      <c r="J47" s="133">
        <f>+Actuals!G64</f>
        <v>-8567</v>
      </c>
      <c r="K47" s="153">
        <f>+Actuals!H64</f>
        <v>-15420.6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</row>
    <row r="48" spans="1:39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25426</v>
      </c>
      <c r="E49" s="38">
        <f>SUM(G49,I49,K49,M49,O49,Q49,S49,U49,W49,Y49,AA49,AC49,AE49,AG49,AI49,AK49,AM49)</f>
        <v>44927.741999999998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4187</v>
      </c>
      <c r="K49" s="153">
        <f>+Actuals!H65</f>
        <v>7398.4290000000001</v>
      </c>
      <c r="L49" s="133">
        <f>+Actuals!I65</f>
        <v>-4625</v>
      </c>
      <c r="M49" s="134">
        <f>+Actuals!J65</f>
        <v>-8172.375</v>
      </c>
      <c r="N49" s="133">
        <f>+Actuals!K65</f>
        <v>-8978</v>
      </c>
      <c r="O49" s="134">
        <f>+Actuals!L65</f>
        <v>-15864.126</v>
      </c>
      <c r="P49" s="133">
        <f>+Actuals!M65</f>
        <v>0</v>
      </c>
      <c r="Q49" s="134">
        <f>+Actuals!N65</f>
        <v>0</v>
      </c>
      <c r="R49" s="133">
        <f>+Actuals!O65</f>
        <v>37236</v>
      </c>
      <c r="S49" s="134">
        <f>+Actuals!P65</f>
        <v>65796.012000000002</v>
      </c>
      <c r="T49" s="133">
        <f>+Actuals!Q65</f>
        <v>-2394</v>
      </c>
      <c r="U49" s="134">
        <f>+Actuals!R65</f>
        <v>-4230.1980000000003</v>
      </c>
      <c r="V49" s="133">
        <f>+Actuals!S65</f>
        <v>0</v>
      </c>
      <c r="W49" s="134">
        <f>+Actuals!T65</f>
        <v>0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0</v>
      </c>
      <c r="AE49" s="134">
        <f>+Actuals!AB65</f>
        <v>0</v>
      </c>
      <c r="AF49" s="133">
        <f>+Actuals!AC65</f>
        <v>0</v>
      </c>
      <c r="AG49" s="134">
        <f>+Actuals!AD65</f>
        <v>0</v>
      </c>
      <c r="AH49" s="133">
        <f>+Actuals!AE65</f>
        <v>0</v>
      </c>
      <c r="AI49" s="134">
        <f>+Actuals!AF65</f>
        <v>0</v>
      </c>
      <c r="AJ49" s="133">
        <f>+Actuals!AG65</f>
        <v>0</v>
      </c>
      <c r="AK49" s="134">
        <f>+Actuals!AH65</f>
        <v>0</v>
      </c>
      <c r="AL49" s="133">
        <f>+Actuals!AI65</f>
        <v>0</v>
      </c>
      <c r="AM49" s="134">
        <f>+Actuals!AJ65</f>
        <v>0</v>
      </c>
    </row>
    <row r="50" spans="1:39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-41815</v>
      </c>
      <c r="E51" s="38">
        <f>SUM(G51,I51,K51,M51,O51,Q51,S51,U51,W51,Y51,AA51,AC51,AE51,AG51,AI51,AK51,AM51)</f>
        <v>-76475.87</v>
      </c>
      <c r="F51" s="58">
        <f>'TIE-OUT'!J51+RECLASS!J51</f>
        <v>0</v>
      </c>
      <c r="G51" s="15">
        <f>'TIE-OUT'!K51+RECLASS!K51</f>
        <v>0</v>
      </c>
      <c r="H51" s="133">
        <f>+Actuals!E66</f>
        <v>-60000</v>
      </c>
      <c r="I51" s="134">
        <f>+Actuals!F66</f>
        <v>-108826.47</v>
      </c>
      <c r="J51" s="133">
        <f>+Actuals!G66</f>
        <v>18185</v>
      </c>
      <c r="K51" s="153">
        <f>+Actuals!H66</f>
        <v>32350.6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</row>
    <row r="52" spans="1:39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-43765</v>
      </c>
      <c r="E54" s="38">
        <f>SUM(G54,I54,K54,M54,O54,Q54,S54,U54,W54,Y54,AA54,AC54,AE54,AG54,AI54,AK54,AM54)</f>
        <v>-1312.95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0</v>
      </c>
      <c r="J54" s="133">
        <f>+Actuals!G67</f>
        <v>-7406</v>
      </c>
      <c r="K54" s="153">
        <f>+Actuals!H67</f>
        <v>-222.18</v>
      </c>
      <c r="L54" s="133">
        <f>+Actuals!I67</f>
        <v>-36359</v>
      </c>
      <c r="M54" s="134">
        <f>+Actuals!J67</f>
        <v>-1090.77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</row>
    <row r="56" spans="1:3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-7406</v>
      </c>
      <c r="K56" s="154">
        <f t="shared" si="16"/>
        <v>-222.18</v>
      </c>
      <c r="L56" s="61">
        <f t="shared" si="16"/>
        <v>-36359</v>
      </c>
      <c r="M56" s="39">
        <f t="shared" si="16"/>
        <v>-1090.77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84">
        <f>'TIE-OUT'!J59+RECLASS!J59</f>
        <v>0</v>
      </c>
      <c r="G59" s="85">
        <f>'TIE-OUT'!K59+RECLASS!K59</f>
        <v>0</v>
      </c>
      <c r="H59" s="133">
        <f>+Actuals!E69</f>
        <v>3059641</v>
      </c>
      <c r="I59" s="134">
        <f>+Actuals!F69</f>
        <v>140794.28</v>
      </c>
      <c r="J59" s="133">
        <f>+Actuals!G69</f>
        <v>-330860</v>
      </c>
      <c r="K59" s="153">
        <f>+Actuals!H69</f>
        <v>-1737.81</v>
      </c>
      <c r="L59" s="133">
        <f>+Actuals!I69</f>
        <v>0</v>
      </c>
      <c r="M59" s="134">
        <f>+Actuals!J69</f>
        <v>0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0</v>
      </c>
      <c r="AM59" s="134">
        <f>+Actuals!AJ69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3059641</v>
      </c>
      <c r="I61" s="39">
        <f t="shared" si="18"/>
        <v>140794.28</v>
      </c>
      <c r="J61" s="61">
        <f t="shared" si="18"/>
        <v>-330860</v>
      </c>
      <c r="K61" s="154">
        <f t="shared" si="18"/>
        <v>-1737.81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84">
        <f>'TIE-OUT'!J64+RECLASS!J64</f>
        <v>0</v>
      </c>
      <c r="G64" s="85">
        <f>'TIE-OUT'!K64+RECLASS!K64</f>
        <v>0</v>
      </c>
      <c r="H64" s="133">
        <f>+Actuals!E71</f>
        <v>0</v>
      </c>
      <c r="I64" s="134">
        <f>+Actuals!F71</f>
        <v>0</v>
      </c>
      <c r="J64" s="133">
        <f>+Actuals!G71</f>
        <v>-24844693</v>
      </c>
      <c r="K64" s="153">
        <f>+Actuals!H71</f>
        <v>-2382164.67</v>
      </c>
      <c r="L64" s="133">
        <f>+Actuals!I71</f>
        <v>0</v>
      </c>
      <c r="M64" s="134">
        <f>+Actuals!J71</f>
        <v>0</v>
      </c>
      <c r="N64" s="133">
        <f>+Actuals!K71</f>
        <v>0</v>
      </c>
      <c r="O64" s="134">
        <f>+Actuals!L71</f>
        <v>0</v>
      </c>
      <c r="P64" s="133">
        <f>+Actuals!M71</f>
        <v>0</v>
      </c>
      <c r="Q64" s="134">
        <f>+Actuals!N71</f>
        <v>0</v>
      </c>
      <c r="R64" s="133">
        <f>+Actuals!O71</f>
        <v>0</v>
      </c>
      <c r="S64" s="134">
        <f>+Actuals!P71</f>
        <v>0</v>
      </c>
      <c r="T64" s="133">
        <f>+Actuals!Q71</f>
        <v>0</v>
      </c>
      <c r="U64" s="134">
        <f>+Actuals!R71</f>
        <v>0</v>
      </c>
      <c r="V64" s="133">
        <f>+Actuals!S71</f>
        <v>0</v>
      </c>
      <c r="W64" s="134">
        <f>+Actuals!T71</f>
        <v>0</v>
      </c>
      <c r="X64" s="133">
        <f>+Actuals!U71</f>
        <v>0</v>
      </c>
      <c r="Y64" s="134">
        <f>+Actuals!V71</f>
        <v>0</v>
      </c>
      <c r="Z64" s="133">
        <f>+Actuals!W71</f>
        <v>0</v>
      </c>
      <c r="AA64" s="134">
        <f>+Actuals!X71</f>
        <v>0</v>
      </c>
      <c r="AB64" s="133">
        <f>+Actuals!Y71</f>
        <v>0</v>
      </c>
      <c r="AC64" s="134">
        <f>+Actuals!Z71</f>
        <v>0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  <c r="AL64" s="133">
        <f>+Actuals!AI71</f>
        <v>0</v>
      </c>
      <c r="AM64" s="134">
        <f>+Actuals!AJ71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98">
        <f>'TIE-OUT'!J65+RECLASS!J65</f>
        <v>0</v>
      </c>
      <c r="G65" s="99">
        <f>'TIE-OUT'!K65+RECLASS!K65</f>
        <v>-170000</v>
      </c>
      <c r="H65" s="133">
        <f>+Actuals!E72</f>
        <v>0</v>
      </c>
      <c r="I65" s="134">
        <f>+Actuals!F72+170000</f>
        <v>170000</v>
      </c>
      <c r="J65" s="133">
        <f>+Actuals!G72</f>
        <v>23625389</v>
      </c>
      <c r="K65" s="153">
        <f>+Actuals!H72+450000</f>
        <v>2382164.67</v>
      </c>
      <c r="L65" s="133">
        <f>+Actuals!I72</f>
        <v>0</v>
      </c>
      <c r="M65" s="134">
        <f>+Actuals!J72</f>
        <v>0</v>
      </c>
      <c r="N65" s="133">
        <f>+Actuals!K72</f>
        <v>0</v>
      </c>
      <c r="O65" s="134">
        <f>+Actuals!L72</f>
        <v>0</v>
      </c>
      <c r="P65" s="133">
        <f>+Actuals!M72</f>
        <v>0</v>
      </c>
      <c r="Q65" s="134">
        <f>+Actuals!N72</f>
        <v>0</v>
      </c>
      <c r="R65" s="133">
        <f>+Actuals!O72</f>
        <v>0</v>
      </c>
      <c r="S65" s="134">
        <f>+Actuals!P72</f>
        <v>0</v>
      </c>
      <c r="T65" s="133">
        <f>+Actuals!Q72</f>
        <v>0</v>
      </c>
      <c r="U65" s="134">
        <f>+Actuals!R72</f>
        <v>0</v>
      </c>
      <c r="V65" s="133">
        <f>+Actuals!S72</f>
        <v>0</v>
      </c>
      <c r="W65" s="134">
        <f>+Actuals!T72</f>
        <v>0</v>
      </c>
      <c r="X65" s="133">
        <f>+Actuals!U72</f>
        <v>0</v>
      </c>
      <c r="Y65" s="134">
        <f>+Actuals!V72</f>
        <v>0</v>
      </c>
      <c r="Z65" s="133">
        <f>+Actuals!W72</f>
        <v>0</v>
      </c>
      <c r="AA65" s="134">
        <f>+Actuals!X72</f>
        <v>0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0</v>
      </c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-170000</v>
      </c>
      <c r="H66" s="61">
        <f t="shared" si="20"/>
        <v>0</v>
      </c>
      <c r="I66" s="39">
        <f t="shared" si="20"/>
        <v>170000</v>
      </c>
      <c r="J66" s="61">
        <f t="shared" si="20"/>
        <v>-1219304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118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I84" s="45"/>
      <c r="K84" s="155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M187"/>
  <sheetViews>
    <sheetView zoomScale="75" workbookViewId="0">
      <pane xSplit="3" ySplit="9" topLeftCell="F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8760907</v>
      </c>
      <c r="E11" s="38">
        <f t="shared" si="0"/>
        <v>17414482.489999995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9140188</v>
      </c>
      <c r="I11" s="38">
        <f>'SE-EGM-GL'!I11+'SE-LRC-GL'!I11</f>
        <v>18207329.989999998</v>
      </c>
      <c r="J11" s="60">
        <f>'SE-EGM-GL'!J11+'SE-LRC-GL'!J11</f>
        <v>-446300</v>
      </c>
      <c r="K11" s="38">
        <f>'SE-EGM-GL'!K11+'SE-LRC-GL'!K11</f>
        <v>-917209.47000000067</v>
      </c>
      <c r="L11" s="60">
        <f>'SE-EGM-GL'!L11+'SE-LRC-GL'!L11</f>
        <v>67019</v>
      </c>
      <c r="M11" s="38">
        <f>'SE-EGM-GL'!M11+'SE-LRC-GL'!M11</f>
        <v>124361.97</v>
      </c>
      <c r="N11" s="60">
        <f>'SE-EGM-GL'!N11+'SE-LRC-GL'!N11</f>
        <v>0</v>
      </c>
      <c r="O11" s="38">
        <f>'SE-EGM-GL'!O11+'SE-LRC-GL'!O11</f>
        <v>0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'SE-EGM-GL'!AN11+'SE-LRC-GL'!AN11</f>
        <v>0</v>
      </c>
      <c r="AG11" s="38">
        <f>'SE-EGM-GL'!AO11+'SE-LRC-GL'!AO11</f>
        <v>0</v>
      </c>
      <c r="AH11" s="60">
        <f>'SE-EGM-GL'!AP11+'SE-LRC-GL'!AP11</f>
        <v>0</v>
      </c>
      <c r="AI11" s="38">
        <f>'SE-EGM-GL'!AQ11+'SE-LRC-GL'!AQ11</f>
        <v>0</v>
      </c>
      <c r="AJ11" s="60">
        <f>'SE-EGM-GL'!AR11+'SE-LRC-GL'!AR11</f>
        <v>0</v>
      </c>
      <c r="AK11" s="38">
        <f>'SE-EGM-GL'!AS11+'SE-LRC-GL'!AS11</f>
        <v>0</v>
      </c>
      <c r="AL11" s="60">
        <f>'SE-EGM-GL'!AT11+'SE-LRC-GL'!AT11</f>
        <v>0</v>
      </c>
      <c r="AM11" s="38">
        <f>'SE-EGM-GL'!AU11+'SE-LRC-GL'!AU11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'SE-EGM-GL'!AR12+'SE-LRC-GL'!AR12</f>
        <v>0</v>
      </c>
      <c r="AK12" s="38">
        <f>'SE-EGM-GL'!AS12+'SE-LRC-GL'!AS12</f>
        <v>0</v>
      </c>
      <c r="AL12" s="60">
        <f>'SE-EGM-GL'!AT12+'SE-LRC-GL'!AT12</f>
        <v>0</v>
      </c>
      <c r="AM12" s="38">
        <f>'SE-EGM-GL'!AU12+'SE-LRC-GL'!AU12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'SE-EGM-GL'!AR13+'SE-LRC-GL'!AR13</f>
        <v>0</v>
      </c>
      <c r="AK13" s="38">
        <f>'SE-EGM-GL'!AS13+'SE-LRC-GL'!AS13</f>
        <v>0</v>
      </c>
      <c r="AL13" s="60">
        <f>'SE-EGM-GL'!AT13+'SE-LRC-GL'!AT13</f>
        <v>0</v>
      </c>
      <c r="AM13" s="38">
        <f>'SE-EGM-GL'!AU13+'SE-LRC-GL'!AU13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'SE-EGM-GL'!AR14+'SE-LRC-GL'!AR14</f>
        <v>0</v>
      </c>
      <c r="AK14" s="38">
        <f>'SE-EGM-GL'!AS14+'SE-LRC-GL'!AS14</f>
        <v>0</v>
      </c>
      <c r="AL14" s="60">
        <f>'SE-EGM-GL'!AT14+'SE-LRC-GL'!AT14</f>
        <v>0</v>
      </c>
      <c r="AM14" s="38">
        <f>'SE-EGM-GL'!AU14+'SE-LRC-GL'!AU14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'SE-EGM-GL'!AR15+'SE-LRC-GL'!AR15</f>
        <v>0</v>
      </c>
      <c r="AK15" s="38">
        <f>'SE-EGM-GL'!AS15+'SE-LRC-GL'!AS15</f>
        <v>0</v>
      </c>
      <c r="AL15" s="60">
        <f>'SE-EGM-GL'!AT15+'SE-LRC-GL'!AT15</f>
        <v>0</v>
      </c>
      <c r="AM15" s="38">
        <f>'SE-EGM-GL'!AU15+'SE-LRC-GL'!AU15</f>
        <v>0</v>
      </c>
    </row>
    <row r="16" spans="1:3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39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2">SUM(AE11:AE15)</f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-2123880</v>
      </c>
      <c r="E19" s="38">
        <f t="shared" si="3"/>
        <v>-3797697.04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-2488315</v>
      </c>
      <c r="I19" s="38">
        <f>'SE-EGM-GL'!I19+'SE-LRC-GL'!I19</f>
        <v>-4458771</v>
      </c>
      <c r="J19" s="60">
        <f>'SE-EGM-GL'!J19+'SE-LRC-GL'!J19</f>
        <v>452693</v>
      </c>
      <c r="K19" s="38">
        <f>'SE-EGM-GL'!K19+'SE-LRC-GL'!K19</f>
        <v>826952.86</v>
      </c>
      <c r="L19" s="60">
        <f>'SE-EGM-GL'!L19+'SE-LRC-GL'!L19</f>
        <v>-62394</v>
      </c>
      <c r="M19" s="38">
        <f>'SE-EGM-GL'!M19+'SE-LRC-GL'!M19</f>
        <v>-109098.54</v>
      </c>
      <c r="N19" s="60">
        <f>'SE-EGM-GL'!N19+'SE-LRC-GL'!N19</f>
        <v>8978</v>
      </c>
      <c r="O19" s="38">
        <f>'SE-EGM-GL'!O19+'SE-LRC-GL'!O19</f>
        <v>16444.93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'SE-EGM-GL'!AR19+'SE-LRC-GL'!AR19</f>
        <v>0</v>
      </c>
      <c r="AK19" s="38">
        <f>'SE-EGM-GL'!AS19+'SE-LRC-GL'!AS19</f>
        <v>0</v>
      </c>
      <c r="AL19" s="60">
        <f>'SE-EGM-GL'!AT19+'SE-LRC-GL'!AT19</f>
        <v>0</v>
      </c>
      <c r="AM19" s="38">
        <f>'SE-EGM-GL'!AU19+'SE-LRC-GL'!AU19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-1394542.32</v>
      </c>
      <c r="F20" s="60">
        <f>('TIE-OUT'!J20+'TIE-OUT'!L20)+(RECLASS!J20+RECLASS!L20)</f>
        <v>0</v>
      </c>
      <c r="G20" s="38">
        <f>('TIE-OUT'!K20+'TIE-OUT'!M20)+(RECLASS!K20+RECLASS!M20)</f>
        <v>-1394542.32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'SE-EGM-GL'!AR20+'SE-LRC-GL'!AR20</f>
        <v>0</v>
      </c>
      <c r="AK20" s="38">
        <f>'SE-EGM-GL'!AS20+'SE-LRC-GL'!AS20</f>
        <v>0</v>
      </c>
      <c r="AL20" s="60">
        <f>'SE-EGM-GL'!AT20+'SE-LRC-GL'!AT20</f>
        <v>0</v>
      </c>
      <c r="AM20" s="38">
        <f>'SE-EGM-GL'!AU20+'SE-LRC-GL'!AU20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'SE-EGM-GL'!AR21+'SE-LRC-GL'!AR21</f>
        <v>0</v>
      </c>
      <c r="AK21" s="38">
        <f>'SE-EGM-GL'!AS21+'SE-LRC-GL'!AS21</f>
        <v>0</v>
      </c>
      <c r="AL21" s="60">
        <f>'SE-EGM-GL'!AT21+'SE-LRC-GL'!AT21</f>
        <v>0</v>
      </c>
      <c r="AM21" s="38">
        <f>'SE-EGM-GL'!AU21+'SE-LRC-GL'!AU21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'SE-EGM-GL'!AR22+'SE-LRC-GL'!AR22</f>
        <v>0</v>
      </c>
      <c r="AK22" s="38">
        <f>'SE-EGM-GL'!AS22+'SE-LRC-GL'!AS22</f>
        <v>0</v>
      </c>
      <c r="AL22" s="60">
        <f>'SE-EGM-GL'!AT22+'SE-LRC-GL'!AT22</f>
        <v>0</v>
      </c>
      <c r="AM22" s="38">
        <f>'SE-EGM-GL'!AU22+'SE-LRC-GL'!AU22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41815</v>
      </c>
      <c r="E23" s="38">
        <f t="shared" si="3"/>
        <v>76475.87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60000</v>
      </c>
      <c r="I23" s="38">
        <f>'SE-EGM-GL'!I23+'SE-LRC-GL'!I23</f>
        <v>108826.47</v>
      </c>
      <c r="J23" s="60">
        <f>'SE-EGM-GL'!J23+'SE-LRC-GL'!J23</f>
        <v>-18185</v>
      </c>
      <c r="K23" s="38">
        <f>'SE-EGM-GL'!K23+'SE-LRC-GL'!K23</f>
        <v>-32350.6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'SE-EGM-GL'!AN23+'SE-LRC-GL'!AN23</f>
        <v>0</v>
      </c>
      <c r="AG23" s="38">
        <f>'SE-EGM-GL'!AO23+'SE-LRC-GL'!AO23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'SE-EGM-GL'!AR23+'SE-LRC-GL'!AR23</f>
        <v>0</v>
      </c>
      <c r="AK23" s="38">
        <f>'SE-EGM-GL'!AS23+'SE-LRC-GL'!AS23</f>
        <v>0</v>
      </c>
      <c r="AL23" s="60">
        <f>'SE-EGM-GL'!AT23+'SE-LRC-GL'!AT23</f>
        <v>0</v>
      </c>
      <c r="AM23" s="38">
        <f>'SE-EGM-GL'!AU23+'SE-LRC-GL'!AU23</f>
        <v>0</v>
      </c>
    </row>
    <row r="24" spans="1:3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61">
        <f t="shared" ref="F24:AD24" si="4">SUM(F19:F23)</f>
        <v>0</v>
      </c>
      <c r="G24" s="39">
        <f t="shared" si="4"/>
        <v>-1394542.32</v>
      </c>
      <c r="H24" s="61">
        <f t="shared" si="4"/>
        <v>-2428315</v>
      </c>
      <c r="I24" s="39">
        <f t="shared" si="4"/>
        <v>-4349944.53</v>
      </c>
      <c r="J24" s="61">
        <f t="shared" si="4"/>
        <v>434508</v>
      </c>
      <c r="K24" s="39">
        <f t="shared" si="4"/>
        <v>794602.26</v>
      </c>
      <c r="L24" s="61">
        <f t="shared" si="4"/>
        <v>-62394</v>
      </c>
      <c r="M24" s="39">
        <f t="shared" si="4"/>
        <v>-109098.54</v>
      </c>
      <c r="N24" s="61">
        <f t="shared" si="4"/>
        <v>8978</v>
      </c>
      <c r="O24" s="39">
        <f t="shared" si="4"/>
        <v>16444.93</v>
      </c>
      <c r="P24" s="61">
        <f t="shared" si="4"/>
        <v>0</v>
      </c>
      <c r="Q24" s="39">
        <f t="shared" si="4"/>
        <v>-12676.2</v>
      </c>
      <c r="R24" s="61">
        <f t="shared" si="4"/>
        <v>-37236</v>
      </c>
      <c r="S24" s="39">
        <f t="shared" si="4"/>
        <v>-64673.94</v>
      </c>
      <c r="T24" s="61">
        <f t="shared" si="4"/>
        <v>2394</v>
      </c>
      <c r="U24" s="39">
        <f t="shared" si="4"/>
        <v>4124.8500000000004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ref="AE24:AK24" si="5">SUM(AE19:AE23)</f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4176979</v>
      </c>
      <c r="E27" s="38">
        <f>SUM(G27,I27,K27,M27,O27,Q27,S27,U27,W27,Y27,AA27,AC27,AE27,AG27,AI27,AK27,AM27)</f>
        <v>7789923.3300000001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4126748</v>
      </c>
      <c r="I27" s="38">
        <f>'SE-EGM-GL'!I27+'SE-LRC-GL'!I27</f>
        <v>7697205</v>
      </c>
      <c r="J27" s="60">
        <f>'SE-EGM-GL'!J27+'SE-LRC-GL'!J27</f>
        <v>50231</v>
      </c>
      <c r="K27" s="38">
        <f>'SE-EGM-GL'!K27+'SE-LRC-GL'!K27</f>
        <v>92718.33</v>
      </c>
      <c r="L27" s="60">
        <f>'SE-EGM-GL'!L27+'SE-LRC-GL'!L27</f>
        <v>0</v>
      </c>
      <c r="M27" s="38">
        <f>'SE-EGM-GL'!M27+'SE-LRC-GL'!M27</f>
        <v>0</v>
      </c>
      <c r="N27" s="60">
        <f>'SE-EGM-GL'!N27+'SE-LRC-GL'!N27</f>
        <v>0</v>
      </c>
      <c r="O27" s="38">
        <f>'SE-EGM-GL'!O27+'SE-LRC-GL'!O27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'SE-EGM-GL'!AN27+'SE-LRC-GL'!AN27</f>
        <v>0</v>
      </c>
      <c r="AG27" s="38">
        <f>'SE-EGM-GL'!AO27+'SE-LRC-GL'!AO27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'SE-EGM-GL'!AR27+'SE-LRC-GL'!AR27</f>
        <v>0</v>
      </c>
      <c r="AK27" s="38">
        <f>'SE-EGM-GL'!AS27+'SE-LRC-GL'!AS27</f>
        <v>0</v>
      </c>
      <c r="AL27" s="60">
        <f>'SE-EGM-GL'!AT27+'SE-LRC-GL'!AT27</f>
        <v>0</v>
      </c>
      <c r="AM27" s="38">
        <f>'SE-EGM-GL'!AU27+'SE-LRC-GL'!AU27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-9713655</v>
      </c>
      <c r="E28" s="38">
        <f>SUM(G28,I28,K28,M28,O28,Q28,S28,U28,W28,Y28,AA28,AC28,AE28,AG28,AI28,AK28,AM28)</f>
        <v>-17661497.370000001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-9663424</v>
      </c>
      <c r="I28" s="38">
        <f>'SE-EGM-GL'!I28+'SE-LRC-GL'!I28</f>
        <v>-17568778.710000001</v>
      </c>
      <c r="J28" s="60">
        <f>'SE-EGM-GL'!J28+'SE-LRC-GL'!J28</f>
        <v>-50231</v>
      </c>
      <c r="K28" s="38">
        <f>'SE-EGM-GL'!K28+'SE-LRC-GL'!K28</f>
        <v>-92718.66</v>
      </c>
      <c r="L28" s="60">
        <f>'SE-EGM-GL'!L28+'SE-LRC-GL'!L28</f>
        <v>0</v>
      </c>
      <c r="M28" s="38">
        <f>'SE-EGM-GL'!M28+'SE-LRC-GL'!M28</f>
        <v>0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0</v>
      </c>
      <c r="AG28" s="38">
        <f>'SE-EGM-GL'!AO28+'SE-LRC-GL'!AO28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'SE-EGM-GL'!AR28+'SE-LRC-GL'!AR28</f>
        <v>0</v>
      </c>
      <c r="AK28" s="38">
        <f>'SE-EGM-GL'!AS28+'SE-LRC-GL'!AS28</f>
        <v>0</v>
      </c>
      <c r="AL28" s="60">
        <f>'SE-EGM-GL'!AT28+'SE-LRC-GL'!AT28</f>
        <v>0</v>
      </c>
      <c r="AM28" s="38">
        <f>'SE-EGM-GL'!AU28+'SE-LRC-GL'!AU28</f>
        <v>0</v>
      </c>
    </row>
    <row r="29" spans="1:3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-5536676</v>
      </c>
      <c r="I29" s="39">
        <f t="shared" si="6"/>
        <v>-9871573.7100000009</v>
      </c>
      <c r="J29" s="61">
        <f t="shared" si="6"/>
        <v>0</v>
      </c>
      <c r="K29" s="39">
        <f t="shared" si="6"/>
        <v>-0.33000000000174623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ref="AE29:AK29" si="7">SUM(AE27:AE28)</f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-39120</v>
      </c>
      <c r="E32" s="38">
        <f t="shared" si="8"/>
        <v>-69125.040000000023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-68513</v>
      </c>
      <c r="I32" s="38">
        <f>'SE-EGM-GL'!I32+'SE-LRC-GL'!I32</f>
        <v>-123542</v>
      </c>
      <c r="J32" s="60">
        <f>'SE-EGM-GL'!J32+'SE-LRC-GL'!J32</f>
        <v>29393</v>
      </c>
      <c r="K32" s="38">
        <f>'SE-EGM-GL'!K32+'SE-LRC-GL'!K32</f>
        <v>54416.959999999999</v>
      </c>
      <c r="L32" s="60">
        <f>'SE-EGM-GL'!L32+'SE-LRC-GL'!L32</f>
        <v>0</v>
      </c>
      <c r="M32" s="38">
        <f>'SE-EGM-GL'!M32+'SE-LRC-GL'!M32</f>
        <v>-821.52</v>
      </c>
      <c r="N32" s="60">
        <f>'SE-EGM-GL'!N32+'SE-LRC-GL'!N32</f>
        <v>0</v>
      </c>
      <c r="O32" s="38">
        <f>'SE-EGM-GL'!O32+'SE-LRC-GL'!O32</f>
        <v>6728.64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'SE-EGM-GL'!AN32+'SE-LRC-GL'!AN32</f>
        <v>0</v>
      </c>
      <c r="AG32" s="38">
        <f>'SE-EGM-GL'!AO32+'SE-LRC-GL'!AO32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'SE-EGM-GL'!AR32+'SE-LRC-GL'!AR32</f>
        <v>0</v>
      </c>
      <c r="AK32" s="38">
        <f>'SE-EGM-GL'!AS32+'SE-LRC-GL'!AS32</f>
        <v>0</v>
      </c>
      <c r="AL32" s="60">
        <f>'SE-EGM-GL'!AT32+'SE-LRC-GL'!AT32</f>
        <v>0</v>
      </c>
      <c r="AM32" s="38">
        <f>'SE-EGM-GL'!AU32+'SE-LRC-GL'!AU32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'SE-EGM-GL'!AR33+'SE-LRC-GL'!AR33</f>
        <v>0</v>
      </c>
      <c r="AK33" s="38">
        <f>'SE-EGM-GL'!AS33+'SE-LRC-GL'!AS33</f>
        <v>0</v>
      </c>
      <c r="AL33" s="60">
        <f>'SE-EGM-GL'!AT33+'SE-LRC-GL'!AT33</f>
        <v>0</v>
      </c>
      <c r="AM33" s="38">
        <f>'SE-EGM-GL'!AU33+'SE-LRC-GL'!AU33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'SE-EGM-GL'!AR34+'SE-LRC-GL'!AR34</f>
        <v>0</v>
      </c>
      <c r="AK34" s="38">
        <f>'SE-EGM-GL'!AS34+'SE-LRC-GL'!AS34</f>
        <v>0</v>
      </c>
      <c r="AL34" s="60">
        <f>'SE-EGM-GL'!AT34+'SE-LRC-GL'!AT34</f>
        <v>0</v>
      </c>
      <c r="AM34" s="38">
        <f>'SE-EGM-GL'!AU34+'SE-LRC-GL'!AU34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'SE-EGM-GL'!AR35+'SE-LRC-GL'!AR35</f>
        <v>0</v>
      </c>
      <c r="AK35" s="38">
        <f>'SE-EGM-GL'!AS35+'SE-LRC-GL'!AS35</f>
        <v>0</v>
      </c>
      <c r="AL35" s="60">
        <f>'SE-EGM-GL'!AT35+'SE-LRC-GL'!AT35</f>
        <v>0</v>
      </c>
      <c r="AM35" s="38">
        <f>'SE-EGM-GL'!AU35+'SE-LRC-GL'!AU35</f>
        <v>0</v>
      </c>
    </row>
    <row r="36" spans="1:3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 t="shared" si="9"/>
        <v>29393</v>
      </c>
      <c r="K36" s="39">
        <f t="shared" si="9"/>
        <v>54416.959999999999</v>
      </c>
      <c r="L36" s="61">
        <f t="shared" si="9"/>
        <v>0</v>
      </c>
      <c r="M36" s="39">
        <f t="shared" si="9"/>
        <v>-821.52</v>
      </c>
      <c r="N36" s="61">
        <f t="shared" si="9"/>
        <v>0</v>
      </c>
      <c r="O36" s="39">
        <f t="shared" si="9"/>
        <v>6728.64</v>
      </c>
      <c r="P36" s="61">
        <f t="shared" si="9"/>
        <v>0</v>
      </c>
      <c r="Q36" s="39">
        <f t="shared" si="9"/>
        <v>-11031.84</v>
      </c>
      <c r="R36" s="61">
        <f t="shared" si="9"/>
        <v>0</v>
      </c>
      <c r="S36" s="39">
        <f t="shared" si="9"/>
        <v>-17877.84</v>
      </c>
      <c r="T36" s="61">
        <f t="shared" si="9"/>
        <v>0</v>
      </c>
      <c r="U36" s="39">
        <f t="shared" si="9"/>
        <v>4929.12</v>
      </c>
      <c r="V36" s="61">
        <f t="shared" si="9"/>
        <v>0</v>
      </c>
      <c r="W36" s="39">
        <f t="shared" si="9"/>
        <v>-1408.32</v>
      </c>
      <c r="X36" s="61">
        <f t="shared" si="9"/>
        <v>0</v>
      </c>
      <c r="Y36" s="39">
        <f t="shared" si="9"/>
        <v>-13652.88</v>
      </c>
      <c r="Z36" s="61">
        <f t="shared" si="9"/>
        <v>0</v>
      </c>
      <c r="AA36" s="39">
        <f t="shared" si="9"/>
        <v>-11110.08</v>
      </c>
      <c r="AB36" s="61">
        <f t="shared" si="9"/>
        <v>0</v>
      </c>
      <c r="AC36" s="39">
        <f t="shared" si="9"/>
        <v>44244.72</v>
      </c>
      <c r="AD36" s="61">
        <f t="shared" si="9"/>
        <v>0</v>
      </c>
      <c r="AE36" s="39">
        <f t="shared" ref="AE36:AK36" si="10">SUM(AE32:AE35)</f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784843</v>
      </c>
      <c r="E39" s="38">
        <f t="shared" si="11"/>
        <v>1557128.51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978794</v>
      </c>
      <c r="I39" s="38">
        <f>'SE-EGM-GL'!I39+'SE-LRC-GL'!I39</f>
        <v>1772939</v>
      </c>
      <c r="J39" s="60">
        <f>'SE-EGM-GL'!J39+'SE-LRC-GL'!J39</f>
        <v>-193951</v>
      </c>
      <c r="K39" s="38">
        <f>'SE-EGM-GL'!K39+'SE-LRC-GL'!K39</f>
        <v>-215810.49</v>
      </c>
      <c r="L39" s="60">
        <f>'SE-EGM-GL'!L39+'SE-LRC-GL'!L39</f>
        <v>0</v>
      </c>
      <c r="M39" s="38">
        <f>'SE-EGM-GL'!M39+'SE-LRC-GL'!M39</f>
        <v>0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'SE-EGM-GL'!AR39+'SE-LRC-GL'!AR39</f>
        <v>0</v>
      </c>
      <c r="AK39" s="38">
        <f>'SE-EGM-GL'!AS39+'SE-LRC-GL'!AS39</f>
        <v>0</v>
      </c>
      <c r="AL39" s="60">
        <f>'SE-EGM-GL'!AT39+'SE-LRC-GL'!AT39</f>
        <v>0</v>
      </c>
      <c r="AM39" s="38">
        <f>'SE-EGM-GL'!AU39+'SE-LRC-GL'!AU39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-2004147</v>
      </c>
      <c r="E40" s="38">
        <f t="shared" si="11"/>
        <v>-3976227.65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-2176461</v>
      </c>
      <c r="I40" s="38">
        <f>'SE-EGM-GL'!I40+'SE-LRC-GL'!I40</f>
        <v>-4133745</v>
      </c>
      <c r="J40" s="60">
        <f>'SE-EGM-GL'!J40+'SE-LRC-GL'!J40</f>
        <v>172314</v>
      </c>
      <c r="K40" s="38">
        <f>'SE-EGM-GL'!K40+'SE-LRC-GL'!K40</f>
        <v>157517.35</v>
      </c>
      <c r="L40" s="60">
        <f>'SE-EGM-GL'!L40+'SE-LRC-GL'!L40</f>
        <v>0</v>
      </c>
      <c r="M40" s="38">
        <f>'SE-EGM-GL'!M40+'SE-LRC-GL'!M40</f>
        <v>0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'SE-EGM-GL'!AR40+'SE-LRC-GL'!AR40</f>
        <v>0</v>
      </c>
      <c r="AK40" s="38">
        <f>'SE-EGM-GL'!AS40+'SE-LRC-GL'!AS40</f>
        <v>0</v>
      </c>
      <c r="AL40" s="60">
        <f>'SE-EGM-GL'!AT40+'SE-LRC-GL'!AT40</f>
        <v>0</v>
      </c>
      <c r="AM40" s="38">
        <f>'SE-EGM-GL'!AU40+'SE-LRC-GL'!AU40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'SE-EGM-GL'!AR41+'SE-LRC-GL'!AR41</f>
        <v>0</v>
      </c>
      <c r="AK41" s="38">
        <f>'SE-EGM-GL'!AS41+'SE-LRC-GL'!AS41</f>
        <v>0</v>
      </c>
      <c r="AL41" s="60">
        <f>'SE-EGM-GL'!AT41+'SE-LRC-GL'!AT41</f>
        <v>0</v>
      </c>
      <c r="AM41" s="38">
        <f>'SE-EGM-GL'!AU41+'SE-LRC-GL'!AU41</f>
        <v>0</v>
      </c>
    </row>
    <row r="42" spans="1:3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-2176461</v>
      </c>
      <c r="I42" s="39">
        <f t="shared" si="12"/>
        <v>-4133745</v>
      </c>
      <c r="J42" s="61">
        <f t="shared" si="12"/>
        <v>172314</v>
      </c>
      <c r="K42" s="39">
        <f t="shared" si="12"/>
        <v>157517.35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ref="AE42:AK42" si="13">SUM(AE40:AE41)</f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-1197667</v>
      </c>
      <c r="I43" s="39">
        <f t="shared" si="14"/>
        <v>-2360806</v>
      </c>
      <c r="J43" s="61">
        <f t="shared" si="14"/>
        <v>-21637</v>
      </c>
      <c r="K43" s="39">
        <f t="shared" si="14"/>
        <v>-58293.139999999985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ref="AE43:AK43" si="15">AE42+AE39</f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8416</v>
      </c>
      <c r="K45" s="38">
        <f>'SE-EGM-GL'!K45+'SE-LRC-GL'!K45</f>
        <v>16242.88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'SE-EGM-GL'!AR45+'SE-LRC-GL'!AR45</f>
        <v>0</v>
      </c>
      <c r="AK45" s="38">
        <f>'SE-EGM-GL'!AS45+'SE-LRC-GL'!AS45</f>
        <v>0</v>
      </c>
      <c r="AL45" s="60">
        <f>'SE-EGM-GL'!AT45+'SE-LRC-GL'!AT45</f>
        <v>0</v>
      </c>
      <c r="AM45" s="38">
        <f>'SE-EGM-GL'!AU45+'SE-LRC-GL'!AU45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90983</v>
      </c>
      <c r="I47" s="38">
        <f>'SE-EGM-GL'!I47+'SE-LRC-GL'!I47</f>
        <v>163769.73000000001</v>
      </c>
      <c r="J47" s="60">
        <f>'SE-EGM-GL'!J47+'SE-LRC-GL'!J47</f>
        <v>-8567</v>
      </c>
      <c r="K47" s="38">
        <f>'SE-EGM-GL'!K47+'SE-LRC-GL'!K47</f>
        <v>-15420.6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'SE-EGM-GL'!AR47+'SE-LRC-GL'!AR47</f>
        <v>0</v>
      </c>
      <c r="AK47" s="38">
        <f>'SE-EGM-GL'!AS47+'SE-LRC-GL'!AS47</f>
        <v>0</v>
      </c>
      <c r="AL47" s="60">
        <f>'SE-EGM-GL'!AT47+'SE-LRC-GL'!AT47</f>
        <v>0</v>
      </c>
      <c r="AM47" s="38">
        <f>'SE-EGM-GL'!AU47+'SE-LRC-GL'!AU47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25426</v>
      </c>
      <c r="E49" s="38">
        <f>SUM(G49,I49,K49,M49,O49,Q49,S49,U49,W49,Y49,AA49,AC49,AE49,AG49,AI49,AK49,AM49)</f>
        <v>44927.741999999998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4187</v>
      </c>
      <c r="K49" s="38">
        <f>'SE-EGM-GL'!K49+'SE-LRC-GL'!K49</f>
        <v>7398.4290000000001</v>
      </c>
      <c r="L49" s="60">
        <f>'SE-EGM-GL'!L49+'SE-LRC-GL'!L49</f>
        <v>-4625</v>
      </c>
      <c r="M49" s="38">
        <f>'SE-EGM-GL'!M49+'SE-LRC-GL'!M49</f>
        <v>-8172.375</v>
      </c>
      <c r="N49" s="60">
        <f>'SE-EGM-GL'!N49+'SE-LRC-GL'!N49</f>
        <v>-8978</v>
      </c>
      <c r="O49" s="38">
        <f>'SE-EGM-GL'!O49+'SE-LRC-GL'!O49</f>
        <v>-15864.126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'SE-EGM-GL'!AN49+'SE-LRC-GL'!AN49</f>
        <v>0</v>
      </c>
      <c r="AG49" s="38">
        <f>'SE-EGM-GL'!AO49+'SE-LRC-GL'!AO49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'SE-EGM-GL'!AR49+'SE-LRC-GL'!AR49</f>
        <v>0</v>
      </c>
      <c r="AK49" s="38">
        <f>'SE-EGM-GL'!AS49+'SE-LRC-GL'!AS49</f>
        <v>0</v>
      </c>
      <c r="AL49" s="60">
        <f>'SE-EGM-GL'!AT49+'SE-LRC-GL'!AT49</f>
        <v>0</v>
      </c>
      <c r="AM49" s="38">
        <f>'SE-EGM-GL'!AU49+'SE-LRC-GL'!AU49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-41815</v>
      </c>
      <c r="E51" s="38">
        <f>SUM(G51,I51,K51,M51,O51,Q51,S51,U51,W51,Y51,AA51,AC51,AE51,AG51,AI51,AK51,AM51)</f>
        <v>-76475.87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-60000</v>
      </c>
      <c r="I51" s="38">
        <f>'SE-EGM-GL'!I51+'SE-LRC-GL'!I51</f>
        <v>-108826.47</v>
      </c>
      <c r="J51" s="60">
        <f>'SE-EGM-GL'!J51+'SE-LRC-GL'!J51</f>
        <v>18185</v>
      </c>
      <c r="K51" s="38">
        <f>'SE-EGM-GL'!K51+'SE-LRC-GL'!K51</f>
        <v>32350.6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'SE-EGM-GL'!AR51+'SE-LRC-GL'!AR51</f>
        <v>0</v>
      </c>
      <c r="AK51" s="38">
        <f>'SE-EGM-GL'!AS51+'SE-LRC-GL'!AS51</f>
        <v>0</v>
      </c>
      <c r="AL51" s="60">
        <f>'SE-EGM-GL'!AT51+'SE-LRC-GL'!AT51</f>
        <v>0</v>
      </c>
      <c r="AM51" s="38">
        <f>'SE-EGM-GL'!AU51+'SE-LRC-GL'!AU51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-43765</v>
      </c>
      <c r="E54" s="38">
        <f>SUM(G54,I54,K54,M54,O54,Q54,S54,U54,W54,Y54,AA54,AC54,AE54,AG54,AI54,AK54,AM54)</f>
        <v>-1312.95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0</v>
      </c>
      <c r="J54" s="60">
        <f>'SE-EGM-GL'!J54+'SE-LRC-GL'!J54</f>
        <v>-7406</v>
      </c>
      <c r="K54" s="38">
        <f>'SE-EGM-GL'!K54+'SE-LRC-GL'!K54</f>
        <v>-222.18</v>
      </c>
      <c r="L54" s="60">
        <f>'SE-EGM-GL'!L54+'SE-LRC-GL'!L54</f>
        <v>-36359</v>
      </c>
      <c r="M54" s="38">
        <f>'SE-EGM-GL'!M54+'SE-LRC-GL'!M54</f>
        <v>-1090.77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'SE-EGM-GL'!AR54+'SE-LRC-GL'!AR54</f>
        <v>0</v>
      </c>
      <c r="AK54" s="38">
        <f>'SE-EGM-GL'!AS54+'SE-LRC-GL'!AS54</f>
        <v>0</v>
      </c>
      <c r="AL54" s="60">
        <f>'SE-EGM-GL'!AT54+'SE-LRC-GL'!AT54</f>
        <v>0</v>
      </c>
      <c r="AM54" s="38">
        <f>'SE-EGM-GL'!AU54+'SE-LRC-GL'!AU54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'SE-EGM-GL'!AR55+'SE-LRC-GL'!AR55</f>
        <v>0</v>
      </c>
      <c r="AK55" s="38">
        <f>'SE-EGM-GL'!AS55+'SE-LRC-GL'!AS55</f>
        <v>0</v>
      </c>
      <c r="AL55" s="60">
        <f>'SE-EGM-GL'!AT55+'SE-LRC-GL'!AT55</f>
        <v>0</v>
      </c>
      <c r="AM55" s="38">
        <f>'SE-EGM-GL'!AU55+'SE-LRC-GL'!AU55</f>
        <v>0</v>
      </c>
    </row>
    <row r="56" spans="1:3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-7406</v>
      </c>
      <c r="K56" s="39">
        <f t="shared" si="16"/>
        <v>-222.18</v>
      </c>
      <c r="L56" s="61">
        <f t="shared" si="16"/>
        <v>-36359</v>
      </c>
      <c r="M56" s="39">
        <f t="shared" si="16"/>
        <v>-1090.77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ref="AE56:AK56" si="17">SUM(AE54:AE55)</f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3059641</v>
      </c>
      <c r="I59" s="38">
        <f>'SE-EGM-GL'!I59+'SE-LRC-GL'!I59</f>
        <v>140794.28</v>
      </c>
      <c r="J59" s="60">
        <f>'SE-EGM-GL'!J59+'SE-LRC-GL'!J59</f>
        <v>-330860</v>
      </c>
      <c r="K59" s="38">
        <f>'SE-EGM-GL'!K59+'SE-LRC-GL'!K59</f>
        <v>-1737.81</v>
      </c>
      <c r="L59" s="60">
        <f>'SE-EGM-GL'!L59+'SE-LRC-GL'!L59</f>
        <v>0</v>
      </c>
      <c r="M59" s="38">
        <f>'SE-EGM-GL'!M59+'SE-LRC-GL'!M59</f>
        <v>0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'SE-EGM-GL'!AR59+'SE-LRC-GL'!AR59</f>
        <v>0</v>
      </c>
      <c r="AK59" s="38">
        <f>'SE-EGM-GL'!AS59+'SE-LRC-GL'!AS59</f>
        <v>0</v>
      </c>
      <c r="AL59" s="60">
        <f>'SE-EGM-GL'!AT59+'SE-LRC-GL'!AT59</f>
        <v>0</v>
      </c>
      <c r="AM59" s="38">
        <f>'SE-EGM-GL'!AU59+'SE-LRC-GL'!AU59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'SE-EGM-GL'!AR60+'SE-LRC-GL'!AR60</f>
        <v>0</v>
      </c>
      <c r="AK60" s="38">
        <f>'SE-EGM-GL'!AS60+'SE-LRC-GL'!AS60</f>
        <v>0</v>
      </c>
      <c r="AL60" s="60">
        <f>'SE-EGM-GL'!AT60+'SE-LRC-GL'!AT60</f>
        <v>0</v>
      </c>
      <c r="AM60" s="38">
        <f>'SE-EGM-GL'!AU60+'SE-LRC-GL'!AU60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3059641</v>
      </c>
      <c r="I61" s="39">
        <f t="shared" si="18"/>
        <v>140794.28</v>
      </c>
      <c r="J61" s="61">
        <f t="shared" si="18"/>
        <v>-330860</v>
      </c>
      <c r="K61" s="39">
        <f t="shared" si="18"/>
        <v>-1737.81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ref="AE61:AK61" si="19">SUM(AE59:AE60)</f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0</v>
      </c>
      <c r="I64" s="38">
        <f>'SE-EGM-GL'!I64+'SE-LRC-GL'!I64</f>
        <v>0</v>
      </c>
      <c r="J64" s="60">
        <f>'SE-EGM-GL'!J64+'SE-LRC-GL'!J64</f>
        <v>-24844693</v>
      </c>
      <c r="K64" s="38">
        <f>'SE-EGM-GL'!K64+'SE-LRC-GL'!K64</f>
        <v>-2382164.67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81">
        <f>('TIE-OUT'!J65+'TIE-OUT'!L65)+(RECLASS!J65+RECLASS!L65)</f>
        <v>0</v>
      </c>
      <c r="G65" s="82">
        <f>('TIE-OUT'!K65+'TIE-OUT'!M65)+(RECLASS!K65+RECLASS!M65)</f>
        <v>-170000</v>
      </c>
      <c r="H65" s="60">
        <f>'SE-EGM-GL'!H65+'SE-LRC-GL'!H65</f>
        <v>0</v>
      </c>
      <c r="I65" s="38">
        <f>'SE-EGM-GL'!I65+'SE-LRC-GL'!I65</f>
        <v>170000</v>
      </c>
      <c r="J65" s="60">
        <f>'SE-EGM-GL'!J65+'SE-LRC-GL'!J65</f>
        <v>23625389</v>
      </c>
      <c r="K65" s="38">
        <f>'SE-EGM-GL'!K65+'SE-LRC-GL'!K65</f>
        <v>2382164.67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-170000</v>
      </c>
      <c r="H66" s="61">
        <f t="shared" si="20"/>
        <v>0</v>
      </c>
      <c r="I66" s="39">
        <f t="shared" si="20"/>
        <v>170000</v>
      </c>
      <c r="J66" s="61">
        <f t="shared" si="20"/>
        <v>-1219304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ref="AE66:AK66" si="21">SUM(AE64:AE65)</f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'SE-EGM-GL'!AR70+'SE-LRC-GL'!AR70</f>
        <v>0</v>
      </c>
      <c r="AK70" s="38">
        <f>'SE-EGM-GL'!AS70+'SE-LRC-GL'!AS70</f>
        <v>0</v>
      </c>
      <c r="AL70" s="60">
        <f>'SE-EGM-GL'!AT70+'SE-LRC-GL'!AT70</f>
        <v>0</v>
      </c>
      <c r="AM70" s="38">
        <f>'SE-EGM-GL'!AU70+'SE-LRC-GL'!AU70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'SE-EGM-GL'!AR71+'SE-LRC-GL'!AR71</f>
        <v>0</v>
      </c>
      <c r="AK71" s="38">
        <f>'SE-EGM-GL'!AS71+'SE-LRC-GL'!AS71</f>
        <v>0</v>
      </c>
      <c r="AL71" s="60">
        <f>'SE-EGM-GL'!AT71+'SE-LRC-GL'!AT71</f>
        <v>0</v>
      </c>
      <c r="AM71" s="38">
        <f>'SE-EGM-GL'!AU71+'SE-LRC-GL'!AU71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ref="AE72:AK72" si="23">SUM(AE70:AE71)</f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'SE-EGM-GL'!AR73+'SE-LRC-GL'!AR73</f>
        <v>0</v>
      </c>
      <c r="AK73" s="38">
        <f>'SE-EGM-GL'!AS73+'SE-LRC-GL'!AS73</f>
        <v>0</v>
      </c>
      <c r="AL73" s="60">
        <f>'SE-EGM-GL'!AT73+'SE-LRC-GL'!AT73</f>
        <v>0</v>
      </c>
      <c r="AM73" s="38">
        <f>'SE-EGM-GL'!AU73+'SE-LRC-GL'!AU73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'SE-EGM-GL'!AR74+'SE-LRC-GL'!AR74</f>
        <v>0</v>
      </c>
      <c r="AK74" s="38">
        <f>'SE-EGM-GL'!AS74+'SE-LRC-GL'!AS74</f>
        <v>0</v>
      </c>
      <c r="AL74" s="60">
        <f>'SE-EGM-GL'!AT74+'SE-LRC-GL'!AT74</f>
        <v>0</v>
      </c>
      <c r="AM74" s="38">
        <f>'SE-EGM-GL'!AU74+'SE-LRC-GL'!AU74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'SE-EGM-GL'!AR75+'SE-LRC-GL'!AR75</f>
        <v>0</v>
      </c>
      <c r="AK75" s="38">
        <f>'SE-EGM-GL'!AS75+'SE-LRC-GL'!AS75</f>
        <v>0</v>
      </c>
      <c r="AL75" s="60">
        <f>'SE-EGM-GL'!AT75+'SE-LRC-GL'!AT75</f>
        <v>0</v>
      </c>
      <c r="AM75" s="38">
        <f>'SE-EGM-GL'!AU75+'SE-LRC-GL'!AU75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'SE-EGM-GL'!AR76+'SE-LRC-GL'!AR76</f>
        <v>0</v>
      </c>
      <c r="AK76" s="38">
        <f>'SE-EGM-GL'!AS76+'SE-LRC-GL'!AS76</f>
        <v>0</v>
      </c>
      <c r="AL76" s="60">
        <f>'SE-EGM-GL'!AT76+'SE-LRC-GL'!AT76</f>
        <v>0</v>
      </c>
      <c r="AM76" s="38">
        <f>'SE-EGM-GL'!AU76+'SE-LRC-GL'!AU76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'SE-EGM-GL'!AR77+'SE-LRC-GL'!AR77</f>
        <v>0</v>
      </c>
      <c r="AK77" s="38">
        <f>'SE-EGM-GL'!AS77+'SE-LRC-GL'!AS77</f>
        <v>0</v>
      </c>
      <c r="AL77" s="60">
        <f>'SE-EGM-GL'!AT77+'SE-LRC-GL'!AT77</f>
        <v>0</v>
      </c>
      <c r="AM77" s="38">
        <f>'SE-EGM-GL'!AU77+'SE-LRC-GL'!AU77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'SE-EGM-GL'!AR78+'SE-LRC-GL'!AR78</f>
        <v>0</v>
      </c>
      <c r="AK78" s="38">
        <f>'SE-EGM-GL'!AS78+'SE-LRC-GL'!AS78</f>
        <v>0</v>
      </c>
      <c r="AL78" s="60">
        <f>'SE-EGM-GL'!AT78+'SE-LRC-GL'!AT78</f>
        <v>0</v>
      </c>
      <c r="AM78" s="38">
        <f>'SE-EGM-GL'!AU78+'SE-LRC-GL'!AU78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'SE-EGM-GL'!AR79+'SE-LRC-GL'!AR79</f>
        <v>0</v>
      </c>
      <c r="AK79" s="38">
        <f>'SE-EGM-GL'!AS79+'SE-LRC-GL'!AS79</f>
        <v>0</v>
      </c>
      <c r="AL79" s="60">
        <f>'SE-EGM-GL'!AT79+'SE-LRC-GL'!AT79</f>
        <v>0</v>
      </c>
      <c r="AM79" s="38">
        <f>'SE-EGM-GL'!AU79+'SE-LRC-GL'!AU79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'SE-EGM-GL'!AR80+'SE-LRC-GL'!AR80</f>
        <v>0</v>
      </c>
      <c r="AK80" s="38">
        <f>'SE-EGM-GL'!AS80+'SE-LRC-GL'!AS80</f>
        <v>0</v>
      </c>
      <c r="AL80" s="60">
        <f>'SE-EGM-GL'!AT80+'SE-LRC-GL'!AT80</f>
        <v>0</v>
      </c>
      <c r="AM80" s="38">
        <f>'SE-EGM-GL'!AU80+'SE-LRC-GL'!AU80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'SE-EGM-GL'!AR81+'SE-LRC-GL'!AR81</f>
        <v>0</v>
      </c>
      <c r="AK81" s="38">
        <f>'SE-EGM-GL'!AS81+'SE-LRC-GL'!AS81</f>
        <v>0</v>
      </c>
      <c r="AL81" s="60">
        <f>'SE-EGM-GL'!AT81+'SE-LRC-GL'!AT81</f>
        <v>0</v>
      </c>
      <c r="AM81" s="38">
        <f>'SE-EGM-GL'!AU81+'SE-LRC-GL'!AU81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93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G84" s="14">
        <f>+'SE-LRC-GL'!G82+'SE-EGM-GL'!G82</f>
        <v>-1564542.32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87"/>
  <sheetViews>
    <sheetView topLeftCell="G66" zoomScale="75" workbookViewId="0">
      <selection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140637945</v>
      </c>
      <c r="E11" s="38">
        <f t="shared" si="0"/>
        <v>296133441.90999997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139528637</v>
      </c>
      <c r="I11" s="38">
        <f>+BGC_GL!I11+'SE-LRC-GL'!I11+NE_GL!I11+'SE-EGM-GL'!I11</f>
        <v>285523104.97999996</v>
      </c>
      <c r="J11" s="60">
        <f>+BGC_GL!J11+'SE-LRC-GL'!J11+NE_GL!J11+'SE-EGM-GL'!J11</f>
        <v>1101021</v>
      </c>
      <c r="K11" s="38">
        <f>+BGC_GL!K11+'SE-LRC-GL'!K11+NE_GL!K11+'SE-EGM-GL'!K11</f>
        <v>16970469.399999999</v>
      </c>
      <c r="L11" s="60">
        <f>+BGC_GL!L11+'SE-LRC-GL'!L11+NE_GL!L11+'SE-EGM-GL'!L11</f>
        <v>68099</v>
      </c>
      <c r="M11" s="38">
        <f>+BGC_GL!M11+'SE-LRC-GL'!M11+NE_GL!M11+'SE-EGM-GL'!M11</f>
        <v>-424050.01</v>
      </c>
      <c r="N11" s="60">
        <f>+BGC_GL!N11+'SE-LRC-GL'!N11+NE_GL!N11+'SE-EGM-GL'!N11</f>
        <v>-59812</v>
      </c>
      <c r="O11" s="38">
        <f>+BGC_GL!O11+'SE-LRC-GL'!O11+NE_GL!O11+'SE-EGM-GL'!O11</f>
        <v>-5936082.46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'SE-EGM-GL'!AN11+'SE-LRC-GL'!AN11</f>
        <v>0</v>
      </c>
      <c r="AG11" s="38">
        <f>'SE-EGM-GL'!AO11+'SE-LRC-GL'!AO11</f>
        <v>0</v>
      </c>
      <c r="AH11" s="60">
        <f>'SE-EGM-GL'!AP11+'SE-LRC-GL'!AP11</f>
        <v>0</v>
      </c>
      <c r="AI11" s="38">
        <f>'SE-EGM-GL'!AQ11+'SE-LRC-GL'!AQ11</f>
        <v>0</v>
      </c>
      <c r="AJ11" s="60">
        <f>'SE-EGM-GL'!AR11+'SE-LRC-GL'!AR11</f>
        <v>0</v>
      </c>
      <c r="AK11" s="38">
        <f>'SE-EGM-GL'!AS11+'SE-LRC-GL'!AS11</f>
        <v>0</v>
      </c>
      <c r="AL11" s="60">
        <f>'SE-EGM-GL'!AT11+'SE-LRC-GL'!AT11</f>
        <v>0</v>
      </c>
      <c r="AM11" s="38">
        <f>'SE-EGM-GL'!AU11+'SE-LRC-GL'!AU11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+BGC_GL!F12+'SE-LRC-GL'!F12+NE_GL!F12+'SE-EGM-GL'!F12</f>
        <v>0</v>
      </c>
      <c r="G12" s="38">
        <f>+BGC_GL!G12+'SE-LRC-GL'!G12+NE_GL!G12+'SE-EGM-GL'!G12</f>
        <v>-15935494.610000001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-296860.03999999998</v>
      </c>
      <c r="L12" s="60">
        <f>+BGC_GL!L12+'SE-LRC-GL'!L12+NE_GL!L12+'SE-EGM-GL'!L12</f>
        <v>0</v>
      </c>
      <c r="M12" s="38">
        <f>+BGC_GL!M12+'SE-LRC-GL'!M12+NE_GL!M12+'SE-EGM-GL'!M12</f>
        <v>-127827.78</v>
      </c>
      <c r="N12" s="60">
        <f>+BGC_GL!N12+'SE-LRC-GL'!N12+NE_GL!N12+'SE-EGM-GL'!N12</f>
        <v>0</v>
      </c>
      <c r="O12" s="38">
        <f>+BGC_GL!O12+'SE-LRC-GL'!O12+NE_GL!O12+'SE-EGM-GL'!O12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'SE-EGM-GL'!AR12+'SE-LRC-GL'!AR12</f>
        <v>0</v>
      </c>
      <c r="AK12" s="38">
        <f>'SE-EGM-GL'!AS12+'SE-LRC-GL'!AS12</f>
        <v>0</v>
      </c>
      <c r="AL12" s="60">
        <f>'SE-EGM-GL'!AT12+'SE-LRC-GL'!AT12</f>
        <v>0</v>
      </c>
      <c r="AM12" s="38">
        <f>'SE-EGM-GL'!AU12+'SE-LRC-GL'!AU12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85005030</v>
      </c>
      <c r="E13" s="38">
        <f t="shared" si="0"/>
        <v>179372400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85002759</v>
      </c>
      <c r="I13" s="38">
        <f>+BGC_GL!I13+'SE-LRC-GL'!I13+NE_GL!I13+'SE-EGM-GL'!I13</f>
        <v>179368490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0</v>
      </c>
      <c r="M13" s="38">
        <f>+BGC_GL!M13+'SE-LRC-GL'!M13+NE_GL!M13+'SE-EGM-GL'!M13</f>
        <v>0</v>
      </c>
      <c r="N13" s="60">
        <f>+BGC_GL!N13+'SE-LRC-GL'!N13+NE_GL!N13+'SE-EGM-GL'!N13</f>
        <v>2271</v>
      </c>
      <c r="O13" s="38">
        <f>+BGC_GL!O13+'SE-LRC-GL'!O13+NE_GL!O13+'SE-EGM-GL'!O13</f>
        <v>3910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'SE-EGM-GL'!AR13+'SE-LRC-GL'!AR13</f>
        <v>0</v>
      </c>
      <c r="AK13" s="38">
        <f>'SE-EGM-GL'!AS13+'SE-LRC-GL'!AS13</f>
        <v>0</v>
      </c>
      <c r="AL13" s="60">
        <f>'SE-EGM-GL'!AT13+'SE-LRC-GL'!AT13</f>
        <v>0</v>
      </c>
      <c r="AM13" s="38">
        <f>'SE-EGM-GL'!AU13+'SE-LRC-GL'!AU13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+BGC_GL!N14+'SE-LRC-GL'!N14+NE_GL!N14+'SE-EGM-GL'!N14</f>
        <v>0</v>
      </c>
      <c r="O14" s="38">
        <f>+BGC_GL!O14+'SE-LRC-GL'!O14+NE_GL!O14+'SE-EGM-GL'!O14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'SE-EGM-GL'!AR14+'SE-LRC-GL'!AR14</f>
        <v>0</v>
      </c>
      <c r="AK14" s="38">
        <f>'SE-EGM-GL'!AS14+'SE-LRC-GL'!AS14</f>
        <v>0</v>
      </c>
      <c r="AL14" s="60">
        <f>'SE-EGM-GL'!AT14+'SE-LRC-GL'!AT14</f>
        <v>0</v>
      </c>
      <c r="AM14" s="38">
        <f>'SE-EGM-GL'!AU14+'SE-LRC-GL'!AU14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81">
        <f>+BGC_GL!N15+'SE-LRC-GL'!N15+NE_GL!N15+'SE-EGM-GL'!N15</f>
        <v>0</v>
      </c>
      <c r="O15" s="82">
        <f>+BGC_GL!O15+'SE-LRC-GL'!O15+NE_GL!O15+'SE-EGM-GL'!O15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'SE-EGM-GL'!AR15+'SE-LRC-GL'!AR15</f>
        <v>0</v>
      </c>
      <c r="AK15" s="38">
        <f>'SE-EGM-GL'!AS15+'SE-LRC-GL'!AS15</f>
        <v>0</v>
      </c>
      <c r="AL15" s="60">
        <f>'SE-EGM-GL'!AT15+'SE-LRC-GL'!AT15</f>
        <v>0</v>
      </c>
      <c r="AM15" s="38">
        <f>'SE-EGM-GL'!AU15+'SE-LRC-GL'!AU15</f>
        <v>0</v>
      </c>
    </row>
    <row r="16" spans="1:39" x14ac:dyDescent="0.2">
      <c r="A16" s="9"/>
      <c r="B16" s="7" t="s">
        <v>34</v>
      </c>
      <c r="C16" s="6"/>
      <c r="D16" s="61">
        <f>SUM(D11:D15)</f>
        <v>225642975</v>
      </c>
      <c r="E16" s="39">
        <f>SUM(E11:E15)</f>
        <v>459145659.47999996</v>
      </c>
      <c r="F16" s="61">
        <f t="shared" ref="F16:AD16" si="1">SUM(F11:F15)</f>
        <v>0</v>
      </c>
      <c r="G16" s="39">
        <f t="shared" si="1"/>
        <v>-15935494.610000001</v>
      </c>
      <c r="H16" s="61">
        <f t="shared" ref="H16:O16" si="2">SUM(H11:H15)</f>
        <v>224531396</v>
      </c>
      <c r="I16" s="39">
        <f t="shared" si="2"/>
        <v>464891594.97999996</v>
      </c>
      <c r="J16" s="61">
        <f t="shared" si="2"/>
        <v>1101021</v>
      </c>
      <c r="K16" s="39">
        <f t="shared" si="2"/>
        <v>16673609.359999999</v>
      </c>
      <c r="L16" s="61">
        <f t="shared" si="2"/>
        <v>68099</v>
      </c>
      <c r="M16" s="39">
        <f t="shared" si="2"/>
        <v>-551877.79</v>
      </c>
      <c r="N16" s="61">
        <f t="shared" si="2"/>
        <v>-57541</v>
      </c>
      <c r="O16" s="39">
        <f t="shared" si="2"/>
        <v>-5932172.46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3">SUM(AE11:AE15)</f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-125522967</v>
      </c>
      <c r="E19" s="38">
        <f t="shared" si="4"/>
        <v>-234152048.22999996</v>
      </c>
      <c r="F19" s="64">
        <f>+BGC_GL!F19+'SE-LRC-GL'!F19+NE_GL!F19+'SE-EGM-GL'!F19</f>
        <v>0</v>
      </c>
      <c r="G19" s="68">
        <f>+BGC_GL!G19+'SE-LRC-GL'!G19+NE_GL!G19+'SE-EGM-GL'!G19</f>
        <v>-98101</v>
      </c>
      <c r="H19" s="64">
        <f>+BGC_GL!H19+'SE-LRC-GL'!H19+NE_GL!H19+'SE-EGM-GL'!H19</f>
        <v>-123931777</v>
      </c>
      <c r="I19" s="68">
        <f>+BGC_GL!I19+'SE-LRC-GL'!I19+NE_GL!I19+'SE-EGM-GL'!I19</f>
        <v>-228997903.36999997</v>
      </c>
      <c r="J19" s="64">
        <f>+BGC_GL!J19+'SE-LRC-GL'!J19+NE_GL!J19+'SE-EGM-GL'!J19</f>
        <v>-740814</v>
      </c>
      <c r="K19" s="68">
        <f>+BGC_GL!K19+'SE-LRC-GL'!K19+NE_GL!K19+'SE-EGM-GL'!K19</f>
        <v>-5394574.1799999988</v>
      </c>
      <c r="L19" s="64">
        <f>+BGC_GL!L19+'SE-LRC-GL'!L19+NE_GL!L19+'SE-EGM-GL'!L19</f>
        <v>-838709</v>
      </c>
      <c r="M19" s="68">
        <f>+BGC_GL!M19+'SE-LRC-GL'!M19+NE_GL!M19+'SE-EGM-GL'!M19</f>
        <v>261087.30000000005</v>
      </c>
      <c r="N19" s="64">
        <f>+BGC_GL!N19+'SE-LRC-GL'!N19+NE_GL!N19+'SE-EGM-GL'!N19</f>
        <v>23175</v>
      </c>
      <c r="O19" s="68">
        <f>+BGC_GL!O19+'SE-LRC-GL'!O19+NE_GL!O19+'SE-EGM-GL'!O19</f>
        <v>150668.31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'SE-EGM-GL'!AR19+'SE-LRC-GL'!AR19</f>
        <v>0</v>
      </c>
      <c r="AK19" s="38">
        <f>'SE-EGM-GL'!AS19+'SE-LRC-GL'!AS19</f>
        <v>0</v>
      </c>
      <c r="AL19" s="60">
        <f>'SE-EGM-GL'!AT19+'SE-LRC-GL'!AT19</f>
        <v>0</v>
      </c>
      <c r="AM19" s="38">
        <f>'SE-EGM-GL'!AU19+'SE-LRC-GL'!AU19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7080782.96</v>
      </c>
      <c r="F20" s="60">
        <f>+BGC_GL!F20+'SE-LRC-GL'!F20+NE_GL!F20+'SE-EGM-GL'!F20</f>
        <v>0</v>
      </c>
      <c r="G20" s="38">
        <f>+BGC_GL!G20+'SE-LRC-GL'!G20+NE_GL!G20+'SE-EGM-GL'!G20</f>
        <v>6792385.79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288397.17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+BGC_GL!N20+'SE-LRC-GL'!N20+NE_GL!N20+'SE-EGM-GL'!N20</f>
        <v>0</v>
      </c>
      <c r="O20" s="38">
        <f>+BGC_GL!O20+'SE-LRC-GL'!O20+NE_GL!O20+'SE-EGM-GL'!O20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'SE-EGM-GL'!AR20+'SE-LRC-GL'!AR20</f>
        <v>0</v>
      </c>
      <c r="AK20" s="38">
        <f>'SE-EGM-GL'!AS20+'SE-LRC-GL'!AS20</f>
        <v>0</v>
      </c>
      <c r="AL20" s="60">
        <f>'SE-EGM-GL'!AT20+'SE-LRC-GL'!AT20</f>
        <v>0</v>
      </c>
      <c r="AM20" s="38">
        <f>'SE-EGM-GL'!AU20+'SE-LRC-GL'!AU20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-85489248</v>
      </c>
      <c r="E21" s="38">
        <f t="shared" si="4"/>
        <v>-180295150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-85949236</v>
      </c>
      <c r="I21" s="38">
        <f>+BGC_GL!I21+'SE-LRC-GL'!I21+NE_GL!I21+'SE-EGM-GL'!I21</f>
        <v>-181101928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0</v>
      </c>
      <c r="M21" s="38">
        <f>+BGC_GL!M21+'SE-LRC-GL'!M21+NE_GL!M21+'SE-EGM-GL'!M21</f>
        <v>0</v>
      </c>
      <c r="N21" s="60">
        <f>+BGC_GL!N21+'SE-LRC-GL'!N21+NE_GL!N21+'SE-EGM-GL'!N21</f>
        <v>459988</v>
      </c>
      <c r="O21" s="38">
        <f>+BGC_GL!O21+'SE-LRC-GL'!O21+NE_GL!O21+'SE-EGM-GL'!O21</f>
        <v>806778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'SE-EGM-GL'!AR21+'SE-LRC-GL'!AR21</f>
        <v>0</v>
      </c>
      <c r="AK21" s="38">
        <f>'SE-EGM-GL'!AS21+'SE-LRC-GL'!AS21</f>
        <v>0</v>
      </c>
      <c r="AL21" s="60">
        <f>'SE-EGM-GL'!AT21+'SE-LRC-GL'!AT21</f>
        <v>0</v>
      </c>
      <c r="AM21" s="38">
        <f>'SE-EGM-GL'!AU21+'SE-LRC-GL'!AU21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+BGC_GL!N22+'SE-LRC-GL'!N22+NE_GL!N22+'SE-EGM-GL'!N22</f>
        <v>0</v>
      </c>
      <c r="O22" s="38">
        <f>+BGC_GL!O22+'SE-LRC-GL'!O22+NE_GL!O22+'SE-EGM-GL'!O22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'SE-EGM-GL'!AR22+'SE-LRC-GL'!AR22</f>
        <v>0</v>
      </c>
      <c r="AK22" s="38">
        <f>'SE-EGM-GL'!AS22+'SE-LRC-GL'!AS22</f>
        <v>0</v>
      </c>
      <c r="AL22" s="60">
        <f>'SE-EGM-GL'!AT22+'SE-LRC-GL'!AT22</f>
        <v>0</v>
      </c>
      <c r="AM22" s="38">
        <f>'SE-EGM-GL'!AU22+'SE-LRC-GL'!AU22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1301700</v>
      </c>
      <c r="E23" s="38">
        <f t="shared" si="4"/>
        <v>2302692.6630000002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1496356</v>
      </c>
      <c r="I23" s="82">
        <f>+BGC_GL!I23+'SE-LRC-GL'!I23+NE_GL!I23+'SE-EGM-GL'!I23</f>
        <v>2646867.52</v>
      </c>
      <c r="J23" s="81">
        <f>+BGC_GL!J23+'SE-LRC-GL'!J23+NE_GL!J23+'SE-EGM-GL'!J23</f>
        <v>-129648</v>
      </c>
      <c r="K23" s="82">
        <f>+BGC_GL!K23+'SE-LRC-GL'!K23+NE_GL!K23+'SE-EGM-GL'!K23</f>
        <v>-229305.72099999999</v>
      </c>
      <c r="L23" s="81">
        <f>+BGC_GL!L23+'SE-LRC-GL'!L23+NE_GL!L23+'SE-EGM-GL'!L23</f>
        <v>-89715</v>
      </c>
      <c r="M23" s="82">
        <f>+BGC_GL!M23+'SE-LRC-GL'!M23+NE_GL!M23+'SE-EGM-GL'!M23</f>
        <v>-158526.405</v>
      </c>
      <c r="N23" s="81">
        <f>+BGC_GL!N23+'SE-LRC-GL'!N23+NE_GL!N23+'SE-EGM-GL'!N23</f>
        <v>24707</v>
      </c>
      <c r="O23" s="82">
        <f>+BGC_GL!O23+'SE-LRC-GL'!O23+NE_GL!O23+'SE-EGM-GL'!O23</f>
        <v>43657.269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'SE-EGM-GL'!AN23+'SE-LRC-GL'!AN23</f>
        <v>0</v>
      </c>
      <c r="AG23" s="38">
        <f>'SE-EGM-GL'!AO23+'SE-LRC-GL'!AO23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'SE-EGM-GL'!AR23+'SE-LRC-GL'!AR23</f>
        <v>0</v>
      </c>
      <c r="AK23" s="38">
        <f>'SE-EGM-GL'!AS23+'SE-LRC-GL'!AS23</f>
        <v>0</v>
      </c>
      <c r="AL23" s="60">
        <f>'SE-EGM-GL'!AT23+'SE-LRC-GL'!AT23</f>
        <v>0</v>
      </c>
      <c r="AM23" s="38">
        <f>'SE-EGM-GL'!AU23+'SE-LRC-GL'!AU23</f>
        <v>0</v>
      </c>
    </row>
    <row r="24" spans="1:39" x14ac:dyDescent="0.2">
      <c r="A24" s="9"/>
      <c r="B24" s="7" t="s">
        <v>37</v>
      </c>
      <c r="C24" s="6"/>
      <c r="D24" s="61">
        <f>SUM(D19:D23)</f>
        <v>-209710515</v>
      </c>
      <c r="E24" s="39">
        <f>SUM(E19:E23)</f>
        <v>-405063722.60699999</v>
      </c>
      <c r="F24" s="61">
        <f t="shared" ref="F24:AD24" si="5">SUM(F19:F23)</f>
        <v>0</v>
      </c>
      <c r="G24" s="39">
        <f t="shared" si="5"/>
        <v>6694284.79</v>
      </c>
      <c r="H24" s="61">
        <f t="shared" ref="H24:O24" si="6">SUM(H19:H23)</f>
        <v>-208384657</v>
      </c>
      <c r="I24" s="39">
        <f t="shared" si="6"/>
        <v>-407452963.85000002</v>
      </c>
      <c r="J24" s="61">
        <f t="shared" si="6"/>
        <v>-870462</v>
      </c>
      <c r="K24" s="39">
        <f t="shared" si="6"/>
        <v>-5335482.7309999987</v>
      </c>
      <c r="L24" s="61">
        <f t="shared" si="6"/>
        <v>-928424</v>
      </c>
      <c r="M24" s="39">
        <f t="shared" si="6"/>
        <v>102560.89500000005</v>
      </c>
      <c r="N24" s="61">
        <f t="shared" si="6"/>
        <v>507870</v>
      </c>
      <c r="O24" s="39">
        <f t="shared" si="6"/>
        <v>1001103.579</v>
      </c>
      <c r="P24" s="61">
        <f t="shared" si="5"/>
        <v>0</v>
      </c>
      <c r="Q24" s="39">
        <f t="shared" si="5"/>
        <v>-12676.2</v>
      </c>
      <c r="R24" s="61">
        <f t="shared" si="5"/>
        <v>-37236</v>
      </c>
      <c r="S24" s="39">
        <f t="shared" si="5"/>
        <v>-64673.94</v>
      </c>
      <c r="T24" s="61">
        <f t="shared" si="5"/>
        <v>2394</v>
      </c>
      <c r="U24" s="39">
        <f t="shared" si="5"/>
        <v>4124.8500000000004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ref="AE24:AK24" si="7">SUM(AE19:AE23)</f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13834075</v>
      </c>
      <c r="E27" s="38">
        <f>SUM(G27,I27,K27,M27,O27,Q27,S27,U27,W27,Y27,AA27,AC27,AE27,AG27,AI27,AK27,AM27)</f>
        <v>25347374.919999998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13783844</v>
      </c>
      <c r="I27" s="68">
        <f>+BGC_GL!I27+'SE-LRC-GL'!I27+NE_GL!I27+'SE-EGM-GL'!I27</f>
        <v>25254656.59</v>
      </c>
      <c r="J27" s="64">
        <f>+BGC_GL!J27+'SE-LRC-GL'!J27+NE_GL!J27+'SE-EGM-GL'!J27</f>
        <v>50231</v>
      </c>
      <c r="K27" s="68">
        <f>+BGC_GL!K27+'SE-LRC-GL'!K27+NE_GL!K27+'SE-EGM-GL'!K27</f>
        <v>92718.33</v>
      </c>
      <c r="L27" s="64">
        <f>+BGC_GL!L27+'SE-LRC-GL'!L27+NE_GL!L27+'SE-EGM-GL'!L27</f>
        <v>0</v>
      </c>
      <c r="M27" s="68">
        <f>+BGC_GL!M27+'SE-LRC-GL'!M27+NE_GL!M27+'SE-EGM-GL'!M27</f>
        <v>0</v>
      </c>
      <c r="N27" s="64">
        <f>+BGC_GL!N27+'SE-LRC-GL'!N27+NE_GL!N27+'SE-EGM-GL'!N27</f>
        <v>0</v>
      </c>
      <c r="O27" s="68">
        <f>+BGC_GL!O27+'SE-LRC-GL'!O27+NE_GL!O27+'SE-EGM-GL'!O27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'SE-EGM-GL'!AN27+'SE-LRC-GL'!AN27</f>
        <v>0</v>
      </c>
      <c r="AG27" s="38">
        <f>'SE-EGM-GL'!AO27+'SE-LRC-GL'!AO27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'SE-EGM-GL'!AR27+'SE-LRC-GL'!AR27</f>
        <v>0</v>
      </c>
      <c r="AK27" s="38">
        <f>'SE-EGM-GL'!AS27+'SE-LRC-GL'!AS27</f>
        <v>0</v>
      </c>
      <c r="AL27" s="60">
        <f>'SE-EGM-GL'!AT27+'SE-LRC-GL'!AT27</f>
        <v>0</v>
      </c>
      <c r="AM27" s="38">
        <f>'SE-EGM-GL'!AU27+'SE-LRC-GL'!AU27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-13932956</v>
      </c>
      <c r="E28" s="38">
        <f>SUM(G28,I28,K28,M28,O28,Q28,S28,U28,W28,Y28,AA28,AC28,AE28,AG28,AI28,AK28,AM28)</f>
        <v>-25520089.82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-13882732</v>
      </c>
      <c r="I28" s="82">
        <f>+BGC_GL!I28+'SE-LRC-GL'!I28+NE_GL!I28+'SE-EGM-GL'!I28</f>
        <v>-25427383.52</v>
      </c>
      <c r="J28" s="81">
        <f>+BGC_GL!J28+'SE-LRC-GL'!J28+NE_GL!J28+'SE-EGM-GL'!J28</f>
        <v>-50224</v>
      </c>
      <c r="K28" s="82">
        <f>+BGC_GL!K28+'SE-LRC-GL'!K28+NE_GL!K28+'SE-EGM-GL'!K28</f>
        <v>-92706.3</v>
      </c>
      <c r="L28" s="81">
        <f>+BGC_GL!L28+'SE-LRC-GL'!L28+NE_GL!L28+'SE-EGM-GL'!L28</f>
        <v>0</v>
      </c>
      <c r="M28" s="82">
        <f>+BGC_GL!M28+'SE-LRC-GL'!M28+NE_GL!M28+'SE-EGM-GL'!M28</f>
        <v>0</v>
      </c>
      <c r="N28" s="81">
        <f>+BGC_GL!N28+'SE-LRC-GL'!N28+NE_GL!N28+'SE-EGM-GL'!N28</f>
        <v>0</v>
      </c>
      <c r="O28" s="82">
        <f>+BGC_GL!O28+'SE-LRC-GL'!O28+NE_GL!O28+'SE-EGM-GL'!O28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0</v>
      </c>
      <c r="AG28" s="38">
        <f>'SE-EGM-GL'!AO28+'SE-LRC-GL'!AO28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'SE-EGM-GL'!AR28+'SE-LRC-GL'!AR28</f>
        <v>0</v>
      </c>
      <c r="AK28" s="38">
        <f>'SE-EGM-GL'!AS28+'SE-LRC-GL'!AS28</f>
        <v>0</v>
      </c>
      <c r="AL28" s="60">
        <f>'SE-EGM-GL'!AT28+'SE-LRC-GL'!AT28</f>
        <v>0</v>
      </c>
      <c r="AM28" s="38">
        <f>'SE-EGM-GL'!AU28+'SE-LRC-GL'!AU28</f>
        <v>0</v>
      </c>
    </row>
    <row r="29" spans="1:39" x14ac:dyDescent="0.2">
      <c r="A29" s="9"/>
      <c r="B29" s="7" t="s">
        <v>41</v>
      </c>
      <c r="C29" s="18"/>
      <c r="D29" s="61">
        <f>SUM(D27:D28)</f>
        <v>-98881</v>
      </c>
      <c r="E29" s="39">
        <f>SUM(E27:E28)</f>
        <v>-172714.90000000224</v>
      </c>
      <c r="F29" s="61">
        <f t="shared" ref="F29:AD29" si="8">SUM(F27:F28)</f>
        <v>0</v>
      </c>
      <c r="G29" s="39">
        <f t="shared" si="8"/>
        <v>0</v>
      </c>
      <c r="H29" s="61">
        <f t="shared" ref="H29:O29" si="9">SUM(H27:H28)</f>
        <v>-98888</v>
      </c>
      <c r="I29" s="39">
        <f t="shared" si="9"/>
        <v>-172726.9299999997</v>
      </c>
      <c r="J29" s="61">
        <f t="shared" si="9"/>
        <v>7</v>
      </c>
      <c r="K29" s="39">
        <f t="shared" si="9"/>
        <v>12.029999999998836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ref="AE29:AK29" si="10">SUM(AE27:AE28)</f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-1430014</v>
      </c>
      <c r="E32" s="38">
        <f t="shared" si="11"/>
        <v>-2599041.8519999995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-814289</v>
      </c>
      <c r="I32" s="68">
        <f>+BGC_GL!I32+'SE-LRC-GL'!I32+NE_GL!I32+'SE-EGM-GL'!I32</f>
        <v>-1441328.19</v>
      </c>
      <c r="J32" s="64">
        <f>+BGC_GL!J32+'SE-LRC-GL'!J32+NE_GL!J32+'SE-EGM-GL'!J32</f>
        <v>-385186</v>
      </c>
      <c r="K32" s="68">
        <f>+BGC_GL!K32+'SE-LRC-GL'!K32+NE_GL!K32+'SE-EGM-GL'!K32</f>
        <v>-702511.59000000008</v>
      </c>
      <c r="L32" s="64">
        <f>+BGC_GL!L32+'SE-LRC-GL'!L32+NE_GL!L32+'SE-EGM-GL'!L32</f>
        <v>-158540</v>
      </c>
      <c r="M32" s="68">
        <f>+BGC_GL!M32+'SE-LRC-GL'!M32+NE_GL!M32+'SE-EGM-GL'!M32</f>
        <v>-229441.09999999998</v>
      </c>
      <c r="N32" s="64">
        <f>+BGC_GL!N32+'SE-LRC-GL'!N32+NE_GL!N32+'SE-EGM-GL'!N32</f>
        <v>-71999</v>
      </c>
      <c r="O32" s="68">
        <f>+BGC_GL!O32+'SE-LRC-GL'!O32+NE_GL!O32+'SE-EGM-GL'!O32</f>
        <v>-219853.85199999998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'SE-EGM-GL'!AN32+'SE-LRC-GL'!AN32</f>
        <v>0</v>
      </c>
      <c r="AG32" s="38">
        <f>'SE-EGM-GL'!AO32+'SE-LRC-GL'!AO32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'SE-EGM-GL'!AR32+'SE-LRC-GL'!AR32</f>
        <v>0</v>
      </c>
      <c r="AK32" s="38">
        <f>'SE-EGM-GL'!AS32+'SE-LRC-GL'!AS32</f>
        <v>0</v>
      </c>
      <c r="AL32" s="60">
        <f>'SE-EGM-GL'!AT32+'SE-LRC-GL'!AT32</f>
        <v>0</v>
      </c>
      <c r="AM32" s="38">
        <f>'SE-EGM-GL'!AU32+'SE-LRC-GL'!AU32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-80671</v>
      </c>
      <c r="E33" s="38">
        <f t="shared" si="11"/>
        <v>-234014.49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-36061</v>
      </c>
      <c r="K33" s="38">
        <f>+BGC_GL!K33+'SE-LRC-GL'!K33+NE_GL!K33+'SE-EGM-GL'!K33</f>
        <v>-151080.28</v>
      </c>
      <c r="L33" s="60">
        <f>+BGC_GL!L33+'SE-LRC-GL'!L33+NE_GL!L33+'SE-EGM-GL'!L33</f>
        <v>-537</v>
      </c>
      <c r="M33" s="38">
        <f>+BGC_GL!M33+'SE-LRC-GL'!M33+NE_GL!M33+'SE-EGM-GL'!M33</f>
        <v>-1040.04</v>
      </c>
      <c r="N33" s="60">
        <f>+BGC_GL!N33+'SE-LRC-GL'!N33+NE_GL!N33+'SE-EGM-GL'!N33</f>
        <v>-44073</v>
      </c>
      <c r="O33" s="38">
        <f>+BGC_GL!O33+'SE-LRC-GL'!O33+NE_GL!O33+'SE-EGM-GL'!O33</f>
        <v>-81894.17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'SE-EGM-GL'!AR33+'SE-LRC-GL'!AR33</f>
        <v>0</v>
      </c>
      <c r="AK33" s="38">
        <f>'SE-EGM-GL'!AS33+'SE-LRC-GL'!AS33</f>
        <v>0</v>
      </c>
      <c r="AL33" s="60">
        <f>'SE-EGM-GL'!AT33+'SE-LRC-GL'!AT33</f>
        <v>0</v>
      </c>
      <c r="AM33" s="38">
        <f>'SE-EGM-GL'!AU33+'SE-LRC-GL'!AU33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277215</v>
      </c>
      <c r="E34" s="38">
        <f t="shared" si="11"/>
        <v>508952.2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239550</v>
      </c>
      <c r="K34" s="38">
        <f>+BGC_GL!K34+'SE-LRC-GL'!K34+NE_GL!K34+'SE-EGM-GL'!K34</f>
        <v>440743.3</v>
      </c>
      <c r="L34" s="60">
        <f>+BGC_GL!L34+'SE-LRC-GL'!L34+NE_GL!L34+'SE-EGM-GL'!L34</f>
        <v>31204</v>
      </c>
      <c r="M34" s="38">
        <f>+BGC_GL!M34+'SE-LRC-GL'!M34+NE_GL!M34+'SE-EGM-GL'!M34</f>
        <v>56276.46</v>
      </c>
      <c r="N34" s="60">
        <f>+BGC_GL!N34+'SE-LRC-GL'!N34+NE_GL!N34+'SE-EGM-GL'!N34</f>
        <v>6461</v>
      </c>
      <c r="O34" s="38">
        <f>+BGC_GL!O34+'SE-LRC-GL'!O34+NE_GL!O34+'SE-EGM-GL'!O34</f>
        <v>11932.44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'SE-EGM-GL'!AR34+'SE-LRC-GL'!AR34</f>
        <v>0</v>
      </c>
      <c r="AK34" s="38">
        <f>'SE-EGM-GL'!AS34+'SE-LRC-GL'!AS34</f>
        <v>0</v>
      </c>
      <c r="AL34" s="60">
        <f>'SE-EGM-GL'!AT34+'SE-LRC-GL'!AT34</f>
        <v>0</v>
      </c>
      <c r="AM34" s="38">
        <f>'SE-EGM-GL'!AU34+'SE-LRC-GL'!AU34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329575</v>
      </c>
      <c r="E35" s="38">
        <f t="shared" si="11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-83068</v>
      </c>
      <c r="I35" s="82">
        <f>+BGC_GL!I35+'SE-LRC-GL'!I35+NE_GL!I35+'SE-EGM-GL'!I35</f>
        <v>-0.01</v>
      </c>
      <c r="J35" s="81">
        <f>+BGC_GL!J35+'SE-LRC-GL'!J35+NE_GL!J35+'SE-EGM-GL'!J35</f>
        <v>362643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81">
        <f>+BGC_GL!N35+'SE-LRC-GL'!N35+NE_GL!N35+'SE-EGM-GL'!N35</f>
        <v>50000</v>
      </c>
      <c r="O35" s="82">
        <f>+BGC_GL!O35+'SE-LRC-GL'!O35+NE_GL!O35+'SE-EGM-GL'!O35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'SE-EGM-GL'!AR35+'SE-LRC-GL'!AR35</f>
        <v>0</v>
      </c>
      <c r="AK35" s="38">
        <f>'SE-EGM-GL'!AS35+'SE-LRC-GL'!AS35</f>
        <v>0</v>
      </c>
      <c r="AL35" s="60">
        <f>'SE-EGM-GL'!AT35+'SE-LRC-GL'!AT35</f>
        <v>0</v>
      </c>
      <c r="AM35" s="38">
        <f>'SE-EGM-GL'!AU35+'SE-LRC-GL'!AU35</f>
        <v>0</v>
      </c>
    </row>
    <row r="36" spans="1:39" x14ac:dyDescent="0.2">
      <c r="A36" s="9"/>
      <c r="B36" s="7" t="s">
        <v>47</v>
      </c>
      <c r="C36" s="6"/>
      <c r="D36" s="61">
        <f>SUM(D32:D35)</f>
        <v>-903895</v>
      </c>
      <c r="E36" s="39">
        <f>SUM(E32:E35)</f>
        <v>-2324104.1519999988</v>
      </c>
      <c r="F36" s="61">
        <f t="shared" ref="F36:AD36" si="12">SUM(F32:F35)</f>
        <v>0</v>
      </c>
      <c r="G36" s="39">
        <f t="shared" si="12"/>
        <v>0</v>
      </c>
      <c r="H36" s="61">
        <f t="shared" ref="H36:O36" si="13">SUM(H32:H35)</f>
        <v>-897357</v>
      </c>
      <c r="I36" s="39">
        <f t="shared" si="13"/>
        <v>-1441328.2</v>
      </c>
      <c r="J36" s="61">
        <f t="shared" si="13"/>
        <v>180946</v>
      </c>
      <c r="K36" s="39">
        <f t="shared" si="13"/>
        <v>-412848.57000000012</v>
      </c>
      <c r="L36" s="61">
        <f t="shared" si="13"/>
        <v>-127873</v>
      </c>
      <c r="M36" s="39">
        <f t="shared" si="13"/>
        <v>-174204.68</v>
      </c>
      <c r="N36" s="61">
        <f t="shared" si="13"/>
        <v>-59611</v>
      </c>
      <c r="O36" s="39">
        <f t="shared" si="13"/>
        <v>-289815.58199999999</v>
      </c>
      <c r="P36" s="61">
        <f t="shared" si="12"/>
        <v>0</v>
      </c>
      <c r="Q36" s="39">
        <f t="shared" si="12"/>
        <v>-11031.84</v>
      </c>
      <c r="R36" s="61">
        <f t="shared" si="12"/>
        <v>0</v>
      </c>
      <c r="S36" s="39">
        <f t="shared" si="12"/>
        <v>-17877.84</v>
      </c>
      <c r="T36" s="61">
        <f t="shared" si="12"/>
        <v>0</v>
      </c>
      <c r="U36" s="39">
        <f t="shared" si="12"/>
        <v>4929.12</v>
      </c>
      <c r="V36" s="61">
        <f t="shared" si="12"/>
        <v>0</v>
      </c>
      <c r="W36" s="39">
        <f t="shared" si="12"/>
        <v>-1408.32</v>
      </c>
      <c r="X36" s="61">
        <f t="shared" si="12"/>
        <v>0</v>
      </c>
      <c r="Y36" s="39">
        <f t="shared" si="12"/>
        <v>-13652.88</v>
      </c>
      <c r="Z36" s="61">
        <f t="shared" si="12"/>
        <v>0</v>
      </c>
      <c r="AA36" s="39">
        <f t="shared" si="12"/>
        <v>-11110.08</v>
      </c>
      <c r="AB36" s="61">
        <f t="shared" si="12"/>
        <v>0</v>
      </c>
      <c r="AC36" s="39">
        <f t="shared" si="12"/>
        <v>44244.72</v>
      </c>
      <c r="AD36" s="61">
        <f t="shared" si="12"/>
        <v>0</v>
      </c>
      <c r="AE36" s="39">
        <f t="shared" ref="AE36:AK36" si="14">SUM(AE32:AE35)</f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845883</v>
      </c>
      <c r="E39" s="38">
        <f t="shared" si="15"/>
        <v>1663948.51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1038859</v>
      </c>
      <c r="I39" s="68">
        <f>+BGC_GL!I39+'SE-LRC-GL'!I39+NE_GL!I39+'SE-EGM-GL'!I39</f>
        <v>1878052.75</v>
      </c>
      <c r="J39" s="64">
        <f>+BGC_GL!J39+'SE-LRC-GL'!J39+NE_GL!J39+'SE-EGM-GL'!J39</f>
        <v>-192976</v>
      </c>
      <c r="K39" s="68">
        <f>+BGC_GL!K39+'SE-LRC-GL'!K39+NE_GL!K39+'SE-EGM-GL'!K39</f>
        <v>-214104.24</v>
      </c>
      <c r="L39" s="64">
        <f>+BGC_GL!L39+'SE-LRC-GL'!L39+NE_GL!L39+'SE-EGM-GL'!L39</f>
        <v>0</v>
      </c>
      <c r="M39" s="68">
        <f>+BGC_GL!M39+'SE-LRC-GL'!M39+NE_GL!M39+'SE-EGM-GL'!M39</f>
        <v>0</v>
      </c>
      <c r="N39" s="64">
        <f>+BGC_GL!N39+'SE-LRC-GL'!N39+NE_GL!N39+'SE-EGM-GL'!N39</f>
        <v>0</v>
      </c>
      <c r="O39" s="68">
        <f>+BGC_GL!O39+'SE-LRC-GL'!O39+NE_GL!O39+'SE-EGM-GL'!O39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'SE-EGM-GL'!AR39+'SE-LRC-GL'!AR39</f>
        <v>0</v>
      </c>
      <c r="AK39" s="38">
        <f>'SE-EGM-GL'!AS39+'SE-LRC-GL'!AS39</f>
        <v>0</v>
      </c>
      <c r="AL39" s="60">
        <f>'SE-EGM-GL'!AT39+'SE-LRC-GL'!AT39</f>
        <v>0</v>
      </c>
      <c r="AM39" s="38">
        <f>'SE-EGM-GL'!AU39+'SE-LRC-GL'!AU39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-15620028</v>
      </c>
      <c r="E40" s="38">
        <f t="shared" si="15"/>
        <v>-34935753.039999999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-16281826</v>
      </c>
      <c r="I40" s="38">
        <f>+BGC_GL!I40+'SE-LRC-GL'!I40+NE_GL!I40+'SE-EGM-GL'!I40</f>
        <v>-36196599.189999998</v>
      </c>
      <c r="J40" s="60">
        <f>+BGC_GL!J40+'SE-LRC-GL'!J40+NE_GL!J40+'SE-EGM-GL'!J40</f>
        <v>549302</v>
      </c>
      <c r="K40" s="38">
        <f>+BGC_GL!K40+'SE-LRC-GL'!K40+NE_GL!K40+'SE-EGM-GL'!K40</f>
        <v>-14749386.810000001</v>
      </c>
      <c r="L40" s="60">
        <f>+BGC_GL!L40+'SE-LRC-GL'!L40+NE_GL!L40+'SE-EGM-GL'!L40</f>
        <v>215035</v>
      </c>
      <c r="M40" s="38">
        <f>+BGC_GL!M40+'SE-LRC-GL'!M40+NE_GL!M40+'SE-EGM-GL'!M40</f>
        <v>459176.04</v>
      </c>
      <c r="N40" s="60">
        <f>+BGC_GL!N40+'SE-LRC-GL'!N40+NE_GL!N40+'SE-EGM-GL'!N40</f>
        <v>-102539</v>
      </c>
      <c r="O40" s="38">
        <f>+BGC_GL!O40+'SE-LRC-GL'!O40+NE_GL!O40+'SE-EGM-GL'!O40</f>
        <v>15551056.92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'SE-EGM-GL'!AR40+'SE-LRC-GL'!AR40</f>
        <v>0</v>
      </c>
      <c r="AK40" s="38">
        <f>'SE-EGM-GL'!AS40+'SE-LRC-GL'!AS40</f>
        <v>0</v>
      </c>
      <c r="AL40" s="60">
        <f>'SE-EGM-GL'!AT40+'SE-LRC-GL'!AT40</f>
        <v>0</v>
      </c>
      <c r="AM40" s="38">
        <f>'SE-EGM-GL'!AU40+'SE-LRC-GL'!AU40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278626</v>
      </c>
      <c r="F41" s="81">
        <f>+BGC_GL!F41+'SE-LRC-GL'!F41+NE_GL!F41+'SE-EGM-GL'!F41</f>
        <v>0</v>
      </c>
      <c r="G41" s="82">
        <f>+BGC_GL!G41+'SE-LRC-GL'!G41+NE_GL!G41+'SE-EGM-GL'!G41</f>
        <v>278626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81">
        <f>+BGC_GL!N41+'SE-LRC-GL'!N41+NE_GL!N41+'SE-EGM-GL'!N41</f>
        <v>0</v>
      </c>
      <c r="O41" s="82">
        <f>+BGC_GL!O41+'SE-LRC-GL'!O41+NE_GL!O41+'SE-EGM-GL'!O41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'SE-EGM-GL'!AR41+'SE-LRC-GL'!AR41</f>
        <v>0</v>
      </c>
      <c r="AK41" s="38">
        <f>'SE-EGM-GL'!AS41+'SE-LRC-GL'!AS41</f>
        <v>0</v>
      </c>
      <c r="AL41" s="60">
        <f>'SE-EGM-GL'!AT41+'SE-LRC-GL'!AT41</f>
        <v>0</v>
      </c>
      <c r="AM41" s="38">
        <f>'SE-EGM-GL'!AU41+'SE-LRC-GL'!AU41</f>
        <v>0</v>
      </c>
    </row>
    <row r="42" spans="1:39" x14ac:dyDescent="0.2">
      <c r="A42" s="9"/>
      <c r="B42" s="7"/>
      <c r="C42" s="53" t="s">
        <v>52</v>
      </c>
      <c r="D42" s="61">
        <f>SUM(D40:D41)</f>
        <v>-15620028</v>
      </c>
      <c r="E42" s="39">
        <f>SUM(E40:E41)</f>
        <v>-34657127.039999999</v>
      </c>
      <c r="F42" s="61">
        <f t="shared" ref="F42:AD42" si="16">SUM(F40:F41)</f>
        <v>0</v>
      </c>
      <c r="G42" s="39">
        <f t="shared" si="16"/>
        <v>278626</v>
      </c>
      <c r="H42" s="61">
        <f t="shared" ref="H42:O42" si="17">SUM(H40:H41)</f>
        <v>-16281826</v>
      </c>
      <c r="I42" s="39">
        <f t="shared" si="17"/>
        <v>-36196599.189999998</v>
      </c>
      <c r="J42" s="61">
        <f t="shared" si="17"/>
        <v>549302</v>
      </c>
      <c r="K42" s="39">
        <f t="shared" si="17"/>
        <v>-14749386.810000001</v>
      </c>
      <c r="L42" s="61">
        <f t="shared" si="17"/>
        <v>215035</v>
      </c>
      <c r="M42" s="39">
        <f t="shared" si="17"/>
        <v>459176.04</v>
      </c>
      <c r="N42" s="61">
        <f t="shared" si="17"/>
        <v>-102539</v>
      </c>
      <c r="O42" s="39">
        <f t="shared" si="17"/>
        <v>15551056.92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ref="AE42:AK42" si="18">SUM(AE40:AE41)</f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-14774145</v>
      </c>
      <c r="E43" s="39">
        <f>E42+E39</f>
        <v>-32993178.529999997</v>
      </c>
      <c r="F43" s="61">
        <f t="shared" ref="F43:AD43" si="19">F42+F39</f>
        <v>0</v>
      </c>
      <c r="G43" s="39">
        <f t="shared" si="19"/>
        <v>278626</v>
      </c>
      <c r="H43" s="61">
        <f t="shared" ref="H43:O43" si="20">H42+H39</f>
        <v>-15242967</v>
      </c>
      <c r="I43" s="39">
        <f t="shared" si="20"/>
        <v>-34318546.439999998</v>
      </c>
      <c r="J43" s="61">
        <f t="shared" si="20"/>
        <v>356326</v>
      </c>
      <c r="K43" s="39">
        <f t="shared" si="20"/>
        <v>-14963491.050000001</v>
      </c>
      <c r="L43" s="61">
        <f t="shared" si="20"/>
        <v>215035</v>
      </c>
      <c r="M43" s="39">
        <f t="shared" si="20"/>
        <v>459176.04</v>
      </c>
      <c r="N43" s="61">
        <f t="shared" si="20"/>
        <v>-102539</v>
      </c>
      <c r="O43" s="39">
        <f t="shared" si="20"/>
        <v>15551056.92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ref="AE43:AK43" si="21">AE42+AE39</f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8416</v>
      </c>
      <c r="K45" s="68">
        <f>+BGC_GL!K45+'SE-LRC-GL'!K45+NE_GL!K45+'SE-EGM-GL'!K45</f>
        <v>16242.88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4">
        <f>+BGC_GL!N45+'SE-LRC-GL'!N45+NE_GL!N45+'SE-EGM-GL'!N45</f>
        <v>0</v>
      </c>
      <c r="O45" s="68">
        <f>+BGC_GL!O45+'SE-LRC-GL'!O45+NE_GL!O45+'SE-EGM-GL'!O45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'SE-EGM-GL'!AR45+'SE-LRC-GL'!AR45</f>
        <v>0</v>
      </c>
      <c r="AK45" s="38">
        <f>'SE-EGM-GL'!AS45+'SE-LRC-GL'!AS45</f>
        <v>0</v>
      </c>
      <c r="AL45" s="60">
        <f>'SE-EGM-GL'!AT45+'SE-LRC-GL'!AT45</f>
        <v>0</v>
      </c>
      <c r="AM45" s="38">
        <f>'SE-EGM-GL'!AU45+'SE-LRC-GL'!AU45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90983</v>
      </c>
      <c r="I47" s="38">
        <f>+BGC_GL!I47+'SE-LRC-GL'!I47+NE_GL!I47+'SE-EGM-GL'!I47</f>
        <v>163769.73000000001</v>
      </c>
      <c r="J47" s="60">
        <f>+BGC_GL!J47+'SE-LRC-GL'!J47+NE_GL!J47+'SE-EGM-GL'!J47</f>
        <v>-8567</v>
      </c>
      <c r="K47" s="38">
        <f>+BGC_GL!K47+'SE-LRC-GL'!K47+NE_GL!K47+'SE-EGM-GL'!K47</f>
        <v>-15420.6</v>
      </c>
      <c r="L47" s="60">
        <f>+BGC_GL!L47+'SE-LRC-GL'!L47+NE_GL!L47+'SE-EGM-GL'!L47</f>
        <v>0</v>
      </c>
      <c r="M47" s="38">
        <f>+BGC_GL!M47+'SE-LRC-GL'!M47+NE_GL!M47+'SE-EGM-GL'!M47</f>
        <v>0</v>
      </c>
      <c r="N47" s="60">
        <f>+BGC_GL!N47+'SE-LRC-GL'!N47+NE_GL!N47+'SE-EGM-GL'!N47</f>
        <v>0</v>
      </c>
      <c r="O47" s="38">
        <f>+BGC_GL!O47+'SE-LRC-GL'!O47+NE_GL!O47+'SE-EGM-GL'!O47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'SE-EGM-GL'!AR47+'SE-LRC-GL'!AR47</f>
        <v>0</v>
      </c>
      <c r="AK47" s="38">
        <f>'SE-EGM-GL'!AS47+'SE-LRC-GL'!AS47</f>
        <v>0</v>
      </c>
      <c r="AL47" s="60">
        <f>'SE-EGM-GL'!AT47+'SE-LRC-GL'!AT47</f>
        <v>0</v>
      </c>
      <c r="AM47" s="38">
        <f>'SE-EGM-GL'!AU47+'SE-LRC-GL'!AU47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-246371</v>
      </c>
      <c r="E49" s="38">
        <f>SUM(G49,I49,K49,M49,O49,Q49,S49,U49,W49,Y49,AA49,AC49,AE49,AG49,AI49,AK49,AM49)</f>
        <v>-1469833.007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1490</v>
      </c>
      <c r="I49" s="38">
        <f>+BGC_GL!I49+'SE-LRC-GL'!I49+NE_GL!I49+'SE-EGM-GL'!I49</f>
        <v>2632.8299999996088</v>
      </c>
      <c r="J49" s="60">
        <f>+BGC_GL!J49+'SE-LRC-GL'!J49+NE_GL!J49+'SE-EGM-GL'!J49</f>
        <v>-767687</v>
      </c>
      <c r="K49" s="38">
        <f>+BGC_GL!K49+'SE-LRC-GL'!K49+NE_GL!K49+'SE-EGM-GL'!K49</f>
        <v>-1356502.9289999998</v>
      </c>
      <c r="L49" s="60">
        <f>+BGC_GL!L49+'SE-LRC-GL'!L49+NE_GL!L49+'SE-EGM-GL'!L49</f>
        <v>773163</v>
      </c>
      <c r="M49" s="38">
        <f>+BGC_GL!M49+'SE-LRC-GL'!M49+NE_GL!M49+'SE-EGM-GL'!M49</f>
        <v>1366179.0209999999</v>
      </c>
      <c r="N49" s="60">
        <f>+BGC_GL!N49+'SE-LRC-GL'!N49+NE_GL!N49+'SE-EGM-GL'!N49</f>
        <v>-288179</v>
      </c>
      <c r="O49" s="38">
        <f>+BGC_GL!O49+'SE-LRC-GL'!O49+NE_GL!O49+'SE-EGM-GL'!O49</f>
        <v>-1543707.7429999998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'SE-EGM-GL'!AN49+'SE-LRC-GL'!AN49</f>
        <v>0</v>
      </c>
      <c r="AG49" s="38">
        <f>'SE-EGM-GL'!AO49+'SE-LRC-GL'!AO49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'SE-EGM-GL'!AR49+'SE-LRC-GL'!AR49</f>
        <v>0</v>
      </c>
      <c r="AK49" s="38">
        <f>'SE-EGM-GL'!AS49+'SE-LRC-GL'!AS49</f>
        <v>0</v>
      </c>
      <c r="AL49" s="60">
        <f>'SE-EGM-GL'!AT49+'SE-LRC-GL'!AT49</f>
        <v>0</v>
      </c>
      <c r="AM49" s="38">
        <f>'SE-EGM-GL'!AU49+'SE-LRC-GL'!AU49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-1301700</v>
      </c>
      <c r="E51" s="38">
        <f>SUM(G51,I51,K51,M51,O51,Q51,S51,U51,W51,Y51,AA51,AC51,AE51,AG51,AI51,AK51,AM51)</f>
        <v>-2302692.6630000002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-1496356</v>
      </c>
      <c r="I51" s="38">
        <f>+BGC_GL!I51+'SE-LRC-GL'!I51+NE_GL!I51+'SE-EGM-GL'!I51</f>
        <v>-2646867.52</v>
      </c>
      <c r="J51" s="60">
        <f>+BGC_GL!J51+'SE-LRC-GL'!J51+NE_GL!J51+'SE-EGM-GL'!J51</f>
        <v>129648</v>
      </c>
      <c r="K51" s="38">
        <f>+BGC_GL!K51+'SE-LRC-GL'!K51+NE_GL!K51+'SE-EGM-GL'!K51</f>
        <v>229305.72099999999</v>
      </c>
      <c r="L51" s="60">
        <f>+BGC_GL!L51+'SE-LRC-GL'!L51+NE_GL!L51+'SE-EGM-GL'!L51</f>
        <v>89715</v>
      </c>
      <c r="M51" s="38">
        <f>+BGC_GL!M51+'SE-LRC-GL'!M51+NE_GL!M51+'SE-EGM-GL'!M51</f>
        <v>158526.405</v>
      </c>
      <c r="N51" s="60">
        <f>+BGC_GL!N51+'SE-LRC-GL'!N51+NE_GL!N51+'SE-EGM-GL'!N51</f>
        <v>-24707</v>
      </c>
      <c r="O51" s="38">
        <f>+BGC_GL!O51+'SE-LRC-GL'!O51+NE_GL!O51+'SE-EGM-GL'!O51</f>
        <v>-43657.269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'SE-EGM-GL'!AR51+'SE-LRC-GL'!AR51</f>
        <v>0</v>
      </c>
      <c r="AK51" s="38">
        <f>'SE-EGM-GL'!AS51+'SE-LRC-GL'!AS51</f>
        <v>0</v>
      </c>
      <c r="AL51" s="60">
        <f>'SE-EGM-GL'!AT51+'SE-LRC-GL'!AT51</f>
        <v>0</v>
      </c>
      <c r="AM51" s="38">
        <f>'SE-EGM-GL'!AU51+'SE-LRC-GL'!AU51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81"/>
      <c r="M52" s="82"/>
      <c r="N52" s="81"/>
      <c r="O52" s="82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-66722296</v>
      </c>
      <c r="E54" s="38">
        <f>SUM(G54,I54,K54,M54,O54,Q54,S54,U54,W54,Y54,AA54,AC54,AE54,AG54,AI54,AK54,AM54)</f>
        <v>-2439993.7600000002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-67859916</v>
      </c>
      <c r="I54" s="68">
        <f>+BGC_GL!I54+'SE-LRC-GL'!I54+NE_GL!I54+'SE-EGM-GL'!I54</f>
        <v>-2966614.91</v>
      </c>
      <c r="J54" s="64">
        <f>+BGC_GL!J54+'SE-LRC-GL'!J54+NE_GL!J54+'SE-EGM-GL'!J54</f>
        <v>1022707</v>
      </c>
      <c r="K54" s="68">
        <f>+BGC_GL!K54+'SE-LRC-GL'!K54+NE_GL!K54+'SE-EGM-GL'!K54</f>
        <v>625184.86</v>
      </c>
      <c r="L54" s="64">
        <f>+BGC_GL!L54+'SE-LRC-GL'!L54+NE_GL!L54+'SE-EGM-GL'!L54</f>
        <v>37468</v>
      </c>
      <c r="M54" s="68">
        <f>+BGC_GL!M54+'SE-LRC-GL'!M54+NE_GL!M54+'SE-EGM-GL'!M54</f>
        <v>-16256.41</v>
      </c>
      <c r="N54" s="64">
        <f>+BGC_GL!N54+'SE-LRC-GL'!N54+NE_GL!N54+'SE-EGM-GL'!N54</f>
        <v>77445</v>
      </c>
      <c r="O54" s="68">
        <f>+BGC_GL!O54+'SE-LRC-GL'!O54+NE_GL!O54+'SE-EGM-GL'!O54</f>
        <v>-82307.3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'SE-EGM-GL'!AR54+'SE-LRC-GL'!AR54</f>
        <v>0</v>
      </c>
      <c r="AK54" s="38">
        <f>'SE-EGM-GL'!AS54+'SE-LRC-GL'!AS54</f>
        <v>0</v>
      </c>
      <c r="AL54" s="60">
        <f>'SE-EGM-GL'!AT54+'SE-LRC-GL'!AT54</f>
        <v>0</v>
      </c>
      <c r="AM54" s="38">
        <f>'SE-EGM-GL'!AU54+'SE-LRC-GL'!AU54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-15407791.84</v>
      </c>
      <c r="F55" s="81">
        <f>+BGC_GL!F55+'SE-LRC-GL'!F55+NE_GL!F55+'SE-EGM-GL'!F55</f>
        <v>0</v>
      </c>
      <c r="G55" s="82">
        <f>+BGC_GL!G55+'SE-LRC-GL'!G55+NE_GL!G55+'SE-EGM-GL'!G55</f>
        <v>638345.11</v>
      </c>
      <c r="H55" s="81">
        <f>+BGC_GL!H55+'SE-LRC-GL'!H55+NE_GL!H55+'SE-EGM-GL'!H55</f>
        <v>0</v>
      </c>
      <c r="I55" s="82">
        <f>+BGC_GL!I55+'SE-LRC-GL'!I55+NE_GL!I55+'SE-EGM-GL'!I55</f>
        <v>-16554717.08</v>
      </c>
      <c r="J55" s="81">
        <f>+BGC_GL!J55+'SE-LRC-GL'!J55+NE_GL!J55+'SE-EGM-GL'!J55</f>
        <v>0</v>
      </c>
      <c r="K55" s="82">
        <f>+BGC_GL!K55+'SE-LRC-GL'!K55+NE_GL!K55+'SE-EGM-GL'!K55</f>
        <v>481773.21</v>
      </c>
      <c r="L55" s="81">
        <f>+BGC_GL!L55+'SE-LRC-GL'!L55+NE_GL!L55+'SE-EGM-GL'!L55</f>
        <v>0</v>
      </c>
      <c r="M55" s="82">
        <f>+BGC_GL!M55+'SE-LRC-GL'!M55+NE_GL!M55+'SE-EGM-GL'!M55</f>
        <v>36742.78</v>
      </c>
      <c r="N55" s="81">
        <f>+BGC_GL!N55+'SE-LRC-GL'!N55+NE_GL!N55+'SE-EGM-GL'!N55</f>
        <v>0</v>
      </c>
      <c r="O55" s="82">
        <f>+BGC_GL!O55+'SE-LRC-GL'!O55+NE_GL!O55+'SE-EGM-GL'!O55</f>
        <v>-9935.86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'SE-EGM-GL'!AR55+'SE-LRC-GL'!AR55</f>
        <v>0</v>
      </c>
      <c r="AK55" s="38">
        <f>'SE-EGM-GL'!AS55+'SE-LRC-GL'!AS55</f>
        <v>0</v>
      </c>
      <c r="AL55" s="60">
        <f>'SE-EGM-GL'!AT55+'SE-LRC-GL'!AT55</f>
        <v>0</v>
      </c>
      <c r="AM55" s="38">
        <f>'SE-EGM-GL'!AU55+'SE-LRC-GL'!AU55</f>
        <v>0</v>
      </c>
    </row>
    <row r="56" spans="1:39" x14ac:dyDescent="0.2">
      <c r="A56" s="9"/>
      <c r="B56" s="7" t="s">
        <v>61</v>
      </c>
      <c r="C56" s="6"/>
      <c r="D56" s="61">
        <f>SUM(D54:D55)</f>
        <v>-66722296</v>
      </c>
      <c r="E56" s="39">
        <f>SUM(E54:E55)</f>
        <v>-17847785.600000001</v>
      </c>
      <c r="F56" s="61">
        <f t="shared" ref="F56:AD56" si="22">SUM(F54:F55)</f>
        <v>0</v>
      </c>
      <c r="G56" s="39">
        <f t="shared" si="22"/>
        <v>638345.11</v>
      </c>
      <c r="H56" s="61">
        <f t="shared" ref="H56:O56" si="23">SUM(H54:H55)</f>
        <v>-67859916</v>
      </c>
      <c r="I56" s="39">
        <f t="shared" si="23"/>
        <v>-19521331.990000002</v>
      </c>
      <c r="J56" s="61">
        <f t="shared" si="23"/>
        <v>1022707</v>
      </c>
      <c r="K56" s="39">
        <f t="shared" si="23"/>
        <v>1106958.07</v>
      </c>
      <c r="L56" s="61">
        <f t="shared" si="23"/>
        <v>37468</v>
      </c>
      <c r="M56" s="39">
        <f t="shared" si="23"/>
        <v>20486.37</v>
      </c>
      <c r="N56" s="61">
        <f t="shared" si="23"/>
        <v>77445</v>
      </c>
      <c r="O56" s="39">
        <f t="shared" si="23"/>
        <v>-92243.16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ref="AE56:AK56" si="24">SUM(AE54:AE55)</f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3059641</v>
      </c>
      <c r="I59" s="68">
        <f>+BGC_GL!I59+'SE-LRC-GL'!I59+NE_GL!I59+'SE-EGM-GL'!I59</f>
        <v>140794.28</v>
      </c>
      <c r="J59" s="64">
        <f>+BGC_GL!J59+'SE-LRC-GL'!J59+NE_GL!J59+'SE-EGM-GL'!J59</f>
        <v>-330860</v>
      </c>
      <c r="K59" s="68">
        <f>+BGC_GL!K59+'SE-LRC-GL'!K59+NE_GL!K59+'SE-EGM-GL'!K59</f>
        <v>-1737.81</v>
      </c>
      <c r="L59" s="64">
        <f>+BGC_GL!L59+'SE-LRC-GL'!L59+NE_GL!L59+'SE-EGM-GL'!L59</f>
        <v>0</v>
      </c>
      <c r="M59" s="68">
        <f>+BGC_GL!M59+'SE-LRC-GL'!M59+NE_GL!M59+'SE-EGM-GL'!M59</f>
        <v>0</v>
      </c>
      <c r="N59" s="64">
        <f>+BGC_GL!N59+'SE-LRC-GL'!N59+NE_GL!N59+'SE-EGM-GL'!N59</f>
        <v>0</v>
      </c>
      <c r="O59" s="68">
        <f>+BGC_GL!O59+'SE-LRC-GL'!O59+NE_GL!O59+'SE-EGM-GL'!O59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'SE-EGM-GL'!AR59+'SE-LRC-GL'!AR59</f>
        <v>0</v>
      </c>
      <c r="AK59" s="38">
        <f>'SE-EGM-GL'!AS59+'SE-LRC-GL'!AS59</f>
        <v>0</v>
      </c>
      <c r="AL59" s="60">
        <f>'SE-EGM-GL'!AT59+'SE-LRC-GL'!AT59</f>
        <v>0</v>
      </c>
      <c r="AM59" s="38">
        <f>'SE-EGM-GL'!AU59+'SE-LRC-GL'!AU59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81">
        <f>+BGC_GL!L60+'SE-LRC-GL'!L60+NE_GL!L60+'SE-EGM-GL'!L60</f>
        <v>0</v>
      </c>
      <c r="M60" s="82">
        <f>+BGC_GL!M60+'SE-LRC-GL'!M60+NE_GL!M60+'SE-EGM-GL'!M60</f>
        <v>0</v>
      </c>
      <c r="N60" s="81">
        <f>+BGC_GL!N60+'SE-LRC-GL'!N60+NE_GL!N60+'SE-EGM-GL'!N60</f>
        <v>0</v>
      </c>
      <c r="O60" s="82">
        <f>+BGC_GL!O60+'SE-LRC-GL'!O60+NE_GL!O60+'SE-EGM-GL'!O60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'SE-EGM-GL'!AR60+'SE-LRC-GL'!AR60</f>
        <v>0</v>
      </c>
      <c r="AK60" s="38">
        <f>'SE-EGM-GL'!AS60+'SE-LRC-GL'!AS60</f>
        <v>0</v>
      </c>
      <c r="AL60" s="60">
        <f>'SE-EGM-GL'!AT60+'SE-LRC-GL'!AT60</f>
        <v>0</v>
      </c>
      <c r="AM60" s="38">
        <f>'SE-EGM-GL'!AU60+'SE-LRC-GL'!AU60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25">SUM(F59:F60)</f>
        <v>0</v>
      </c>
      <c r="G61" s="39">
        <f t="shared" si="25"/>
        <v>0</v>
      </c>
      <c r="H61" s="61">
        <f t="shared" ref="H61:O61" si="26">SUM(H59:H60)</f>
        <v>3059641</v>
      </c>
      <c r="I61" s="39">
        <f t="shared" si="26"/>
        <v>140794.28</v>
      </c>
      <c r="J61" s="61">
        <f t="shared" si="26"/>
        <v>-330860</v>
      </c>
      <c r="K61" s="39">
        <f t="shared" si="26"/>
        <v>-1737.81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ref="AE61:AK61" si="27">SUM(AE59:AE60)</f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64">
        <f>+BGC_GL!F64+'SE-LRC-GL'!F64+NE_GL!F64+'SE-EGM-GL'!F64</f>
        <v>0</v>
      </c>
      <c r="G64" s="68">
        <f>+BGC_GL!G64+'SE-LRC-GL'!G64+NE_GL!G64+'SE-EGM-GL'!G64</f>
        <v>0</v>
      </c>
      <c r="H64" s="64">
        <f>+BGC_GL!H64+'SE-LRC-GL'!H64+NE_GL!H64+'SE-EGM-GL'!H64</f>
        <v>0</v>
      </c>
      <c r="I64" s="68">
        <f>+BGC_GL!I64+'SE-LRC-GL'!I64+NE_GL!I64+'SE-EGM-GL'!I64</f>
        <v>0</v>
      </c>
      <c r="J64" s="64">
        <f>+BGC_GL!J64+'SE-LRC-GL'!J64+NE_GL!J64+'SE-EGM-GL'!J64</f>
        <v>-24844693</v>
      </c>
      <c r="K64" s="68">
        <f>+BGC_GL!K64+'SE-LRC-GL'!K64+NE_GL!K64+'SE-EGM-GL'!K64</f>
        <v>-2382164.67</v>
      </c>
      <c r="L64" s="64">
        <f>+BGC_GL!L64+'SE-LRC-GL'!L64+NE_GL!L64+'SE-EGM-GL'!L64</f>
        <v>0</v>
      </c>
      <c r="M64" s="68">
        <f>+BGC_GL!M64+'SE-LRC-GL'!M64+NE_GL!M64+'SE-EGM-GL'!M64</f>
        <v>0</v>
      </c>
      <c r="N64" s="64">
        <f>+BGC_GL!N64+'SE-LRC-GL'!N64+NE_GL!N64+'SE-EGM-GL'!N64</f>
        <v>0</v>
      </c>
      <c r="O64" s="68">
        <f>+BGC_GL!O64+'SE-LRC-GL'!O64+NE_GL!O64+'SE-EGM-GL'!O64</f>
        <v>0</v>
      </c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81">
        <f>+BGC_GL!F65+'SE-LRC-GL'!F65+NE_GL!F65+'SE-EGM-GL'!F65</f>
        <v>0</v>
      </c>
      <c r="G65" s="82">
        <f>+BGC_GL!G65+'SE-LRC-GL'!G65+NE_GL!G65+'SE-EGM-GL'!G65</f>
        <v>-170000</v>
      </c>
      <c r="H65" s="81">
        <f>+BGC_GL!H65+'SE-LRC-GL'!H65+NE_GL!H65+'SE-EGM-GL'!H65</f>
        <v>0</v>
      </c>
      <c r="I65" s="82">
        <f>+BGC_GL!I65+'SE-LRC-GL'!I65+NE_GL!I65+'SE-EGM-GL'!I65</f>
        <v>170000</v>
      </c>
      <c r="J65" s="81">
        <f>+BGC_GL!J65+'SE-LRC-GL'!J65+NE_GL!J65+'SE-EGM-GL'!J65</f>
        <v>23625389</v>
      </c>
      <c r="K65" s="82">
        <f>+BGC_GL!K65+'SE-LRC-GL'!K65+NE_GL!K65+'SE-EGM-GL'!K65</f>
        <v>2382164.67</v>
      </c>
      <c r="L65" s="81">
        <f>+BGC_GL!L65+'SE-LRC-GL'!L65+NE_GL!L65+'SE-EGM-GL'!L65</f>
        <v>0</v>
      </c>
      <c r="M65" s="82">
        <f>+BGC_GL!M65+'SE-LRC-GL'!M65+NE_GL!M65+'SE-EGM-GL'!M65</f>
        <v>0</v>
      </c>
      <c r="N65" s="81">
        <f>+BGC_GL!N65+'SE-LRC-GL'!N65+NE_GL!N65+'SE-EGM-GL'!N65</f>
        <v>0</v>
      </c>
      <c r="O65" s="82">
        <f>+BGC_GL!O65+'SE-LRC-GL'!O65+NE_GL!O65+'SE-EGM-GL'!O65</f>
        <v>0</v>
      </c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-170000</v>
      </c>
      <c r="H66" s="61">
        <f t="shared" ref="H66:O66" si="29">SUM(H64:H65)</f>
        <v>0</v>
      </c>
      <c r="I66" s="39">
        <f t="shared" si="29"/>
        <v>170000</v>
      </c>
      <c r="J66" s="61">
        <f t="shared" si="29"/>
        <v>-1219304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ref="AE66:AK66" si="30">SUM(AE64:AE65)</f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-11917327.85</v>
      </c>
      <c r="F70" s="64">
        <f>+BGC_GL!F70+'SE-LRC-GL'!F70+NE_GL!F70+'SE-EGM-GL'!F70</f>
        <v>0</v>
      </c>
      <c r="G70" s="68">
        <f>+BGC_GL!G70+'SE-LRC-GL'!G70+NE_GL!G70+'SE-EGM-GL'!G70</f>
        <v>-1157673.8500000001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4">
        <f>+BGC_GL!L70+'SE-LRC-GL'!L70+NE_GL!L70+'SE-EGM-GL'!L70</f>
        <v>0</v>
      </c>
      <c r="M70" s="68">
        <f>+BGC_GL!M70+'SE-LRC-GL'!M70+NE_GL!M70+'SE-EGM-GL'!M70</f>
        <v>-10759654</v>
      </c>
      <c r="N70" s="64">
        <f>+BGC_GL!N70+'SE-LRC-GL'!N70+NE_GL!N70+'SE-EGM-GL'!N70</f>
        <v>0</v>
      </c>
      <c r="O70" s="68">
        <f>+BGC_GL!O70+'SE-LRC-GL'!O70+NE_GL!O70+'SE-EGM-GL'!O70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'SE-EGM-GL'!AR70+'SE-LRC-GL'!AR70</f>
        <v>0</v>
      </c>
      <c r="AK70" s="38">
        <f>'SE-EGM-GL'!AS70+'SE-LRC-GL'!AS70</f>
        <v>0</v>
      </c>
      <c r="AL70" s="60">
        <f>'SE-EGM-GL'!AT70+'SE-LRC-GL'!AT70</f>
        <v>0</v>
      </c>
      <c r="AM70" s="38">
        <f>'SE-EGM-GL'!AU70+'SE-LRC-GL'!AU70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81">
        <f>+BGC_GL!N71+'SE-LRC-GL'!N71+NE_GL!N71+'SE-EGM-GL'!N71</f>
        <v>0</v>
      </c>
      <c r="O71" s="82">
        <f>+BGC_GL!O71+'SE-LRC-GL'!O71+NE_GL!O71+'SE-EGM-GL'!O71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'SE-EGM-GL'!AR71+'SE-LRC-GL'!AR71</f>
        <v>0</v>
      </c>
      <c r="AK71" s="38">
        <f>'SE-EGM-GL'!AS71+'SE-LRC-GL'!AS71</f>
        <v>0</v>
      </c>
      <c r="AL71" s="60">
        <f>'SE-EGM-GL'!AT71+'SE-LRC-GL'!AT71</f>
        <v>0</v>
      </c>
      <c r="AM71" s="38">
        <f>'SE-EGM-GL'!AU71+'SE-LRC-GL'!AU71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-11917327.85</v>
      </c>
      <c r="F72" s="61">
        <f t="shared" ref="F72:AD72" si="31">SUM(F70:F71)</f>
        <v>0</v>
      </c>
      <c r="G72" s="39">
        <f t="shared" si="31"/>
        <v>-1157673.8500000001</v>
      </c>
      <c r="H72" s="61">
        <f t="shared" ref="H72:O72" si="32">SUM(H70:H71)</f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-10759654</v>
      </c>
      <c r="N72" s="61">
        <f t="shared" si="32"/>
        <v>0</v>
      </c>
      <c r="O72" s="39">
        <f t="shared" si="32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ref="AE72:AK72" si="33">SUM(AE70:AE71)</f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+BGC_GL!N73+'SE-LRC-GL'!N73+NE_GL!N73+'SE-EGM-GL'!N73</f>
        <v>0</v>
      </c>
      <c r="O73" s="168">
        <f>+BGC_GL!O73+'SE-LRC-GL'!O73+NE_GL!O73+'SE-EGM-GL'!O73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'SE-EGM-GL'!AR73+'SE-LRC-GL'!AR73</f>
        <v>0</v>
      </c>
      <c r="AK73" s="38">
        <f>'SE-EGM-GL'!AS73+'SE-LRC-GL'!AS73</f>
        <v>0</v>
      </c>
      <c r="AL73" s="60">
        <f>'SE-EGM-GL'!AT73+'SE-LRC-GL'!AT73</f>
        <v>0</v>
      </c>
      <c r="AM73" s="38">
        <f>'SE-EGM-GL'!AU73+'SE-LRC-GL'!AU73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13034492</v>
      </c>
      <c r="F74" s="60">
        <f>+BGC_GL!F74+'SE-LRC-GL'!F74+NE_GL!F74+'SE-EGM-GL'!F74</f>
        <v>0</v>
      </c>
      <c r="G74" s="60">
        <f>+BGC_GL!G74+'SE-LRC-GL'!G74+NE_GL!G74+'SE-EGM-GL'!G74</f>
        <v>9319951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3714541</v>
      </c>
      <c r="N74" s="60">
        <f>+BGC_GL!N74+'SE-LRC-GL'!N74+NE_GL!N74+'SE-EGM-GL'!N74</f>
        <v>0</v>
      </c>
      <c r="O74" s="169">
        <f>+BGC_GL!O74+'SE-LRC-GL'!O74+NE_GL!O74+'SE-EGM-GL'!O74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'SE-EGM-GL'!AR74+'SE-LRC-GL'!AR74</f>
        <v>0</v>
      </c>
      <c r="AK74" s="38">
        <f>'SE-EGM-GL'!AS74+'SE-LRC-GL'!AS74</f>
        <v>0</v>
      </c>
      <c r="AL74" s="60">
        <f>'SE-EGM-GL'!AT74+'SE-LRC-GL'!AT74</f>
        <v>0</v>
      </c>
      <c r="AM74" s="38">
        <f>'SE-EGM-GL'!AU74+'SE-LRC-GL'!AU74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191500</v>
      </c>
      <c r="F75" s="60">
        <f>+BGC_GL!F75+'SE-LRC-GL'!F75+NE_GL!F75+'SE-EGM-GL'!F75</f>
        <v>0</v>
      </c>
      <c r="G75" s="60">
        <f>+BGC_GL!G75+'SE-LRC-GL'!G75+NE_GL!G75+'SE-EGM-GL'!G75</f>
        <v>191500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+BGC_GL!N75+'SE-LRC-GL'!N75+NE_GL!N75+'SE-EGM-GL'!N75</f>
        <v>0</v>
      </c>
      <c r="O75" s="169">
        <f>+BGC_GL!O75+'SE-LRC-GL'!O75+NE_GL!O75+'SE-EGM-GL'!O75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'SE-EGM-GL'!AR75+'SE-LRC-GL'!AR75</f>
        <v>0</v>
      </c>
      <c r="AK75" s="38">
        <f>'SE-EGM-GL'!AS75+'SE-LRC-GL'!AS75</f>
        <v>0</v>
      </c>
      <c r="AL75" s="60">
        <f>'SE-EGM-GL'!AT75+'SE-LRC-GL'!AT75</f>
        <v>0</v>
      </c>
      <c r="AM75" s="38">
        <f>'SE-EGM-GL'!AU75+'SE-LRC-GL'!AU75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-217667.54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-100</v>
      </c>
      <c r="J76" s="60">
        <f>+BGC_GL!J76+'SE-LRC-GL'!J76+NE_GL!J76+'SE-EGM-GL'!J76</f>
        <v>0</v>
      </c>
      <c r="K76" s="169">
        <f>+BGC_GL!K76+'SE-LRC-GL'!K76+NE_GL!K76+'SE-EGM-GL'!K76</f>
        <v>-217567.54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+BGC_GL!N76+'SE-LRC-GL'!N76+NE_GL!N76+'SE-EGM-GL'!N76</f>
        <v>0</v>
      </c>
      <c r="O76" s="169">
        <f>+BGC_GL!O76+'SE-LRC-GL'!O76+NE_GL!O76+'SE-EGM-GL'!O76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'SE-EGM-GL'!AR76+'SE-LRC-GL'!AR76</f>
        <v>0</v>
      </c>
      <c r="AK76" s="38">
        <f>'SE-EGM-GL'!AS76+'SE-LRC-GL'!AS76</f>
        <v>0</v>
      </c>
      <c r="AL76" s="60">
        <f>'SE-EGM-GL'!AT76+'SE-LRC-GL'!AT76</f>
        <v>0</v>
      </c>
      <c r="AM76" s="38">
        <f>'SE-EGM-GL'!AU76+'SE-LRC-GL'!AU76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+BGC_GL!N77+'SE-LRC-GL'!N77+NE_GL!N77+'SE-EGM-GL'!N77</f>
        <v>0</v>
      </c>
      <c r="O77" s="169">
        <f>+BGC_GL!O77+'SE-LRC-GL'!O77+NE_GL!O77+'SE-EGM-GL'!O77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'SE-EGM-GL'!AR77+'SE-LRC-GL'!AR77</f>
        <v>0</v>
      </c>
      <c r="AK77" s="38">
        <f>'SE-EGM-GL'!AS77+'SE-LRC-GL'!AS77</f>
        <v>0</v>
      </c>
      <c r="AL77" s="60">
        <f>'SE-EGM-GL'!AT77+'SE-LRC-GL'!AT77</f>
        <v>0</v>
      </c>
      <c r="AM77" s="38">
        <f>'SE-EGM-GL'!AU77+'SE-LRC-GL'!AU77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+BGC_GL!N78+'SE-LRC-GL'!N78+NE_GL!N78+'SE-EGM-GL'!N78</f>
        <v>0</v>
      </c>
      <c r="O78" s="169">
        <f>+BGC_GL!O78+'SE-LRC-GL'!O78+NE_GL!O78+'SE-EGM-GL'!O78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'SE-EGM-GL'!AR78+'SE-LRC-GL'!AR78</f>
        <v>0</v>
      </c>
      <c r="AK78" s="38">
        <f>'SE-EGM-GL'!AS78+'SE-LRC-GL'!AS78</f>
        <v>0</v>
      </c>
      <c r="AL78" s="60">
        <f>'SE-EGM-GL'!AT78+'SE-LRC-GL'!AT78</f>
        <v>0</v>
      </c>
      <c r="AM78" s="38">
        <f>'SE-EGM-GL'!AU78+'SE-LRC-GL'!AU78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+BGC_GL!N79+'SE-LRC-GL'!N79+NE_GL!N79+'SE-EGM-GL'!N79</f>
        <v>0</v>
      </c>
      <c r="O79" s="169">
        <f>+BGC_GL!O79+'SE-LRC-GL'!O79+NE_GL!O79+'SE-EGM-GL'!O79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'SE-EGM-GL'!AR79+'SE-LRC-GL'!AR79</f>
        <v>0</v>
      </c>
      <c r="AK79" s="38">
        <f>'SE-EGM-GL'!AS79+'SE-LRC-GL'!AS79</f>
        <v>0</v>
      </c>
      <c r="AL79" s="60">
        <f>'SE-EGM-GL'!AT79+'SE-LRC-GL'!AT79</f>
        <v>0</v>
      </c>
      <c r="AM79" s="38">
        <f>'SE-EGM-GL'!AU79+'SE-LRC-GL'!AU79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+BGC_GL!N80+'SE-LRC-GL'!N80+NE_GL!N80+'SE-EGM-GL'!N80</f>
        <v>0</v>
      </c>
      <c r="O80" s="169">
        <f>+BGC_GL!O80+'SE-LRC-GL'!O80+NE_GL!O80+'SE-EGM-GL'!O80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'SE-EGM-GL'!AR80+'SE-LRC-GL'!AR80</f>
        <v>0</v>
      </c>
      <c r="AK80" s="38">
        <f>'SE-EGM-GL'!AS80+'SE-LRC-GL'!AS80</f>
        <v>0</v>
      </c>
      <c r="AL80" s="60">
        <f>'SE-EGM-GL'!AT80+'SE-LRC-GL'!AT80</f>
        <v>0</v>
      </c>
      <c r="AM80" s="38">
        <f>'SE-EGM-GL'!AU80+'SE-LRC-GL'!AU80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646621.32999999996</v>
      </c>
      <c r="F81" s="60">
        <f>+BGC_GL!F81+'SE-LRC-GL'!F81+NE_GL!F81+'SE-EGM-GL'!F81</f>
        <v>0</v>
      </c>
      <c r="G81" s="60">
        <f>+BGC_GL!G81+'SE-LRC-GL'!G81+NE_GL!G81+'SE-EGM-GL'!G81</f>
        <v>54411</v>
      </c>
      <c r="H81" s="60">
        <f>+BGC_GL!H81+'SE-LRC-GL'!H81+NE_GL!H81+'SE-EGM-GL'!H81</f>
        <v>0</v>
      </c>
      <c r="I81" s="60">
        <f>+BGC_GL!I81+'SE-LRC-GL'!I81+NE_GL!I81+'SE-EGM-GL'!I81</f>
        <v>386552.33</v>
      </c>
      <c r="J81" s="60">
        <f>+BGC_GL!J81+'SE-LRC-GL'!J81+NE_GL!J81+'SE-EGM-GL'!J81</f>
        <v>0</v>
      </c>
      <c r="K81" s="170">
        <f>+BGC_GL!K81+'SE-LRC-GL'!K81+NE_GL!K81+'SE-EGM-GL'!K81</f>
        <v>52966.8</v>
      </c>
      <c r="L81" s="60">
        <f>+BGC_GL!L81+'SE-LRC-GL'!L81+NE_GL!L81+'SE-EGM-GL'!L81</f>
        <v>0</v>
      </c>
      <c r="M81" s="170">
        <f>+BGC_GL!M81+'SE-LRC-GL'!M81+NE_GL!M81+'SE-EGM-GL'!M81</f>
        <v>152520</v>
      </c>
      <c r="N81" s="60">
        <f>+BGC_GL!N81+'SE-LRC-GL'!N81+NE_GL!N81+'SE-EGM-GL'!N81</f>
        <v>0</v>
      </c>
      <c r="O81" s="170">
        <f>+BGC_GL!O81+'SE-LRC-GL'!O81+NE_GL!O81+'SE-EGM-GL'!O81</f>
        <v>171.2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'SE-EGM-GL'!AR81+'SE-LRC-GL'!AR81</f>
        <v>0</v>
      </c>
      <c r="AK81" s="38">
        <f>'SE-EGM-GL'!AS81+'SE-LRC-GL'!AS81</f>
        <v>0</v>
      </c>
      <c r="AL81" s="60">
        <f>'SE-EGM-GL'!AT81+'SE-LRC-GL'!AT81</f>
        <v>0</v>
      </c>
      <c r="AM81" s="38">
        <f>'SE-EGM-GL'!AU81+'SE-LRC-GL'!AU81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-4263914.5590000385</v>
      </c>
      <c r="F82" s="92">
        <f>F16+F24+F29+F36+F43+F45+F47+F49</f>
        <v>0</v>
      </c>
      <c r="G82" s="93">
        <f>SUM(G72:G81)+G16+G24+G29+G36+G43+G45+G47+G49+G51+G56+G61+G66</f>
        <v>-3362859.560000001</v>
      </c>
      <c r="H82" s="92">
        <f>H16+H24+H29+H36+H43+H45+H47+H49</f>
        <v>0</v>
      </c>
      <c r="I82" s="93">
        <f>SUM(I72:I81)+I16+I24+I29+I36+I43+I45+I47+I49+I51+I56+I61+I66</f>
        <v>201479.21999991566</v>
      </c>
      <c r="J82" s="92">
        <f>J16+J24+J29+J36+J43+J45+J47+J49</f>
        <v>0</v>
      </c>
      <c r="K82" s="93">
        <f>SUM(K72:K81)+K16+K24+K29+K36+K43+K45+K47+K49+K51+K56+K61+K66</f>
        <v>-4223956.3689999999</v>
      </c>
      <c r="L82" s="92">
        <f>L16+L24+L29+L36+L43+L45+L47+L49</f>
        <v>0</v>
      </c>
      <c r="M82" s="93">
        <f>SUM(M72:M81)+M16+M24+M29+M36+M43+M45+M47+M49+M51+M56+M61+M66</f>
        <v>-5511746.7389999991</v>
      </c>
      <c r="N82" s="92">
        <f>N16+N24+N29+N36+N43+N45+N47+N49</f>
        <v>0</v>
      </c>
      <c r="O82" s="93">
        <f>SUM(O72:O81)+O16+O24+O29+O36+O43+O45+O47+O49+O51+O56+O61+O66</f>
        <v>8650735.4850000013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G84" s="167">
        <f>+'SE-LRC-GL'!G82+'SE-EGM-GL'!G82+NE_GL!G82+BGC_GL!G82</f>
        <v>-3362859.5600000005</v>
      </c>
      <c r="I84" s="167">
        <f>+'SE-LRC-GL'!I82+'SE-EGM-GL'!I82+NE_GL!I82+BGC_GL!I82</f>
        <v>201479.21999998717</v>
      </c>
      <c r="K84" s="167">
        <f>+'SE-LRC-GL'!K82+'SE-EGM-GL'!K82+NE_GL!K82+BGC_GL!K82</f>
        <v>-4223956.3689999999</v>
      </c>
      <c r="M84" s="167">
        <f>+'SE-LRC-GL'!M82+'SE-EGM-GL'!M82+NE_GL!M82+BGC_GL!M82</f>
        <v>-5511746.7390000019</v>
      </c>
      <c r="O84" s="167">
        <f>+'SE-LRC-GL'!O82+'SE-EGM-GL'!O82+NE_GL!O82+BGC_GL!O82</f>
        <v>8650735.4849999994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2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W187"/>
  <sheetViews>
    <sheetView zoomScale="75" workbookViewId="0">
      <pane xSplit="3" ySplit="9" topLeftCell="AE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21629865</v>
      </c>
      <c r="E11" s="38">
        <f t="shared" si="0"/>
        <v>49223532.759999998</v>
      </c>
      <c r="F11" s="60">
        <f>'TIE-OUT'!R11+RECLASS!R11</f>
        <v>0</v>
      </c>
      <c r="G11" s="38">
        <f>'TIE-OUT'!S11+RECLASS!S11</f>
        <v>0</v>
      </c>
      <c r="H11" s="133">
        <f>+Actuals!E244</f>
        <v>21873027</v>
      </c>
      <c r="I11" s="134">
        <f>+Actuals!F244</f>
        <v>47994885.359999999</v>
      </c>
      <c r="J11" s="133">
        <f>+Actuals!G244+211234</f>
        <v>-4174145</v>
      </c>
      <c r="K11" s="153">
        <f>+Actuals!H244+377062</f>
        <v>-7040324.7500000019</v>
      </c>
      <c r="L11" s="133">
        <f>+Actuals!I244</f>
        <v>2594120</v>
      </c>
      <c r="M11" s="134">
        <f>+Actuals!J244</f>
        <v>3327467.3</v>
      </c>
      <c r="N11" s="133">
        <f>+Actuals!K244</f>
        <v>-205247</v>
      </c>
      <c r="O11" s="134">
        <f>+Actuals!L244</f>
        <v>528072.98</v>
      </c>
      <c r="P11" s="133">
        <f>+Actuals!M244</f>
        <v>1557936</v>
      </c>
      <c r="Q11" s="134">
        <f>+Actuals!N244</f>
        <v>4504481.83</v>
      </c>
      <c r="R11" s="133">
        <f>+Actuals!O244</f>
        <v>14</v>
      </c>
      <c r="S11" s="134">
        <f>+Actuals!P244</f>
        <v>-1088.17</v>
      </c>
      <c r="T11" s="133">
        <f>+Actuals!Q244</f>
        <v>-28641</v>
      </c>
      <c r="U11" s="134">
        <f>+Actuals!R244</f>
        <v>-76964.259999999995</v>
      </c>
      <c r="V11" s="133">
        <f>+Actuals!S244</f>
        <v>15500</v>
      </c>
      <c r="W11" s="134">
        <f>+Actuals!T244</f>
        <v>-29895.93</v>
      </c>
      <c r="X11" s="133">
        <f>+Actuals!U244</f>
        <v>3309</v>
      </c>
      <c r="Y11" s="134">
        <f>+Actuals!V244</f>
        <v>13959.57</v>
      </c>
      <c r="Z11" s="133">
        <f>+Actuals!W244</f>
        <v>-20246</v>
      </c>
      <c r="AA11" s="134">
        <f>+Actuals!X244</f>
        <v>-6972.58</v>
      </c>
      <c r="AB11" s="133">
        <f>+Actuals!Y244</f>
        <v>13142</v>
      </c>
      <c r="AC11" s="134">
        <f>+Actuals!Z244</f>
        <v>7815.92</v>
      </c>
      <c r="AD11" s="133">
        <f>+Actuals!AA244</f>
        <v>-20000</v>
      </c>
      <c r="AE11" s="134">
        <f>+Actuals!AB244</f>
        <v>-33850</v>
      </c>
      <c r="AF11" s="133">
        <f>+Actuals!AC444</f>
        <v>20000</v>
      </c>
      <c r="AG11" s="134">
        <f>+Actuals!AD444</f>
        <v>33850</v>
      </c>
      <c r="AH11" s="133">
        <f>+Actuals!AE444</f>
        <v>0</v>
      </c>
      <c r="AI11" s="134">
        <f>+Actuals!AF444</f>
        <v>0</v>
      </c>
      <c r="AJ11" s="133">
        <f>+Actuals!AG444</f>
        <v>-3904</v>
      </c>
      <c r="AK11" s="134">
        <f>+Actuals!AH444</f>
        <v>-8404.51</v>
      </c>
      <c r="AL11" s="133">
        <f>+Actuals!AI444</f>
        <v>5000</v>
      </c>
      <c r="AM11" s="134">
        <f>+Actuals!AJ444</f>
        <v>10500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-13286761.860000001</v>
      </c>
      <c r="F12" s="60">
        <f>'TIE-OUT'!R12+RECLASS!R12</f>
        <v>0</v>
      </c>
      <c r="G12" s="38">
        <f>'TIE-OUT'!S12+RECLASS!S12</f>
        <v>-13286761.860000001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'TIE-OUT'!R13+RECLASS!R13</f>
        <v>0</v>
      </c>
      <c r="G13" s="38">
        <f>'TIE-OUT'!S13+RECLASS!S13</f>
        <v>0</v>
      </c>
      <c r="H13" s="133">
        <f>+Actuals!E246-32532470</f>
        <v>5503413</v>
      </c>
      <c r="I13" s="134">
        <f>+Actuals!F246-59535002</f>
        <v>9717449</v>
      </c>
      <c r="J13" s="133">
        <f>+Actuals!G246</f>
        <v>0</v>
      </c>
      <c r="K13" s="153">
        <f>+Actuals!H246</f>
        <v>0</v>
      </c>
      <c r="L13" s="133">
        <f>+Actuals!I246</f>
        <v>0</v>
      </c>
      <c r="M13" s="134">
        <f>+Actuals!J246</f>
        <v>0</v>
      </c>
      <c r="N13" s="133">
        <f>+Actuals!K246</f>
        <v>-563127</v>
      </c>
      <c r="O13" s="134">
        <f>+Actuals!L246</f>
        <v>-987233</v>
      </c>
      <c r="P13" s="133">
        <f>+Actuals!M246</f>
        <v>-15405</v>
      </c>
      <c r="Q13" s="134">
        <f>+Actuals!N246</f>
        <v>8261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0</v>
      </c>
      <c r="W13" s="134">
        <f>+Actuals!T246</f>
        <v>0</v>
      </c>
      <c r="X13" s="133">
        <f>+Actuals!U246</f>
        <v>0</v>
      </c>
      <c r="Y13" s="134">
        <f>+Actuals!V246</f>
        <v>0</v>
      </c>
      <c r="Z13" s="133">
        <f>+Actuals!W246</f>
        <v>2570465</v>
      </c>
      <c r="AA13" s="134">
        <f>+Actuals!X246</f>
        <v>4646111</v>
      </c>
      <c r="AB13" s="133">
        <f>+Actuals!Y246</f>
        <v>2630465</v>
      </c>
      <c r="AC13" s="134">
        <f>+Actuals!Z246</f>
        <v>4752911</v>
      </c>
      <c r="AD13" s="133">
        <f>+Actuals!AA246</f>
        <v>-4622398</v>
      </c>
      <c r="AE13" s="134">
        <f>+Actuals!AB246</f>
        <v>-8420050</v>
      </c>
      <c r="AF13" s="133">
        <f>+Actuals!AC446</f>
        <v>4622398</v>
      </c>
      <c r="AG13" s="134">
        <f>+Actuals!AD446</f>
        <v>8420050</v>
      </c>
      <c r="AH13" s="133">
        <f>+Actuals!AE446</f>
        <v>0</v>
      </c>
      <c r="AI13" s="134">
        <f>+Actuals!AF446</f>
        <v>0</v>
      </c>
      <c r="AJ13" s="133">
        <f>+Actuals!AG446</f>
        <v>-4622398</v>
      </c>
      <c r="AK13" s="134">
        <f>+Actuals!AH446</f>
        <v>-8420050</v>
      </c>
      <c r="AL13" s="133">
        <f>+Actuals!AI446</f>
        <v>0</v>
      </c>
      <c r="AM13" s="134">
        <f>+Actuals!AJ446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27133278</v>
      </c>
      <c r="E16" s="39">
        <f t="shared" si="1"/>
        <v>45654219.899999999</v>
      </c>
      <c r="F16" s="61">
        <f t="shared" si="1"/>
        <v>0</v>
      </c>
      <c r="G16" s="39">
        <f t="shared" si="1"/>
        <v>-13286761.860000001</v>
      </c>
      <c r="H16" s="61">
        <f t="shared" si="1"/>
        <v>27376440</v>
      </c>
      <c r="I16" s="39">
        <f t="shared" si="1"/>
        <v>57712334.359999999</v>
      </c>
      <c r="J16" s="61">
        <f t="shared" si="1"/>
        <v>-4174145</v>
      </c>
      <c r="K16" s="154">
        <f t="shared" si="1"/>
        <v>-7040324.7500000019</v>
      </c>
      <c r="L16" s="61">
        <f t="shared" si="1"/>
        <v>2594120</v>
      </c>
      <c r="M16" s="39">
        <f t="shared" si="1"/>
        <v>3327467.3</v>
      </c>
      <c r="N16" s="61">
        <f t="shared" si="1"/>
        <v>-768374</v>
      </c>
      <c r="O16" s="39">
        <f t="shared" si="1"/>
        <v>-459160.02</v>
      </c>
      <c r="P16" s="61">
        <f t="shared" si="1"/>
        <v>1542531</v>
      </c>
      <c r="Q16" s="39">
        <f t="shared" si="1"/>
        <v>4512742.83</v>
      </c>
      <c r="R16" s="61">
        <f t="shared" si="1"/>
        <v>14</v>
      </c>
      <c r="S16" s="39">
        <f t="shared" si="1"/>
        <v>-1088.17</v>
      </c>
      <c r="T16" s="61">
        <f t="shared" si="1"/>
        <v>-28641</v>
      </c>
      <c r="U16" s="39">
        <f t="shared" si="1"/>
        <v>-76964.259999999995</v>
      </c>
      <c r="V16" s="61">
        <f t="shared" si="1"/>
        <v>15500</v>
      </c>
      <c r="W16" s="39">
        <f t="shared" si="1"/>
        <v>-29895.93</v>
      </c>
      <c r="X16" s="61">
        <f t="shared" si="1"/>
        <v>3309</v>
      </c>
      <c r="Y16" s="39">
        <f t="shared" si="1"/>
        <v>13959.57</v>
      </c>
      <c r="Z16" s="61">
        <f t="shared" si="1"/>
        <v>2550219</v>
      </c>
      <c r="AA16" s="39">
        <f t="shared" si="1"/>
        <v>4639138.42</v>
      </c>
      <c r="AB16" s="61">
        <f t="shared" si="1"/>
        <v>2643607</v>
      </c>
      <c r="AC16" s="39">
        <f t="shared" si="1"/>
        <v>4760726.92</v>
      </c>
      <c r="AD16" s="61">
        <f t="shared" si="1"/>
        <v>-4642398</v>
      </c>
      <c r="AE16" s="39">
        <f t="shared" si="1"/>
        <v>-8453900</v>
      </c>
      <c r="AF16" s="61">
        <f t="shared" si="1"/>
        <v>4642398</v>
      </c>
      <c r="AG16" s="39">
        <f t="shared" si="1"/>
        <v>8453900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-4626302</v>
      </c>
      <c r="AK16" s="39">
        <f t="shared" si="2"/>
        <v>-8428454.5099999998</v>
      </c>
      <c r="AL16" s="61">
        <f t="shared" si="2"/>
        <v>5000</v>
      </c>
      <c r="AM16" s="39">
        <f t="shared" si="2"/>
        <v>10500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-21107005</v>
      </c>
      <c r="E19" s="38">
        <f t="shared" si="3"/>
        <v>-44022337.370000005</v>
      </c>
      <c r="F19" s="64">
        <f>'TIE-OUT'!R19+RECLASS!R19</f>
        <v>0</v>
      </c>
      <c r="G19" s="68">
        <f>'TIE-OUT'!S19+RECLASS!S19</f>
        <v>0</v>
      </c>
      <c r="H19" s="133">
        <f>+Actuals!E249</f>
        <v>-26201129</v>
      </c>
      <c r="I19" s="134">
        <f>+Actuals!F249</f>
        <v>-45793373.869999997</v>
      </c>
      <c r="J19" s="133">
        <f>+Actuals!G249-79000-17500</f>
        <v>19247883</v>
      </c>
      <c r="K19" s="153">
        <f>+Actuals!H249-147730-30908</f>
        <v>1994304.87</v>
      </c>
      <c r="L19" s="133">
        <f>+Actuals!I249</f>
        <v>-12814376</v>
      </c>
      <c r="M19" s="134">
        <f>+Actuals!J249</f>
        <v>8700615.5</v>
      </c>
      <c r="N19" s="133">
        <f>+Actuals!K249</f>
        <v>-296</v>
      </c>
      <c r="O19" s="134">
        <f>+Actuals!L249</f>
        <v>-345.21</v>
      </c>
      <c r="P19" s="133">
        <f>+Actuals!M249</f>
        <v>-1526669</v>
      </c>
      <c r="Q19" s="134">
        <f>+Actuals!N249</f>
        <v>-2592084.7400000002</v>
      </c>
      <c r="R19" s="133">
        <f>+Actuals!O249</f>
        <v>20000</v>
      </c>
      <c r="S19" s="134">
        <f>+Actuals!P249</f>
        <v>35301.21</v>
      </c>
      <c r="T19" s="133">
        <f>+Actuals!Q249</f>
        <v>-3928</v>
      </c>
      <c r="U19" s="134">
        <f>+Actuals!R249</f>
        <v>-6791634.7400000002</v>
      </c>
      <c r="V19" s="133">
        <f>+Actuals!S249</f>
        <v>243</v>
      </c>
      <c r="W19" s="134">
        <f>+Actuals!T249</f>
        <v>120229.03</v>
      </c>
      <c r="X19" s="133">
        <f>+Actuals!U249</f>
        <v>-20381</v>
      </c>
      <c r="Y19" s="134">
        <f>+Actuals!V249</f>
        <v>-33177.56</v>
      </c>
      <c r="Z19" s="133">
        <f>+Actuals!W249</f>
        <v>0</v>
      </c>
      <c r="AA19" s="134">
        <f>+Actuals!X249</f>
        <v>-0.01</v>
      </c>
      <c r="AB19" s="133">
        <f>+Actuals!Y249</f>
        <v>6270</v>
      </c>
      <c r="AC19" s="134">
        <f>+Actuals!Z249</f>
        <v>10564.95</v>
      </c>
      <c r="AD19" s="133">
        <f>+Actuals!AA249</f>
        <v>176883</v>
      </c>
      <c r="AE19" s="134">
        <f>+Actuals!AB249</f>
        <v>312482.90000000002</v>
      </c>
      <c r="AF19" s="133">
        <f>+Actuals!AC449</f>
        <v>0</v>
      </c>
      <c r="AG19" s="134">
        <f>+Actuals!AD449</f>
        <v>0</v>
      </c>
      <c r="AH19" s="133">
        <f>+Actuals!AE449</f>
        <v>-669</v>
      </c>
      <c r="AI19" s="134">
        <f>+Actuals!AF449</f>
        <v>-1157.3800000000001</v>
      </c>
      <c r="AJ19" s="133">
        <f>+Actuals!AG449</f>
        <v>9164</v>
      </c>
      <c r="AK19" s="134">
        <f>+Actuals!AH449</f>
        <v>15937.68</v>
      </c>
      <c r="AL19" s="133">
        <f>+Actuals!AI449</f>
        <v>0</v>
      </c>
      <c r="AM19" s="134">
        <f>+Actuals!AJ449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2318937.2800000003</v>
      </c>
      <c r="F20" s="60">
        <f>'TIE-OUT'!R20+RECLASS!R20</f>
        <v>0</v>
      </c>
      <c r="G20" s="38">
        <f>'TIE-OUT'!S20+RECLASS!S20</f>
        <v>2442937.2800000003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65">
        <f>+Actuals!X250-124000</f>
        <v>-124000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  <c r="AL20" s="133">
        <f>+Actuals!AI450</f>
        <v>0</v>
      </c>
      <c r="AM20" s="165"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-4169082</v>
      </c>
      <c r="E21" s="38">
        <f t="shared" si="3"/>
        <v>-7317489</v>
      </c>
      <c r="F21" s="60">
        <f>'TIE-OUT'!R21+RECLASS!R21</f>
        <v>0</v>
      </c>
      <c r="G21" s="38">
        <f>'TIE-OUT'!S21+RECLASS!S21</f>
        <v>0</v>
      </c>
      <c r="H21" s="133">
        <f>+Actuals!E251+32532470</f>
        <v>-4169082</v>
      </c>
      <c r="I21" s="134">
        <f>+Actuals!F251+59535002</f>
        <v>-7317489</v>
      </c>
      <c r="J21" s="133">
        <f>+Actuals!G251</f>
        <v>0</v>
      </c>
      <c r="K21" s="153">
        <f>+Actuals!H251</f>
        <v>0</v>
      </c>
      <c r="L21" s="133">
        <f>+Actuals!I251</f>
        <v>0</v>
      </c>
      <c r="M21" s="134">
        <f>+Actuals!J251</f>
        <v>0</v>
      </c>
      <c r="N21" s="133">
        <f>+Actuals!K251</f>
        <v>-890</v>
      </c>
      <c r="O21" s="134">
        <f>+Actuals!L251</f>
        <v>-1416</v>
      </c>
      <c r="P21" s="133">
        <f>+Actuals!M251</f>
        <v>15405</v>
      </c>
      <c r="Q21" s="134">
        <f>+Actuals!N251</f>
        <v>23646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0</v>
      </c>
      <c r="Y21" s="134">
        <f>+Actuals!V251</f>
        <v>0</v>
      </c>
      <c r="Z21" s="133">
        <f>+Actuals!W251</f>
        <v>-2570465</v>
      </c>
      <c r="AA21" s="134">
        <f>+Actuals!X251</f>
        <v>-4646111</v>
      </c>
      <c r="AB21" s="133">
        <f>+Actuals!Y251</f>
        <v>-2630465</v>
      </c>
      <c r="AC21" s="134">
        <f>+Actuals!Z251</f>
        <v>-4752911</v>
      </c>
      <c r="AD21" s="133">
        <f>+Actuals!AA251</f>
        <v>5186415</v>
      </c>
      <c r="AE21" s="134">
        <f>+Actuals!AB251</f>
        <v>9376792</v>
      </c>
      <c r="AF21" s="133">
        <f>+Actuals!AC451</f>
        <v>-5186415</v>
      </c>
      <c r="AG21" s="134">
        <f>+Actuals!AD451</f>
        <v>-9376792</v>
      </c>
      <c r="AH21" s="133">
        <f>+Actuals!AE451</f>
        <v>0</v>
      </c>
      <c r="AI21" s="134">
        <f>+Actuals!AF451</f>
        <v>0</v>
      </c>
      <c r="AJ21" s="133">
        <f>+Actuals!AG451</f>
        <v>5186415</v>
      </c>
      <c r="AK21" s="134">
        <f>+Actuals!AH451</f>
        <v>9376792</v>
      </c>
      <c r="AL21" s="133">
        <f>+Actuals!AI451</f>
        <v>0</v>
      </c>
      <c r="AM21" s="134">
        <f>+Actuals!AJ451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9031</v>
      </c>
      <c r="E23" s="38">
        <f t="shared" si="3"/>
        <v>15492.084000000001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8455</v>
      </c>
      <c r="K23" s="153">
        <f>+Actuals!H253</f>
        <v>14500</v>
      </c>
      <c r="L23" s="133">
        <f>+Actuals!I253</f>
        <v>-46</v>
      </c>
      <c r="M23" s="134">
        <f>+Actuals!J253</f>
        <v>-79</v>
      </c>
      <c r="N23" s="133">
        <f>+Actuals!K253</f>
        <v>600</v>
      </c>
      <c r="O23" s="134">
        <f>+Actuals!L253</f>
        <v>1033.2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22</v>
      </c>
      <c r="AM23" s="134">
        <f>+Actuals!AJ453</f>
        <v>37.884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-25267056</v>
      </c>
      <c r="E24" s="39">
        <f t="shared" si="4"/>
        <v>-49005397.006000005</v>
      </c>
      <c r="F24" s="61">
        <f t="shared" si="4"/>
        <v>0</v>
      </c>
      <c r="G24" s="39">
        <f t="shared" si="4"/>
        <v>2442937.2800000003</v>
      </c>
      <c r="H24" s="61">
        <f t="shared" si="4"/>
        <v>-30370211</v>
      </c>
      <c r="I24" s="39">
        <f t="shared" si="4"/>
        <v>-53110862.869999997</v>
      </c>
      <c r="J24" s="61">
        <f t="shared" si="4"/>
        <v>19256338</v>
      </c>
      <c r="K24" s="154">
        <f t="shared" si="4"/>
        <v>2008804.87</v>
      </c>
      <c r="L24" s="61">
        <f t="shared" si="4"/>
        <v>-12814422</v>
      </c>
      <c r="M24" s="39">
        <f t="shared" si="4"/>
        <v>8700536.5</v>
      </c>
      <c r="N24" s="61">
        <f t="shared" si="4"/>
        <v>-586</v>
      </c>
      <c r="O24" s="39">
        <f t="shared" si="4"/>
        <v>-728.01</v>
      </c>
      <c r="P24" s="61">
        <f t="shared" si="4"/>
        <v>-1511264</v>
      </c>
      <c r="Q24" s="39">
        <f t="shared" si="4"/>
        <v>-2568438.7400000002</v>
      </c>
      <c r="R24" s="61">
        <f t="shared" si="4"/>
        <v>20000</v>
      </c>
      <c r="S24" s="39">
        <f t="shared" si="4"/>
        <v>35301.21</v>
      </c>
      <c r="T24" s="61">
        <f t="shared" si="4"/>
        <v>-3928</v>
      </c>
      <c r="U24" s="39">
        <f t="shared" si="4"/>
        <v>-6791634.7400000002</v>
      </c>
      <c r="V24" s="61">
        <f t="shared" si="4"/>
        <v>243</v>
      </c>
      <c r="W24" s="39">
        <f t="shared" si="4"/>
        <v>120229.03</v>
      </c>
      <c r="X24" s="61">
        <f t="shared" si="4"/>
        <v>-20381</v>
      </c>
      <c r="Y24" s="39">
        <f t="shared" si="4"/>
        <v>-33177.56</v>
      </c>
      <c r="Z24" s="61">
        <f t="shared" si="4"/>
        <v>-2570465</v>
      </c>
      <c r="AA24" s="39">
        <f t="shared" si="4"/>
        <v>-4770111.01</v>
      </c>
      <c r="AB24" s="61">
        <f t="shared" si="4"/>
        <v>-2624195</v>
      </c>
      <c r="AC24" s="39">
        <f t="shared" si="4"/>
        <v>-4742346.05</v>
      </c>
      <c r="AD24" s="61">
        <f t="shared" si="4"/>
        <v>5363298</v>
      </c>
      <c r="AE24" s="39">
        <f t="shared" si="4"/>
        <v>9689274.9000000004</v>
      </c>
      <c r="AF24" s="61">
        <f t="shared" si="4"/>
        <v>-5186415</v>
      </c>
      <c r="AG24" s="39">
        <f t="shared" si="4"/>
        <v>-9376792</v>
      </c>
      <c r="AH24" s="61">
        <f t="shared" ref="AH24:AM24" si="5">SUM(AH19:AH23)</f>
        <v>-669</v>
      </c>
      <c r="AI24" s="39">
        <f t="shared" si="5"/>
        <v>-1157.3800000000001</v>
      </c>
      <c r="AJ24" s="61">
        <f t="shared" si="5"/>
        <v>5195579</v>
      </c>
      <c r="AK24" s="39">
        <f t="shared" si="5"/>
        <v>9392729.6799999997</v>
      </c>
      <c r="AL24" s="61">
        <f t="shared" si="5"/>
        <v>22</v>
      </c>
      <c r="AM24" s="39">
        <f t="shared" si="5"/>
        <v>37.884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8657001</v>
      </c>
      <c r="E27" s="38">
        <f>SUM(G27,I27,K27,M27,O27,Q27,S27,U27,W27,Y27,AA27,AC27,AE27,AG27,AI27,AK27,AM27)</f>
        <v>15409461.42</v>
      </c>
      <c r="F27" s="64">
        <f>'TIE-OUT'!R27+RECLASS!R27</f>
        <v>0</v>
      </c>
      <c r="G27" s="68">
        <f>'TIE-OUT'!S27+RECLASS!S27</f>
        <v>0</v>
      </c>
      <c r="H27" s="133">
        <f>+Actuals!E254</f>
        <v>1609485</v>
      </c>
      <c r="I27" s="134">
        <f>+Actuals!F254</f>
        <v>2864883</v>
      </c>
      <c r="J27" s="133">
        <f>+Actuals!G254</f>
        <v>6972030</v>
      </c>
      <c r="K27" s="153">
        <f>+Actuals!H254</f>
        <v>12410213.359999999</v>
      </c>
      <c r="L27" s="133">
        <f>+Actuals!I254</f>
        <v>-81916</v>
      </c>
      <c r="M27" s="134">
        <f>+Actuals!J254</f>
        <v>-145810.65</v>
      </c>
      <c r="N27" s="133">
        <f>+Actuals!K254</f>
        <v>0</v>
      </c>
      <c r="O27" s="134">
        <f>+Actuals!L254</f>
        <v>0.21</v>
      </c>
      <c r="P27" s="133">
        <f>+Actuals!M254</f>
        <v>382767</v>
      </c>
      <c r="Q27" s="134">
        <f>+Actuals!N254</f>
        <v>681325.26</v>
      </c>
      <c r="R27" s="133">
        <f>+Actuals!O254</f>
        <v>-45488</v>
      </c>
      <c r="S27" s="134">
        <f>+Actuals!P254</f>
        <v>-80968.639999999999</v>
      </c>
      <c r="T27" s="133">
        <f>+Actuals!Q254</f>
        <v>3913</v>
      </c>
      <c r="U27" s="134">
        <f>+Actuals!R254</f>
        <v>6966</v>
      </c>
      <c r="V27" s="133">
        <f>+Actuals!S254</f>
        <v>-22786</v>
      </c>
      <c r="W27" s="134">
        <f>+Actuals!T254</f>
        <v>-40560</v>
      </c>
      <c r="X27" s="133">
        <f>+Actuals!U254</f>
        <v>16016</v>
      </c>
      <c r="Y27" s="134">
        <f>+Actuals!V254</f>
        <v>28508.48</v>
      </c>
      <c r="Z27" s="133">
        <f>+Actuals!W254</f>
        <v>25218</v>
      </c>
      <c r="AA27" s="134">
        <f>+Actuals!X254</f>
        <v>44888.04</v>
      </c>
      <c r="AB27" s="133">
        <f>+Actuals!Y254</f>
        <v>-6270</v>
      </c>
      <c r="AC27" s="134">
        <f>+Actuals!Z254</f>
        <v>-11160.6</v>
      </c>
      <c r="AD27" s="133">
        <f>+Actuals!AA254</f>
        <v>-20000</v>
      </c>
      <c r="AE27" s="134">
        <f>+Actuals!AB254</f>
        <v>-35600</v>
      </c>
      <c r="AF27" s="133">
        <f>+Actuals!AC454</f>
        <v>0</v>
      </c>
      <c r="AG27" s="134">
        <f>+Actuals!AD454</f>
        <v>0</v>
      </c>
      <c r="AH27" s="133">
        <f>+Actuals!AE454</f>
        <v>669</v>
      </c>
      <c r="AI27" s="134">
        <f>+Actuals!AF454</f>
        <v>1190.82</v>
      </c>
      <c r="AJ27" s="133">
        <f>+Actuals!AG454</f>
        <v>-176637</v>
      </c>
      <c r="AK27" s="134">
        <f>+Actuals!AH454</f>
        <v>-314413.86</v>
      </c>
      <c r="AL27" s="133">
        <f>+Actuals!AI454</f>
        <v>0</v>
      </c>
      <c r="AM27" s="134">
        <f>+Actuals!AJ454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-3153510</v>
      </c>
      <c r="E28" s="38">
        <f>SUM(G28,I28,K28,M28,O28,Q28,S28,U28,W28,Y28,AA28,AC28,AE28,AG28,AI28,AK28,AM28)</f>
        <v>1334245.2999999998</v>
      </c>
      <c r="F28" s="81">
        <f>'TIE-OUT'!R28+RECLASS!R28</f>
        <v>0</v>
      </c>
      <c r="G28" s="82">
        <f>'TIE-OUT'!S28+RECLASS!S28</f>
        <v>0</v>
      </c>
      <c r="H28" s="133">
        <f>+Actuals!E255</f>
        <v>-3833468</v>
      </c>
      <c r="I28" s="134">
        <f>+Actuals!F255</f>
        <v>-6784903</v>
      </c>
      <c r="J28" s="133">
        <f>+Actuals!G255</f>
        <v>-17568089</v>
      </c>
      <c r="K28" s="153">
        <f>+Actuals!H255</f>
        <v>-8520348.3000000007</v>
      </c>
      <c r="L28" s="133">
        <f>+Actuals!I255</f>
        <v>12726239</v>
      </c>
      <c r="M28" s="134">
        <f>+Actuals!J255</f>
        <v>26662.38</v>
      </c>
      <c r="N28" s="133">
        <f>+Actuals!K255</f>
        <v>-84156</v>
      </c>
      <c r="O28" s="134">
        <f>+Actuals!L255</f>
        <v>-150684.48000000001</v>
      </c>
      <c r="P28" s="133">
        <f>+Actuals!M255</f>
        <v>5591083</v>
      </c>
      <c r="Q28" s="134">
        <f>+Actuals!N255</f>
        <v>9952127.7400000002</v>
      </c>
      <c r="R28" s="133">
        <f>+Actuals!O255</f>
        <v>0</v>
      </c>
      <c r="S28" s="134">
        <f>+Actuals!P255</f>
        <v>0</v>
      </c>
      <c r="T28" s="133">
        <f>+Actuals!Q255</f>
        <v>-144183</v>
      </c>
      <c r="U28" s="134">
        <f>+Actuals!R255</f>
        <v>6528258</v>
      </c>
      <c r="V28" s="133">
        <f>+Actuals!S255</f>
        <v>154132</v>
      </c>
      <c r="W28" s="134">
        <f>+Actuals!T255</f>
        <v>274354</v>
      </c>
      <c r="X28" s="133">
        <f>+Actuals!U255</f>
        <v>0</v>
      </c>
      <c r="Y28" s="134">
        <f>+Actuals!V255</f>
        <v>0</v>
      </c>
      <c r="Z28" s="133">
        <f>+Actuals!W255</f>
        <v>0</v>
      </c>
      <c r="AA28" s="134">
        <f>+Actuals!X255</f>
        <v>0</v>
      </c>
      <c r="AB28" s="133">
        <f>+Actuals!Y255</f>
        <v>4551</v>
      </c>
      <c r="AC28" s="134">
        <f>+Actuals!Z255</f>
        <v>8100.78</v>
      </c>
      <c r="AD28" s="133">
        <f>+Actuals!AA255</f>
        <v>0</v>
      </c>
      <c r="AE28" s="134">
        <f>+Actuals!AB255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  <c r="AJ28" s="133">
        <f>+Actuals!AG455</f>
        <v>381</v>
      </c>
      <c r="AK28" s="134">
        <f>+Actuals!AH455</f>
        <v>678.18</v>
      </c>
      <c r="AL28" s="133">
        <f>+Actuals!AI455</f>
        <v>0</v>
      </c>
      <c r="AM28" s="134">
        <f>+Actuals!AJ455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5503491</v>
      </c>
      <c r="E29" s="39">
        <f t="shared" si="6"/>
        <v>16743706.719999999</v>
      </c>
      <c r="F29" s="61">
        <f t="shared" si="6"/>
        <v>0</v>
      </c>
      <c r="G29" s="39">
        <f t="shared" si="6"/>
        <v>0</v>
      </c>
      <c r="H29" s="61">
        <f t="shared" si="6"/>
        <v>-2223983</v>
      </c>
      <c r="I29" s="39">
        <f t="shared" si="6"/>
        <v>-3920020</v>
      </c>
      <c r="J29" s="61">
        <f t="shared" si="6"/>
        <v>-10596059</v>
      </c>
      <c r="K29" s="154">
        <f t="shared" si="6"/>
        <v>3889865.0599999987</v>
      </c>
      <c r="L29" s="61">
        <f t="shared" si="6"/>
        <v>12644323</v>
      </c>
      <c r="M29" s="39">
        <f t="shared" si="6"/>
        <v>-119148.26999999999</v>
      </c>
      <c r="N29" s="61">
        <f t="shared" si="6"/>
        <v>-84156</v>
      </c>
      <c r="O29" s="39">
        <f t="shared" si="6"/>
        <v>-150684.27000000002</v>
      </c>
      <c r="P29" s="61">
        <f t="shared" si="6"/>
        <v>5973850</v>
      </c>
      <c r="Q29" s="39">
        <f t="shared" si="6"/>
        <v>10633453</v>
      </c>
      <c r="R29" s="61">
        <f t="shared" si="6"/>
        <v>-45488</v>
      </c>
      <c r="S29" s="39">
        <f t="shared" si="6"/>
        <v>-80968.639999999999</v>
      </c>
      <c r="T29" s="61">
        <f t="shared" si="6"/>
        <v>-140270</v>
      </c>
      <c r="U29" s="39">
        <f t="shared" si="6"/>
        <v>6535224</v>
      </c>
      <c r="V29" s="61">
        <f t="shared" si="6"/>
        <v>131346</v>
      </c>
      <c r="W29" s="39">
        <f t="shared" si="6"/>
        <v>233794</v>
      </c>
      <c r="X29" s="61">
        <f t="shared" si="6"/>
        <v>16016</v>
      </c>
      <c r="Y29" s="39">
        <f t="shared" si="6"/>
        <v>28508.48</v>
      </c>
      <c r="Z29" s="61">
        <f t="shared" si="6"/>
        <v>25218</v>
      </c>
      <c r="AA29" s="39">
        <f t="shared" si="6"/>
        <v>44888.04</v>
      </c>
      <c r="AB29" s="61">
        <f t="shared" si="6"/>
        <v>-1719</v>
      </c>
      <c r="AC29" s="39">
        <f t="shared" si="6"/>
        <v>-3059.8200000000006</v>
      </c>
      <c r="AD29" s="61">
        <f t="shared" si="6"/>
        <v>-20000</v>
      </c>
      <c r="AE29" s="39">
        <f t="shared" si="6"/>
        <v>-35600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669</v>
      </c>
      <c r="AI29" s="39">
        <f t="shared" si="7"/>
        <v>1190.82</v>
      </c>
      <c r="AJ29" s="61">
        <f t="shared" si="7"/>
        <v>-176256</v>
      </c>
      <c r="AK29" s="39">
        <f t="shared" si="7"/>
        <v>-313735.67999999999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179107</v>
      </c>
      <c r="E32" s="38">
        <f t="shared" si="8"/>
        <v>308422.49600000004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-2669</v>
      </c>
      <c r="K32" s="153">
        <f>+Actuals!H256</f>
        <v>-4577</v>
      </c>
      <c r="L32" s="133">
        <f>+Actuals!I256</f>
        <v>-26529</v>
      </c>
      <c r="M32" s="134">
        <f>+Actuals!J256</f>
        <v>-45498</v>
      </c>
      <c r="N32" s="133">
        <f>+Actuals!K256</f>
        <v>-145467</v>
      </c>
      <c r="O32" s="134">
        <f>+Actuals!L256</f>
        <v>-267465.96999999997</v>
      </c>
      <c r="P32" s="133">
        <f>+Actuals!M256</f>
        <v>0</v>
      </c>
      <c r="Q32" s="134">
        <f>+Actuals!N256</f>
        <v>16767.84</v>
      </c>
      <c r="R32" s="133">
        <f>+Actuals!O256</f>
        <v>167570</v>
      </c>
      <c r="S32" s="134">
        <f>+Actuals!P256</f>
        <v>285298.93</v>
      </c>
      <c r="T32" s="133">
        <f>+Actuals!Q256</f>
        <v>14</v>
      </c>
      <c r="U32" s="134">
        <f>+Actuals!R256</f>
        <v>31.5</v>
      </c>
      <c r="V32" s="133">
        <f>+Actuals!S256</f>
        <v>-257</v>
      </c>
      <c r="W32" s="134">
        <f>+Actuals!T256</f>
        <v>-870.33500000000004</v>
      </c>
      <c r="X32" s="133">
        <f>+Actuals!U256</f>
        <v>86</v>
      </c>
      <c r="Y32" s="134">
        <f>+Actuals!V256</f>
        <v>388.36</v>
      </c>
      <c r="Z32" s="133">
        <f>+Actuals!W256</f>
        <v>-6924</v>
      </c>
      <c r="AA32" s="134">
        <f>+Actuals!X256</f>
        <v>-11742.77</v>
      </c>
      <c r="AB32" s="133">
        <f>+Actuals!Y256</f>
        <v>166559</v>
      </c>
      <c r="AC32" s="134">
        <f>+Actuals!Z256</f>
        <v>286814.603</v>
      </c>
      <c r="AD32" s="133">
        <f>+Actuals!AA256</f>
        <v>-156883</v>
      </c>
      <c r="AE32" s="134">
        <f>+Actuals!AB256</f>
        <v>-270152.52600000001</v>
      </c>
      <c r="AF32" s="133">
        <f>+Actuals!AC456</f>
        <v>0</v>
      </c>
      <c r="AG32" s="134">
        <f>+Actuals!AD456</f>
        <v>0</v>
      </c>
      <c r="AH32" s="133">
        <f>+Actuals!AE456</f>
        <v>7095</v>
      </c>
      <c r="AI32" s="134">
        <f>+Actuals!AF456</f>
        <v>15474.2</v>
      </c>
      <c r="AJ32" s="133">
        <f>+Actuals!AG456</f>
        <v>-103</v>
      </c>
      <c r="AK32" s="134">
        <f>+Actuals!AH456</f>
        <v>-177.36600000000001</v>
      </c>
      <c r="AL32" s="133">
        <f>+Actuals!AI456</f>
        <v>176615</v>
      </c>
      <c r="AM32" s="134">
        <f>+Actuals!AJ456</f>
        <v>304131.03000000003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179107</v>
      </c>
      <c r="E36" s="39">
        <f t="shared" si="9"/>
        <v>308422.50600000005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0.01</v>
      </c>
      <c r="J36" s="61">
        <f t="shared" si="9"/>
        <v>-2669</v>
      </c>
      <c r="K36" s="154">
        <f t="shared" si="9"/>
        <v>-4577</v>
      </c>
      <c r="L36" s="61">
        <f t="shared" si="9"/>
        <v>-26529</v>
      </c>
      <c r="M36" s="39">
        <f t="shared" si="9"/>
        <v>-45498</v>
      </c>
      <c r="N36" s="61">
        <f t="shared" si="9"/>
        <v>-145467</v>
      </c>
      <c r="O36" s="39">
        <f t="shared" si="9"/>
        <v>-267465.96999999997</v>
      </c>
      <c r="P36" s="61">
        <f t="shared" si="9"/>
        <v>0</v>
      </c>
      <c r="Q36" s="39">
        <f t="shared" si="9"/>
        <v>16767.84</v>
      </c>
      <c r="R36" s="61">
        <f t="shared" si="9"/>
        <v>167570</v>
      </c>
      <c r="S36" s="39">
        <f t="shared" si="9"/>
        <v>285298.93</v>
      </c>
      <c r="T36" s="61">
        <f t="shared" si="9"/>
        <v>14</v>
      </c>
      <c r="U36" s="39">
        <f t="shared" si="9"/>
        <v>31.5</v>
      </c>
      <c r="V36" s="61">
        <f t="shared" si="9"/>
        <v>-257</v>
      </c>
      <c r="W36" s="39">
        <f t="shared" si="9"/>
        <v>-870.33500000000004</v>
      </c>
      <c r="X36" s="61">
        <f t="shared" si="9"/>
        <v>86</v>
      </c>
      <c r="Y36" s="39">
        <f t="shared" si="9"/>
        <v>388.36</v>
      </c>
      <c r="Z36" s="61">
        <f t="shared" si="9"/>
        <v>-6924</v>
      </c>
      <c r="AA36" s="39">
        <f t="shared" si="9"/>
        <v>-11742.77</v>
      </c>
      <c r="AB36" s="61">
        <f t="shared" si="9"/>
        <v>166559</v>
      </c>
      <c r="AC36" s="39">
        <f t="shared" si="9"/>
        <v>286814.603</v>
      </c>
      <c r="AD36" s="61">
        <f t="shared" si="9"/>
        <v>-156883</v>
      </c>
      <c r="AE36" s="39">
        <f t="shared" si="9"/>
        <v>-270152.52600000001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7095</v>
      </c>
      <c r="AI36" s="39">
        <f t="shared" si="10"/>
        <v>15474.2</v>
      </c>
      <c r="AJ36" s="61">
        <f t="shared" si="10"/>
        <v>-103</v>
      </c>
      <c r="AK36" s="39">
        <f t="shared" si="10"/>
        <v>-177.36600000000001</v>
      </c>
      <c r="AL36" s="61">
        <f t="shared" si="10"/>
        <v>176615</v>
      </c>
      <c r="AM36" s="39">
        <f t="shared" si="10"/>
        <v>304131.03000000003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-19500</v>
      </c>
      <c r="E39" s="38">
        <f t="shared" si="11"/>
        <v>-34706.400000000001</v>
      </c>
      <c r="F39" s="64">
        <f>'TIE-OUT'!R39+RECLASS!R39</f>
        <v>0</v>
      </c>
      <c r="G39" s="68">
        <f>'TIE-OUT'!S39+RECLASS!S39</f>
        <v>0</v>
      </c>
      <c r="H39" s="133">
        <f>+Actuals!E260</f>
        <v>5774754</v>
      </c>
      <c r="I39" s="134">
        <f>+Actuals!F260</f>
        <v>10299274</v>
      </c>
      <c r="J39" s="133">
        <f>+Actuals!G260</f>
        <v>-5774754</v>
      </c>
      <c r="K39" s="153">
        <f>+Actuals!H260</f>
        <v>-10299274</v>
      </c>
      <c r="L39" s="133">
        <f>+Actuals!I260</f>
        <v>-18900</v>
      </c>
      <c r="M39" s="134">
        <f>+Actuals!J260</f>
        <v>-33642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  <c r="AJ39" s="133">
        <f>+Actuals!AG460</f>
        <v>-600</v>
      </c>
      <c r="AK39" s="134">
        <f>+Actuals!AH460</f>
        <v>-1064.4000000000001</v>
      </c>
      <c r="AL39" s="133">
        <f>+Actuals!AI460</f>
        <v>0</v>
      </c>
      <c r="AM39" s="134">
        <f>+Actuals!AJ460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-7025305</v>
      </c>
      <c r="E40" s="38">
        <f t="shared" si="11"/>
        <v>-13639229.249999998</v>
      </c>
      <c r="F40" s="60">
        <f>'TIE-OUT'!R40+RECLASS!R40</f>
        <v>0</v>
      </c>
      <c r="G40" s="38">
        <f>'TIE-OUT'!S40+RECLASS!S40</f>
        <v>0</v>
      </c>
      <c r="H40" s="133">
        <f>+Actuals!E261</f>
        <v>-560000</v>
      </c>
      <c r="I40" s="134">
        <f>+Actuals!F261</f>
        <v>-993440</v>
      </c>
      <c r="J40" s="133">
        <f>+Actuals!G261</f>
        <v>18900</v>
      </c>
      <c r="K40" s="153">
        <f>+Actuals!H261</f>
        <v>33528.6</v>
      </c>
      <c r="L40" s="133">
        <f>+Actuals!I261</f>
        <v>0</v>
      </c>
      <c r="M40" s="134">
        <f>+Actuals!J261</f>
        <v>0</v>
      </c>
      <c r="N40" s="133">
        <f>+Actuals!K261</f>
        <v>-833120</v>
      </c>
      <c r="O40" s="134">
        <f>+Actuals!L261</f>
        <v>-0.01</v>
      </c>
      <c r="P40" s="133">
        <f>+Actuals!M261</f>
        <v>-5615217</v>
      </c>
      <c r="Q40" s="134">
        <f>+Actuals!N261</f>
        <v>-12401366.24</v>
      </c>
      <c r="R40" s="133">
        <f>+Actuals!O261</f>
        <v>23534</v>
      </c>
      <c r="S40" s="134">
        <f>+Actuals!P261</f>
        <v>46149.09</v>
      </c>
      <c r="T40" s="133">
        <f>+Actuals!Q261</f>
        <v>600</v>
      </c>
      <c r="U40" s="134">
        <f>+Actuals!R261</f>
        <v>644846.47</v>
      </c>
      <c r="V40" s="133">
        <f>+Actuals!S261</f>
        <v>6988</v>
      </c>
      <c r="W40" s="134">
        <f>+Actuals!T261</f>
        <v>100774.21</v>
      </c>
      <c r="X40" s="133">
        <f>+Actuals!U261</f>
        <v>-6450</v>
      </c>
      <c r="Y40" s="134">
        <f>+Actuals!V261</f>
        <v>-11714.87</v>
      </c>
      <c r="Z40" s="133">
        <f>+Actuals!W261</f>
        <v>0</v>
      </c>
      <c r="AA40" s="134">
        <f>+Actuals!X261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-950605.3</v>
      </c>
      <c r="AF40" s="133">
        <f>+Actuals!AC461</f>
        <v>-60000</v>
      </c>
      <c r="AG40" s="134">
        <f>+Actuals!AD461</f>
        <v>-106440</v>
      </c>
      <c r="AH40" s="133">
        <f>+Actuals!AE461</f>
        <v>0</v>
      </c>
      <c r="AI40" s="134">
        <f>+Actuals!AF461</f>
        <v>0</v>
      </c>
      <c r="AJ40" s="133">
        <f>+Actuals!AG461</f>
        <v>-540</v>
      </c>
      <c r="AK40" s="134">
        <f>+Actuals!AH461</f>
        <v>-961.2</v>
      </c>
      <c r="AL40" s="133">
        <f>+Actuals!AI461</f>
        <v>0</v>
      </c>
      <c r="AM40" s="134">
        <f>+Actuals!AJ461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1371134</v>
      </c>
      <c r="F41" s="81">
        <f>'TIE-OUT'!R41+RECLASS!R41</f>
        <v>0</v>
      </c>
      <c r="G41" s="82">
        <f>'TIE-OUT'!S41+RECLASS!S41</f>
        <v>1155722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65">
        <f>+Actuals!X262-1694950</f>
        <v>-1694950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34">
        <f>+Actuals!AF462</f>
        <v>0</v>
      </c>
      <c r="AJ41" s="133">
        <f>+Actuals!AG462</f>
        <v>0</v>
      </c>
      <c r="AK41" s="172">
        <f>+Actuals!AH462+1694950+215412</f>
        <v>1910362</v>
      </c>
      <c r="AL41" s="133">
        <f>+Actuals!AI462</f>
        <v>0</v>
      </c>
      <c r="AM41" s="172">
        <f>+Actuals!AJ462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-7025305</v>
      </c>
      <c r="E42" s="39">
        <f t="shared" si="12"/>
        <v>-12268095.249999998</v>
      </c>
      <c r="F42" s="61">
        <f t="shared" si="12"/>
        <v>0</v>
      </c>
      <c r="G42" s="39">
        <f t="shared" si="12"/>
        <v>1155722</v>
      </c>
      <c r="H42" s="61">
        <f t="shared" si="12"/>
        <v>-560000</v>
      </c>
      <c r="I42" s="39">
        <f t="shared" si="12"/>
        <v>-993440</v>
      </c>
      <c r="J42" s="61">
        <f t="shared" si="12"/>
        <v>18900</v>
      </c>
      <c r="K42" s="154">
        <f t="shared" si="12"/>
        <v>33528.6</v>
      </c>
      <c r="L42" s="61">
        <f t="shared" si="12"/>
        <v>0</v>
      </c>
      <c r="M42" s="39">
        <f t="shared" si="12"/>
        <v>0</v>
      </c>
      <c r="N42" s="61">
        <f t="shared" si="12"/>
        <v>-833120</v>
      </c>
      <c r="O42" s="39">
        <f t="shared" si="12"/>
        <v>-0.01</v>
      </c>
      <c r="P42" s="61">
        <f t="shared" si="12"/>
        <v>-5615217</v>
      </c>
      <c r="Q42" s="39">
        <f t="shared" si="12"/>
        <v>-12401366.24</v>
      </c>
      <c r="R42" s="61">
        <f t="shared" si="12"/>
        <v>23534</v>
      </c>
      <c r="S42" s="39">
        <f t="shared" si="12"/>
        <v>46149.09</v>
      </c>
      <c r="T42" s="61">
        <f t="shared" si="12"/>
        <v>600</v>
      </c>
      <c r="U42" s="39">
        <f t="shared" si="12"/>
        <v>644846.47</v>
      </c>
      <c r="V42" s="61">
        <f t="shared" si="12"/>
        <v>6988</v>
      </c>
      <c r="W42" s="39">
        <f t="shared" si="12"/>
        <v>100774.21</v>
      </c>
      <c r="X42" s="61">
        <f t="shared" si="12"/>
        <v>-6450</v>
      </c>
      <c r="Y42" s="39">
        <f t="shared" si="12"/>
        <v>-11714.87</v>
      </c>
      <c r="Z42" s="61">
        <f t="shared" si="12"/>
        <v>0</v>
      </c>
      <c r="AA42" s="39">
        <f t="shared" si="12"/>
        <v>-1694950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-950605.3</v>
      </c>
      <c r="AF42" s="61">
        <f t="shared" si="12"/>
        <v>-60000</v>
      </c>
      <c r="AG42" s="39">
        <f t="shared" si="12"/>
        <v>-106440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-540</v>
      </c>
      <c r="AK42" s="39">
        <f t="shared" si="13"/>
        <v>1909400.8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-7044805</v>
      </c>
      <c r="E43" s="39">
        <f t="shared" si="14"/>
        <v>-12302801.649999999</v>
      </c>
      <c r="F43" s="61">
        <f t="shared" si="14"/>
        <v>0</v>
      </c>
      <c r="G43" s="39">
        <f t="shared" si="14"/>
        <v>1155722</v>
      </c>
      <c r="H43" s="61">
        <f t="shared" si="14"/>
        <v>5214754</v>
      </c>
      <c r="I43" s="39">
        <f t="shared" si="14"/>
        <v>9305834</v>
      </c>
      <c r="J43" s="61">
        <f t="shared" si="14"/>
        <v>-5755854</v>
      </c>
      <c r="K43" s="154">
        <f t="shared" si="14"/>
        <v>-10265745.4</v>
      </c>
      <c r="L43" s="61">
        <f t="shared" si="14"/>
        <v>-18900</v>
      </c>
      <c r="M43" s="39">
        <f t="shared" si="14"/>
        <v>-33642</v>
      </c>
      <c r="N43" s="61">
        <f t="shared" si="14"/>
        <v>-833120</v>
      </c>
      <c r="O43" s="39">
        <f t="shared" si="14"/>
        <v>-0.01</v>
      </c>
      <c r="P43" s="61">
        <f t="shared" si="14"/>
        <v>-5615217</v>
      </c>
      <c r="Q43" s="39">
        <f t="shared" si="14"/>
        <v>-12401366.24</v>
      </c>
      <c r="R43" s="61">
        <f t="shared" si="14"/>
        <v>23534</v>
      </c>
      <c r="S43" s="39">
        <f t="shared" si="14"/>
        <v>46149.09</v>
      </c>
      <c r="T43" s="61">
        <f t="shared" si="14"/>
        <v>600</v>
      </c>
      <c r="U43" s="39">
        <f t="shared" si="14"/>
        <v>644846.47</v>
      </c>
      <c r="V43" s="61">
        <f t="shared" si="14"/>
        <v>6988</v>
      </c>
      <c r="W43" s="39">
        <f t="shared" si="14"/>
        <v>100774.21</v>
      </c>
      <c r="X43" s="61">
        <f t="shared" si="14"/>
        <v>-6450</v>
      </c>
      <c r="Y43" s="39">
        <f t="shared" si="14"/>
        <v>-11714.87</v>
      </c>
      <c r="Z43" s="61">
        <f t="shared" si="14"/>
        <v>0</v>
      </c>
      <c r="AA43" s="39">
        <f t="shared" si="14"/>
        <v>-1694950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-950605.3</v>
      </c>
      <c r="AF43" s="61">
        <f t="shared" si="14"/>
        <v>-60000</v>
      </c>
      <c r="AG43" s="39">
        <f t="shared" si="14"/>
        <v>-106440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-1140</v>
      </c>
      <c r="AK43" s="39">
        <f t="shared" si="15"/>
        <v>1908336.4000000001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-504015</v>
      </c>
      <c r="E49" s="38">
        <f>SUM(G49,I49,K49,M49,O49,Q49,S49,U49,W49,Y49,AA49,AC49,AE49,AG49,AI49,AK49,AM49)</f>
        <v>-868310.71999999986</v>
      </c>
      <c r="F49" s="60">
        <f>'TIE-OUT'!R49+RECLASS!R49</f>
        <v>0</v>
      </c>
      <c r="G49" s="38">
        <f>'TIE-OUT'!S49+RECLASS!S49</f>
        <v>0</v>
      </c>
      <c r="H49" s="133">
        <f>+Actuals!E265</f>
        <v>0</v>
      </c>
      <c r="I49" s="134">
        <f>+Actuals!F265</f>
        <v>0</v>
      </c>
      <c r="J49" s="133">
        <f>+Actuals!G265</f>
        <v>1272389</v>
      </c>
      <c r="K49" s="153">
        <f>+Actuals!H265</f>
        <v>2191053.858</v>
      </c>
      <c r="L49" s="133">
        <f>+Actuals!I265</f>
        <v>-2375592</v>
      </c>
      <c r="M49" s="134">
        <f>+Actuals!J265</f>
        <v>-4090769.4240000001</v>
      </c>
      <c r="N49" s="133">
        <f>+Actuals!K265</f>
        <v>1831703</v>
      </c>
      <c r="O49" s="134">
        <f>+Actuals!L265</f>
        <v>4746620.676</v>
      </c>
      <c r="P49" s="133">
        <f>+Actuals!M265</f>
        <v>-389900</v>
      </c>
      <c r="Q49" s="134">
        <f>+Actuals!N265</f>
        <v>-2264232.7999999998</v>
      </c>
      <c r="R49" s="133">
        <f>+Actuals!O265</f>
        <v>-165630</v>
      </c>
      <c r="S49" s="134">
        <f>+Actuals!P265</f>
        <v>-285214.86</v>
      </c>
      <c r="T49" s="133">
        <f>+Actuals!Q265</f>
        <v>172225</v>
      </c>
      <c r="U49" s="134">
        <f>+Actuals!R265</f>
        <v>296571.45</v>
      </c>
      <c r="V49" s="133">
        <f>+Actuals!S265</f>
        <v>-153820</v>
      </c>
      <c r="W49" s="134">
        <f>+Actuals!T265</f>
        <v>-264878.03999999998</v>
      </c>
      <c r="X49" s="133">
        <f>+Actuals!U265</f>
        <v>7420</v>
      </c>
      <c r="Y49" s="134">
        <f>+Actuals!V265</f>
        <v>12777.24</v>
      </c>
      <c r="Z49" s="133">
        <f>+Actuals!W265</f>
        <v>1952</v>
      </c>
      <c r="AA49" s="134">
        <f>+Actuals!X265</f>
        <v>3361.3440000000001</v>
      </c>
      <c r="AB49" s="133">
        <f>+Actuals!Y265</f>
        <v>-184252</v>
      </c>
      <c r="AC49" s="134">
        <f>+Actuals!Z265</f>
        <v>-317281.94400000002</v>
      </c>
      <c r="AD49" s="133">
        <f>+Actuals!AA265</f>
        <v>-544017</v>
      </c>
      <c r="AE49" s="134">
        <f>+Actuals!AB265</f>
        <v>-936797.27399999998</v>
      </c>
      <c r="AF49" s="133">
        <f>+Actuals!AC465</f>
        <v>604017</v>
      </c>
      <c r="AG49" s="134">
        <f>+Actuals!AD465</f>
        <v>1040117.274</v>
      </c>
      <c r="AH49" s="133">
        <f>+Actuals!AE465</f>
        <v>-7095</v>
      </c>
      <c r="AI49" s="134">
        <f>+Actuals!AF465</f>
        <v>-12217.59</v>
      </c>
      <c r="AJ49" s="133">
        <f>+Actuals!AG465</f>
        <v>-391778</v>
      </c>
      <c r="AK49" s="134">
        <f>+Actuals!AH465</f>
        <v>-674641.71600000001</v>
      </c>
      <c r="AL49" s="133">
        <f>+Actuals!AI465</f>
        <v>-181637</v>
      </c>
      <c r="AM49" s="134">
        <f>+Actuals!AJ465</f>
        <v>-312778.91399999999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-9031</v>
      </c>
      <c r="E51" s="38">
        <f>SUM(G51,I51,K51,M51,O51,Q51,S51,U51,W51,Y51,AA51,AC51,AE51,AG51,AI51,AK51,AM51)</f>
        <v>-15492.084000000001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-8455</v>
      </c>
      <c r="K51" s="153">
        <f>+Actuals!H266</f>
        <v>-14500</v>
      </c>
      <c r="L51" s="133">
        <f>+Actuals!I266</f>
        <v>46</v>
      </c>
      <c r="M51" s="134">
        <f>+Actuals!J266</f>
        <v>79</v>
      </c>
      <c r="N51" s="133">
        <f>+Actuals!K266</f>
        <v>-600</v>
      </c>
      <c r="O51" s="134">
        <f>+Actuals!L266</f>
        <v>-1033.2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-22</v>
      </c>
      <c r="AM51" s="134">
        <f>+Actuals!AJ466</f>
        <v>-37.884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-44930736</v>
      </c>
      <c r="E54" s="38">
        <f>SUM(G54,I54,K54,M54,O54,Q54,S54,U54,W54,Y54,AA54,AC54,AE54,AG54,AI54,AK54,AM54)</f>
        <v>-1107536.24</v>
      </c>
      <c r="F54" s="64">
        <f>'TIE-OUT'!R54+RECLASS!R54</f>
        <v>0</v>
      </c>
      <c r="G54" s="68">
        <f>'TIE-OUT'!S54+RECLASS!S54</f>
        <v>0</v>
      </c>
      <c r="H54" s="133">
        <f>+Actuals!E267</f>
        <v>-27994765</v>
      </c>
      <c r="I54" s="134">
        <f>+Actuals!F267</f>
        <v>-352978.04</v>
      </c>
      <c r="J54" s="133">
        <f>+Actuals!G267</f>
        <v>-30381175</v>
      </c>
      <c r="K54" s="153">
        <f>+Actuals!H267</f>
        <v>-254596.35</v>
      </c>
      <c r="L54" s="133">
        <f>+Actuals!I267</f>
        <v>12168436</v>
      </c>
      <c r="M54" s="134">
        <f>+Actuals!J267</f>
        <v>408625.35</v>
      </c>
      <c r="N54" s="133">
        <f>+Actuals!K267</f>
        <v>1240000</v>
      </c>
      <c r="O54" s="134">
        <f>+Actuals!L267</f>
        <v>5014.2</v>
      </c>
      <c r="P54" s="133">
        <f>+Actuals!M267</f>
        <v>-815337</v>
      </c>
      <c r="Q54" s="134">
        <f>+Actuals!N267</f>
        <v>-344724.43</v>
      </c>
      <c r="R54" s="133">
        <f>+Actuals!O267</f>
        <v>-29032</v>
      </c>
      <c r="S54" s="134">
        <f>+Actuals!P267</f>
        <v>0</v>
      </c>
      <c r="T54" s="133">
        <f>+Actuals!Q267</f>
        <v>29032</v>
      </c>
      <c r="U54" s="134">
        <f>+Actuals!R267</f>
        <v>-568246.65</v>
      </c>
      <c r="V54" s="133">
        <f>+Actuals!S267</f>
        <v>0</v>
      </c>
      <c r="W54" s="134">
        <f>+Actuals!T267</f>
        <v>330</v>
      </c>
      <c r="X54" s="133">
        <f>+Actuals!U267</f>
        <v>710453</v>
      </c>
      <c r="Y54" s="134">
        <f>+Actuals!V267</f>
        <v>-7.77</v>
      </c>
      <c r="Z54" s="133">
        <f>+Actuals!W267</f>
        <v>-28882</v>
      </c>
      <c r="AA54" s="134">
        <f>+Actuals!X267</f>
        <v>364.63</v>
      </c>
      <c r="AB54" s="133">
        <f>+Actuals!Y267</f>
        <v>0</v>
      </c>
      <c r="AC54" s="134">
        <f>+Actuals!Z267</f>
        <v>0</v>
      </c>
      <c r="AD54" s="133">
        <f>+Actuals!AA267</f>
        <v>242043</v>
      </c>
      <c r="AE54" s="134">
        <f>+Actuals!AB267</f>
        <v>1947.58</v>
      </c>
      <c r="AF54" s="133">
        <f>+Actuals!AC467</f>
        <v>-12687</v>
      </c>
      <c r="AG54" s="134">
        <f>+Actuals!AD467</f>
        <v>-2364.59</v>
      </c>
      <c r="AH54" s="133">
        <f>+Actuals!AE467</f>
        <v>-59960</v>
      </c>
      <c r="AI54" s="134">
        <f>+Actuals!AF467</f>
        <v>-1996.4</v>
      </c>
      <c r="AJ54" s="133">
        <f>+Actuals!AG467</f>
        <v>1138</v>
      </c>
      <c r="AK54" s="134">
        <f>+Actuals!AH467</f>
        <v>1096.23</v>
      </c>
      <c r="AL54" s="133">
        <f>+Actuals!AI467</f>
        <v>0</v>
      </c>
      <c r="AM54" s="134">
        <f>+Actuals!AJ467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3992658</v>
      </c>
      <c r="E55" s="38">
        <f>SUM(G55,I55,K55,M55,O55,Q55,S55,U55,W55,Y55,AA55,AC55,AE55,AG55,AI55,AK55,AM55)</f>
        <v>109928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+Actuals!S268+3992658</f>
        <v>3992658</v>
      </c>
      <c r="W55" s="134">
        <f>+Actuals!T268+109928</f>
        <v>109928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-40938078</v>
      </c>
      <c r="E56" s="39">
        <f t="shared" si="16"/>
        <v>-997608.24</v>
      </c>
      <c r="F56" s="61">
        <f t="shared" si="16"/>
        <v>0</v>
      </c>
      <c r="G56" s="39">
        <f t="shared" si="16"/>
        <v>0</v>
      </c>
      <c r="H56" s="61">
        <f t="shared" si="16"/>
        <v>-27994765</v>
      </c>
      <c r="I56" s="39">
        <f t="shared" si="16"/>
        <v>-352978.04</v>
      </c>
      <c r="J56" s="61">
        <f t="shared" si="16"/>
        <v>-30381175</v>
      </c>
      <c r="K56" s="154">
        <f t="shared" si="16"/>
        <v>-254596.35</v>
      </c>
      <c r="L56" s="61">
        <f t="shared" si="16"/>
        <v>12168436</v>
      </c>
      <c r="M56" s="39">
        <f t="shared" si="16"/>
        <v>408625.35</v>
      </c>
      <c r="N56" s="61">
        <f t="shared" si="16"/>
        <v>1240000</v>
      </c>
      <c r="O56" s="39">
        <f t="shared" si="16"/>
        <v>5014.2</v>
      </c>
      <c r="P56" s="61">
        <f t="shared" si="16"/>
        <v>-815337</v>
      </c>
      <c r="Q56" s="39">
        <f t="shared" si="16"/>
        <v>-344724.43</v>
      </c>
      <c r="R56" s="61">
        <f t="shared" si="16"/>
        <v>-29032</v>
      </c>
      <c r="S56" s="39">
        <f t="shared" si="16"/>
        <v>0</v>
      </c>
      <c r="T56" s="61">
        <f t="shared" si="16"/>
        <v>29032</v>
      </c>
      <c r="U56" s="39">
        <f t="shared" si="16"/>
        <v>-568246.65</v>
      </c>
      <c r="V56" s="61">
        <f t="shared" si="16"/>
        <v>3992658</v>
      </c>
      <c r="W56" s="39">
        <f t="shared" si="16"/>
        <v>110258</v>
      </c>
      <c r="X56" s="61">
        <f t="shared" si="16"/>
        <v>710453</v>
      </c>
      <c r="Y56" s="39">
        <f t="shared" si="16"/>
        <v>-7.77</v>
      </c>
      <c r="Z56" s="61">
        <f t="shared" si="16"/>
        <v>-28882</v>
      </c>
      <c r="AA56" s="39">
        <f t="shared" si="16"/>
        <v>364.63</v>
      </c>
      <c r="AB56" s="61">
        <f t="shared" si="16"/>
        <v>0</v>
      </c>
      <c r="AC56" s="39">
        <f t="shared" si="16"/>
        <v>0</v>
      </c>
      <c r="AD56" s="61">
        <f t="shared" si="16"/>
        <v>242043</v>
      </c>
      <c r="AE56" s="39">
        <f t="shared" si="16"/>
        <v>1947.58</v>
      </c>
      <c r="AF56" s="61">
        <f t="shared" si="16"/>
        <v>-12687</v>
      </c>
      <c r="AG56" s="39">
        <f t="shared" si="16"/>
        <v>-2364.59</v>
      </c>
      <c r="AH56" s="61">
        <f t="shared" ref="AH56:AM56" si="17">SUM(AH54:AH55)</f>
        <v>-59960</v>
      </c>
      <c r="AI56" s="39">
        <f t="shared" si="17"/>
        <v>-1996.4</v>
      </c>
      <c r="AJ56" s="61">
        <f t="shared" si="17"/>
        <v>1138</v>
      </c>
      <c r="AK56" s="39">
        <f t="shared" si="17"/>
        <v>1096.23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-970.66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-970.66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200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+Actuals!AC469</f>
        <v>0</v>
      </c>
      <c r="AG59" s="134">
        <f>+Actuals!AD469</f>
        <v>-200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-970.66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-970.66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200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-200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11674882</v>
      </c>
      <c r="E64" s="38">
        <f>SUM(G64,I64,K64,M64,O64,Q64,S64,U64,W64,Y64,AA64,AC64,AE64,AG64,AI64,AK64,AM64)</f>
        <v>95407.530000000173</v>
      </c>
      <c r="F64" s="64">
        <f>'TIE-OUT'!R64+RECLASS!R64</f>
        <v>0</v>
      </c>
      <c r="G64" s="68">
        <f>'TIE-OUT'!S64+RECLASS!S64</f>
        <v>93300</v>
      </c>
      <c r="H64" s="133">
        <f>+Actuals!E271</f>
        <v>0</v>
      </c>
      <c r="I64" s="134">
        <f>+Actuals!F271</f>
        <v>-792477.65</v>
      </c>
      <c r="J64" s="133">
        <f>+Actuals!G271</f>
        <v>0</v>
      </c>
      <c r="K64" s="153">
        <f>+Actuals!H271</f>
        <v>0</v>
      </c>
      <c r="L64" s="133">
        <f>+Actuals!I271</f>
        <v>12919583</v>
      </c>
      <c r="M64" s="134">
        <f>+Actuals!J271</f>
        <v>21914.03</v>
      </c>
      <c r="N64" s="133">
        <f>+Actuals!K271</f>
        <v>-446963</v>
      </c>
      <c r="O64" s="134">
        <f>+Actuals!L271</f>
        <v>-17.940000000000001</v>
      </c>
      <c r="P64" s="133">
        <f>+Actuals!M271</f>
        <v>-828041</v>
      </c>
      <c r="Q64" s="134">
        <f>+Actuals!N271</f>
        <v>-19549.21</v>
      </c>
      <c r="R64" s="133">
        <f>+Actuals!O271</f>
        <v>23534</v>
      </c>
      <c r="S64" s="134">
        <f>+Actuals!P271</f>
        <v>-243.32</v>
      </c>
      <c r="T64" s="133">
        <f>+Actuals!Q271</f>
        <v>-14</v>
      </c>
      <c r="U64" s="134">
        <f>+Actuals!R271</f>
        <v>792484.65</v>
      </c>
      <c r="V64" s="133">
        <f>+Actuals!S271</f>
        <v>6783</v>
      </c>
      <c r="W64" s="134">
        <f>+Actuals!T271</f>
        <v>-3</v>
      </c>
      <c r="X64" s="133">
        <f>+Actuals!U271</f>
        <v>0</v>
      </c>
      <c r="Y64" s="134">
        <f>+Actuals!V271</f>
        <v>-0.03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  <c r="AL64" s="133">
        <f>+Actuals!AI471</f>
        <v>0</v>
      </c>
      <c r="AM64" s="134">
        <f>+Actuals!AJ471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130474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34">
        <f>+Actuals!L272</f>
        <v>0</v>
      </c>
      <c r="P65" s="133">
        <f>+Actuals!M272</f>
        <v>0</v>
      </c>
      <c r="Q65" s="134">
        <f>+Actuals!N272+462267+100000-11451+31601+10000-462249</f>
        <v>130168</v>
      </c>
      <c r="R65" s="133">
        <f>+Actuals!O272</f>
        <v>0</v>
      </c>
      <c r="S65" s="134">
        <f>+Actuals!P272+243</f>
        <v>243</v>
      </c>
      <c r="T65" s="133">
        <f>+Actuals!Q272</f>
        <v>0</v>
      </c>
      <c r="U65" s="134">
        <f>+Actuals!R272</f>
        <v>0</v>
      </c>
      <c r="V65" s="133">
        <f>+Actuals!S272</f>
        <v>0</v>
      </c>
      <c r="W65" s="165">
        <f>+Actuals!T272-7</f>
        <v>-7</v>
      </c>
      <c r="X65" s="133">
        <f>+Actuals!U272</f>
        <v>0</v>
      </c>
      <c r="Y65" s="134">
        <f>+Actuals!V272+5</f>
        <v>5</v>
      </c>
      <c r="Z65" s="133">
        <f>+Actuals!W272</f>
        <v>0</v>
      </c>
      <c r="AA65" s="134">
        <f>+Actuals!X272</f>
        <v>0</v>
      </c>
      <c r="AB65" s="133">
        <f>+Actuals!Y272</f>
        <v>0</v>
      </c>
      <c r="AC65" s="134">
        <f>35+30</f>
        <v>65</v>
      </c>
      <c r="AD65" s="133">
        <f>+Actuals!AA272</f>
        <v>0</v>
      </c>
      <c r="AE65" s="134">
        <f>+Actuals!AB272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11674882</v>
      </c>
      <c r="E66" s="39">
        <f t="shared" si="20"/>
        <v>225881.53000000017</v>
      </c>
      <c r="F66" s="61">
        <f t="shared" si="20"/>
        <v>0</v>
      </c>
      <c r="G66" s="39">
        <f t="shared" si="20"/>
        <v>93300</v>
      </c>
      <c r="H66" s="61">
        <f t="shared" si="20"/>
        <v>0</v>
      </c>
      <c r="I66" s="39">
        <f t="shared" si="20"/>
        <v>-792477.65</v>
      </c>
      <c r="J66" s="61">
        <f t="shared" si="20"/>
        <v>0</v>
      </c>
      <c r="K66" s="154">
        <f t="shared" si="20"/>
        <v>0</v>
      </c>
      <c r="L66" s="61">
        <f t="shared" si="20"/>
        <v>12919583</v>
      </c>
      <c r="M66" s="39">
        <f t="shared" si="20"/>
        <v>21914.03</v>
      </c>
      <c r="N66" s="61">
        <f t="shared" si="20"/>
        <v>-446963</v>
      </c>
      <c r="O66" s="39">
        <f t="shared" si="20"/>
        <v>-17.940000000000001</v>
      </c>
      <c r="P66" s="61">
        <f t="shared" si="20"/>
        <v>-828041</v>
      </c>
      <c r="Q66" s="39">
        <f t="shared" si="20"/>
        <v>110618.79000000001</v>
      </c>
      <c r="R66" s="61">
        <f t="shared" si="20"/>
        <v>23534</v>
      </c>
      <c r="S66" s="39">
        <f t="shared" si="20"/>
        <v>-0.31999999999999318</v>
      </c>
      <c r="T66" s="61">
        <f t="shared" si="20"/>
        <v>-14</v>
      </c>
      <c r="U66" s="39">
        <f t="shared" si="20"/>
        <v>792484.65</v>
      </c>
      <c r="V66" s="61">
        <f t="shared" si="20"/>
        <v>6783</v>
      </c>
      <c r="W66" s="39">
        <f t="shared" si="20"/>
        <v>-10</v>
      </c>
      <c r="X66" s="61">
        <f t="shared" si="20"/>
        <v>0</v>
      </c>
      <c r="Y66" s="39">
        <f t="shared" si="20"/>
        <v>4.97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65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723632.56</v>
      </c>
      <c r="F70" s="64">
        <f>'TIE-OUT'!R70+RECLASS!R70</f>
        <v>0</v>
      </c>
      <c r="G70" s="68">
        <f>'TIE-OUT'!S70+RECLASS!S70</f>
        <v>723632.56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723632.56</v>
      </c>
      <c r="F72" s="61">
        <f t="shared" si="22"/>
        <v>0</v>
      </c>
      <c r="G72" s="39">
        <f t="shared" si="22"/>
        <v>723632.56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219645</v>
      </c>
      <c r="F74" s="60">
        <f>'TIE-OUT'!R74+RECLASS!R74</f>
        <v>0</v>
      </c>
      <c r="G74" s="60">
        <f>'TIE-OUT'!S74+RECLASS!S74</f>
        <v>-787089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72">
        <f>+Actuals!N276+1006734</f>
        <v>1006734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86400</v>
      </c>
      <c r="F75" s="60">
        <f>'TIE-OUT'!R75+RECLASS!R75</f>
        <v>0</v>
      </c>
      <c r="G75" s="60">
        <f>'TIE-OUT'!S75+RECLASS!S75</f>
        <v>86400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-9087.5499999999993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-9087.5499999999993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</row>
    <row r="81" spans="1:7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-59718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v>-9718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</row>
    <row r="82" spans="1:7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702522.30599999346</v>
      </c>
      <c r="F82" s="92">
        <f>F16+F24+F29+F36+F43+F45+F47+F49</f>
        <v>0</v>
      </c>
      <c r="G82" s="93">
        <f>SUM(G72:G81)+G16+G24+G29+G36+G43+G45+G47+G49+G51+G56+G61+G66</f>
        <v>-9571859.0199999996</v>
      </c>
      <c r="H82" s="92">
        <f>H16+H24+H29+H36+H43+H45+H47+H49</f>
        <v>-3000</v>
      </c>
      <c r="I82" s="93">
        <f>SUM(I72:I81)+I16+I24+I29+I36+I43+I45+I47+I49+I51+I56+I61+I66</f>
        <v>8832111.8100000024</v>
      </c>
      <c r="J82" s="92">
        <f>J16+J24+J29+J36+J43+J45+J47+J49</f>
        <v>0</v>
      </c>
      <c r="K82" s="118">
        <f>SUM(K72:K81)+K16+K24+K29+K36+K43+K45+K47+K49+K51+K56+K61+K66</f>
        <v>-9550077.922000004</v>
      </c>
      <c r="L82" s="92">
        <f>L16+L24+L29+L36+L43+L45+L47+L49</f>
        <v>3000</v>
      </c>
      <c r="M82" s="93">
        <f>SUM(M72:M81)+M16+M24+M29+M36+M43+M45+M47+M49+M51+M56+M61+M66</f>
        <v>8169564.4860000005</v>
      </c>
      <c r="N82" s="92">
        <f>N16+N24+N29+N36+N43+N45+N47+N49</f>
        <v>0</v>
      </c>
      <c r="O82" s="93">
        <f>SUM(O72:O81)+O16+O24+O29+O36+O43+O45+O47+O49+O51+O56+O61+O66</f>
        <v>3872545.4559999998</v>
      </c>
      <c r="P82" s="92">
        <f>P16+P24+P29+P36+P43+P45+P47+P49</f>
        <v>0</v>
      </c>
      <c r="Q82" s="93">
        <f>SUM(Q72:Q81)+Q16+Q24+Q29+Q36+Q43+Q45+Q47+Q49+Q51+Q56+Q61+Q66</f>
        <v>-1298445.7500000002</v>
      </c>
      <c r="R82" s="92">
        <f>R16+R24+R29+R36+R43+R45+R47+R49</f>
        <v>0</v>
      </c>
      <c r="S82" s="93">
        <f>SUM(S72:S81)+S16+S24+S29+S36+S43+S45+S47+S49+S51+S56+S61+S66</f>
        <v>-522.76000000000226</v>
      </c>
      <c r="T82" s="92">
        <f>T16+T24+T29+T36+T43+T45+T47+T49</f>
        <v>0</v>
      </c>
      <c r="U82" s="93">
        <f>SUM(U72:U81)+U16+U24+U29+U36+U43+U45+U47+U49+U51+U56+U61+U66</f>
        <v>832312.41999999993</v>
      </c>
      <c r="V82" s="92">
        <f>V16+V24+V29+V36+V43+V45+V47+V49</f>
        <v>0</v>
      </c>
      <c r="W82" s="93">
        <f>SUM(W72:W81)+W16+W24+W29+W36+W43+W45+W47+W49+W51+W56+W61+W66</f>
        <v>269600.935</v>
      </c>
      <c r="X82" s="92">
        <f>X16+X24+X29+X36+X43+X45+X47+X49</f>
        <v>0</v>
      </c>
      <c r="Y82" s="93">
        <f>SUM(Y72:Y81)+Y16+Y24+Y29+Y36+Y43+Y45+Y47+Y49+Y51+Y56+Y61+Y66</f>
        <v>10738.42</v>
      </c>
      <c r="Z82" s="92">
        <f>Z16+Z24+Z29+Z36+Z43+Z45+Z47+Z49</f>
        <v>0</v>
      </c>
      <c r="AA82" s="93">
        <f>SUM(AA72:AA81)+AA16+AA24+AA29+AA36+AA43+AA45+AA47+AA49+AA51+AA56+AA61+AA66</f>
        <v>-1789051.3459999999</v>
      </c>
      <c r="AB82" s="92">
        <f>AB16+AB24+AB29+AB36+AB43+AB45+AB47+AB49</f>
        <v>0</v>
      </c>
      <c r="AC82" s="93">
        <f>SUM(AC72:AC81)+AC16+AC24+AC29+AC36+AC43+AC45+AC47+AC49+AC51+AC56+AC61+AC66</f>
        <v>-15081.29099999991</v>
      </c>
      <c r="AD82" s="92">
        <f>AD16+AD24+AD29+AD36+AD43+AD45+AD47+AD49</f>
        <v>0</v>
      </c>
      <c r="AE82" s="93">
        <f>SUM(AE72:AE81)+AE16+AE24+AE29+AE36+AE43+AE45+AE47+AE49+AE51+AE56+AE61+AE66</f>
        <v>-955832.61999999976</v>
      </c>
      <c r="AF82" s="92">
        <f>AF16+AF24+AF29+AF36+AF43+AF45+AF47+AF49</f>
        <v>0</v>
      </c>
      <c r="AG82" s="93">
        <f>SUM(AG72:AG81)+AG16+AG24+AG29+AG36+AG43+AG45+AG47+AG49+AG51+AG56+AG61+AG66</f>
        <v>8220.6839999999756</v>
      </c>
      <c r="AH82" s="92">
        <f>AH16+AH24+AH29+AH36+AH43+AH45+AH47+AH49</f>
        <v>0</v>
      </c>
      <c r="AI82" s="93">
        <f>SUM(AI72:AI81)+AI16+AI24+AI29+AI36+AI43+AI45+AI47+AI49+AI51+AI56+AI61+AI66</f>
        <v>1293.650000000001</v>
      </c>
      <c r="AJ82" s="92">
        <f>AJ16+AJ24+AJ29+AJ36+AJ43+AJ45+AJ47+AJ49</f>
        <v>0</v>
      </c>
      <c r="AK82" s="93">
        <f>SUM(AK72:AK81)+AK16+AK24+AK29+AK36+AK43+AK45+AK47+AK49+AK51+AK56+AK61+AK66</f>
        <v>1885153.0380000002</v>
      </c>
      <c r="AL82" s="92">
        <f>AL16+AL24+AL29+AL36+AL43+AL45+AL47+AL49</f>
        <v>0</v>
      </c>
      <c r="AM82" s="93">
        <f>SUM(AM72:AM81)+AM16+AM24+AM29+AM36+AM43+AM45+AM47+AM49+AM51+AM56+AM61+AM66</f>
        <v>1852.1160000000582</v>
      </c>
    </row>
    <row r="83" spans="1:75" ht="13.5" thickTop="1" x14ac:dyDescent="0.2">
      <c r="A83" s="4"/>
      <c r="B83" s="3"/>
    </row>
    <row r="84" spans="1:75" x14ac:dyDescent="0.2">
      <c r="A84" s="4"/>
      <c r="B84" s="3"/>
      <c r="I84" s="45"/>
    </row>
    <row r="85" spans="1:75" x14ac:dyDescent="0.2">
      <c r="A85" s="4" t="s">
        <v>194</v>
      </c>
      <c r="B85" s="3"/>
      <c r="F85" s="31"/>
      <c r="G85" s="31"/>
      <c r="H85" s="31"/>
      <c r="I85" s="31"/>
      <c r="K85"/>
      <c r="L85" s="45"/>
    </row>
    <row r="86" spans="1:75" s="3" customFormat="1" x14ac:dyDescent="0.2">
      <c r="A86" s="181"/>
      <c r="C86" s="10" t="s">
        <v>189</v>
      </c>
      <c r="D86" s="182">
        <f t="shared" ref="D86:E88" si="26">SUM(F86,H86,J86,L86,N86,P86,R86,T86,V86,X86,Z86,AB86,AD86)</f>
        <v>0</v>
      </c>
      <c r="E86" s="182">
        <f t="shared" si="26"/>
        <v>114789.44</v>
      </c>
      <c r="F86" s="182">
        <f>'TIE-OUT'!R86+RECLASS!R86</f>
        <v>0</v>
      </c>
      <c r="G86" s="182">
        <f>'TIE-OUT'!S86+RECLASS!S86</f>
        <v>114789.44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</row>
    <row r="87" spans="1:75" s="3" customFormat="1" x14ac:dyDescent="0.2">
      <c r="A87" s="181"/>
      <c r="C87" s="10" t="s">
        <v>75</v>
      </c>
      <c r="D87" s="183">
        <f t="shared" si="26"/>
        <v>0</v>
      </c>
      <c r="E87" s="183">
        <f t="shared" si="26"/>
        <v>0</v>
      </c>
      <c r="F87" s="183">
        <f>'TIE-OUT'!R87+RECLASS!R87</f>
        <v>0</v>
      </c>
      <c r="G87" s="183">
        <f>'TIE-OUT'!S87+RECLASS!S87</f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</row>
    <row r="88" spans="1:75" s="3" customFormat="1" x14ac:dyDescent="0.2">
      <c r="A88" s="181"/>
      <c r="C88" s="10" t="s">
        <v>76</v>
      </c>
      <c r="D88" s="184">
        <f t="shared" si="26"/>
        <v>0</v>
      </c>
      <c r="E88" s="184">
        <f t="shared" si="26"/>
        <v>-121600</v>
      </c>
      <c r="F88" s="184">
        <f>'TIE-OUT'!R88+RECLASS!R88</f>
        <v>0</v>
      </c>
      <c r="G88" s="184">
        <f>'TIE-OUT'!S88+RECLASS!S88</f>
        <v>-121600</v>
      </c>
      <c r="H88" s="184">
        <v>0</v>
      </c>
      <c r="I88" s="184">
        <v>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</row>
    <row r="89" spans="1:75" s="44" customFormat="1" ht="20.25" customHeight="1" x14ac:dyDescent="0.2">
      <c r="A89" s="190"/>
      <c r="B89" s="191"/>
      <c r="C89" s="187" t="s">
        <v>190</v>
      </c>
      <c r="D89" s="194">
        <f>SUM(D86:D88)</f>
        <v>0</v>
      </c>
      <c r="E89" s="194">
        <f t="shared" ref="E89:AE89" si="27">SUM(E86:E88)</f>
        <v>-6810.5599999999977</v>
      </c>
      <c r="F89" s="194">
        <f t="shared" si="27"/>
        <v>0</v>
      </c>
      <c r="G89" s="194">
        <f t="shared" si="27"/>
        <v>-6810.5599999999977</v>
      </c>
      <c r="H89" s="194">
        <f t="shared" si="27"/>
        <v>0</v>
      </c>
      <c r="I89" s="194">
        <f t="shared" si="27"/>
        <v>0</v>
      </c>
      <c r="J89" s="194">
        <f t="shared" si="27"/>
        <v>0</v>
      </c>
      <c r="K89" s="194">
        <f t="shared" si="27"/>
        <v>0</v>
      </c>
      <c r="L89" s="194">
        <f t="shared" si="27"/>
        <v>0</v>
      </c>
      <c r="M89" s="194">
        <f t="shared" si="27"/>
        <v>0</v>
      </c>
      <c r="N89" s="194">
        <f t="shared" si="27"/>
        <v>0</v>
      </c>
      <c r="O89" s="194">
        <f t="shared" si="27"/>
        <v>0</v>
      </c>
      <c r="P89" s="194">
        <f t="shared" si="27"/>
        <v>0</v>
      </c>
      <c r="Q89" s="194">
        <f t="shared" si="27"/>
        <v>0</v>
      </c>
      <c r="R89" s="194">
        <f t="shared" si="27"/>
        <v>0</v>
      </c>
      <c r="S89" s="194">
        <f t="shared" si="27"/>
        <v>0</v>
      </c>
      <c r="T89" s="194">
        <f t="shared" si="27"/>
        <v>0</v>
      </c>
      <c r="U89" s="194">
        <f t="shared" si="27"/>
        <v>0</v>
      </c>
      <c r="V89" s="194">
        <f t="shared" si="27"/>
        <v>0</v>
      </c>
      <c r="W89" s="194">
        <f t="shared" si="27"/>
        <v>0</v>
      </c>
      <c r="X89" s="194">
        <f t="shared" si="27"/>
        <v>0</v>
      </c>
      <c r="Y89" s="194">
        <f t="shared" si="27"/>
        <v>0</v>
      </c>
      <c r="Z89" s="194">
        <f t="shared" si="27"/>
        <v>0</v>
      </c>
      <c r="AA89" s="194">
        <f t="shared" si="27"/>
        <v>0</v>
      </c>
      <c r="AB89" s="194">
        <f t="shared" si="27"/>
        <v>0</v>
      </c>
      <c r="AC89" s="194">
        <f t="shared" si="27"/>
        <v>0</v>
      </c>
      <c r="AD89" s="194">
        <f t="shared" si="27"/>
        <v>0</v>
      </c>
      <c r="AE89" s="194">
        <f t="shared" si="27"/>
        <v>0</v>
      </c>
      <c r="AF89" s="194">
        <f t="shared" ref="AF89:AK89" si="28">SUM(AF86:AF88)</f>
        <v>0</v>
      </c>
      <c r="AG89" s="194">
        <f t="shared" si="28"/>
        <v>0</v>
      </c>
      <c r="AH89" s="194">
        <f t="shared" si="28"/>
        <v>0</v>
      </c>
      <c r="AI89" s="194">
        <f t="shared" si="28"/>
        <v>0</v>
      </c>
      <c r="AJ89" s="194">
        <f t="shared" si="28"/>
        <v>0</v>
      </c>
      <c r="AK89" s="194">
        <f t="shared" si="28"/>
        <v>0</v>
      </c>
      <c r="AL89" s="194">
        <f>SUM(AL86:AL88)</f>
        <v>0</v>
      </c>
      <c r="AM89" s="194">
        <f>SUM(AM86:AM88)</f>
        <v>0</v>
      </c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</row>
    <row r="90" spans="1:75" x14ac:dyDescent="0.2">
      <c r="A90" s="4"/>
      <c r="B90" s="3"/>
      <c r="F90" s="31"/>
      <c r="G90" s="31"/>
      <c r="H90" s="31"/>
      <c r="I90" s="31"/>
      <c r="K90"/>
    </row>
    <row r="91" spans="1:75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29">+E82+E89</f>
        <v>695711.74599999352</v>
      </c>
      <c r="F91" s="188">
        <f t="shared" si="29"/>
        <v>0</v>
      </c>
      <c r="G91" s="188">
        <f t="shared" si="29"/>
        <v>-9578669.5800000001</v>
      </c>
      <c r="H91" s="188">
        <f t="shared" si="29"/>
        <v>-3000</v>
      </c>
      <c r="I91" s="188">
        <f t="shared" si="29"/>
        <v>8832111.8100000024</v>
      </c>
      <c r="J91" s="188">
        <f t="shared" si="29"/>
        <v>0</v>
      </c>
      <c r="K91" s="188">
        <f t="shared" si="29"/>
        <v>-9550077.922000004</v>
      </c>
      <c r="L91" s="188">
        <f t="shared" si="29"/>
        <v>3000</v>
      </c>
      <c r="M91" s="188">
        <f t="shared" si="29"/>
        <v>8169564.4860000005</v>
      </c>
      <c r="N91" s="188">
        <f t="shared" si="29"/>
        <v>0</v>
      </c>
      <c r="O91" s="188">
        <f t="shared" si="29"/>
        <v>3872545.4559999998</v>
      </c>
      <c r="P91" s="188">
        <f t="shared" si="29"/>
        <v>0</v>
      </c>
      <c r="Q91" s="188">
        <f t="shared" si="29"/>
        <v>-1298445.7500000002</v>
      </c>
      <c r="R91" s="188">
        <f t="shared" si="29"/>
        <v>0</v>
      </c>
      <c r="S91" s="188">
        <f t="shared" si="29"/>
        <v>-522.76000000000226</v>
      </c>
      <c r="T91" s="188">
        <f t="shared" si="29"/>
        <v>0</v>
      </c>
      <c r="U91" s="188">
        <f t="shared" si="29"/>
        <v>832312.41999999993</v>
      </c>
      <c r="V91" s="188">
        <f t="shared" si="29"/>
        <v>0</v>
      </c>
      <c r="W91" s="188">
        <f t="shared" si="29"/>
        <v>269600.935</v>
      </c>
      <c r="X91" s="188">
        <f t="shared" si="29"/>
        <v>0</v>
      </c>
      <c r="Y91" s="188">
        <f t="shared" si="29"/>
        <v>10738.42</v>
      </c>
      <c r="Z91" s="188">
        <f t="shared" si="29"/>
        <v>0</v>
      </c>
      <c r="AA91" s="188">
        <f t="shared" si="29"/>
        <v>-1789051.3459999999</v>
      </c>
      <c r="AB91" s="188">
        <f t="shared" si="29"/>
        <v>0</v>
      </c>
      <c r="AC91" s="188">
        <f t="shared" si="29"/>
        <v>-15081.29099999991</v>
      </c>
      <c r="AD91" s="188">
        <f t="shared" si="29"/>
        <v>0</v>
      </c>
      <c r="AE91" s="188">
        <f t="shared" si="29"/>
        <v>-955832.61999999976</v>
      </c>
      <c r="AF91" s="188">
        <f t="shared" ref="AF91:AK91" si="30">+AF82+AF89</f>
        <v>0</v>
      </c>
      <c r="AG91" s="188">
        <f t="shared" si="30"/>
        <v>8220.6839999999756</v>
      </c>
      <c r="AH91" s="188">
        <f t="shared" si="30"/>
        <v>0</v>
      </c>
      <c r="AI91" s="188">
        <f t="shared" si="30"/>
        <v>1293.650000000001</v>
      </c>
      <c r="AJ91" s="188">
        <f t="shared" si="30"/>
        <v>0</v>
      </c>
      <c r="AK91" s="188">
        <f t="shared" si="30"/>
        <v>1885153.0380000002</v>
      </c>
      <c r="AL91" s="188">
        <f>+AL82+AL89</f>
        <v>0</v>
      </c>
      <c r="AM91" s="188">
        <f>+AM82+AM89</f>
        <v>1852.1160000000582</v>
      </c>
    </row>
    <row r="92" spans="1:75" x14ac:dyDescent="0.2">
      <c r="A92" s="4"/>
      <c r="B92" s="3"/>
    </row>
    <row r="93" spans="1:75" x14ac:dyDescent="0.2">
      <c r="A93" s="4"/>
      <c r="B93" s="3"/>
    </row>
    <row r="94" spans="1:75" x14ac:dyDescent="0.2">
      <c r="A94" s="4"/>
      <c r="B94" s="3"/>
    </row>
    <row r="95" spans="1:75" x14ac:dyDescent="0.2">
      <c r="A95" s="4"/>
      <c r="B95" s="3"/>
    </row>
    <row r="96" spans="1:7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M187"/>
  <sheetViews>
    <sheetView zoomScale="75" workbookViewId="0">
      <pane xSplit="3" ySplit="9" topLeftCell="AB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25379879</v>
      </c>
      <c r="E11" s="38">
        <f t="shared" si="0"/>
        <v>47481128.520000003</v>
      </c>
      <c r="F11" s="60">
        <f>'TIE-OUT'!P11+RECLASS!P11</f>
        <v>0</v>
      </c>
      <c r="G11" s="38">
        <f>'TIE-OUT'!Q11+RECLASS!Q11</f>
        <v>0</v>
      </c>
      <c r="H11" s="133">
        <f>+Actuals!E4</f>
        <v>25430142</v>
      </c>
      <c r="I11" s="134">
        <f>+Actuals!F4</f>
        <v>47754063.149999999</v>
      </c>
      <c r="J11" s="133">
        <f>+Actuals!G4</f>
        <v>328672</v>
      </c>
      <c r="K11" s="153">
        <f>+Actuals!H4</f>
        <v>510966.03</v>
      </c>
      <c r="L11" s="133">
        <f>+Actuals!I4</f>
        <v>34686</v>
      </c>
      <c r="M11" s="134">
        <f>+Actuals!J4</f>
        <v>295627.52000000002</v>
      </c>
      <c r="N11" s="133">
        <f>+Actuals!K4</f>
        <v>-383436</v>
      </c>
      <c r="O11" s="134">
        <f>+Actuals!L4</f>
        <v>-746477.4</v>
      </c>
      <c r="P11" s="133">
        <f>+Actuals!M4</f>
        <v>-103707</v>
      </c>
      <c r="Q11" s="134">
        <f>+Actuals!N4</f>
        <v>-521369.96</v>
      </c>
      <c r="R11" s="133">
        <f>+Actuals!O4</f>
        <v>-156160</v>
      </c>
      <c r="S11" s="134">
        <f>+Actuals!P4</f>
        <v>-285978.83</v>
      </c>
      <c r="T11" s="133">
        <f>+Actuals!Q4</f>
        <v>21602</v>
      </c>
      <c r="U11" s="134">
        <f>+Actuals!R4</f>
        <v>54022.69</v>
      </c>
      <c r="V11" s="133">
        <f>+Actuals!S4</f>
        <v>0</v>
      </c>
      <c r="W11" s="134">
        <f>+Actuals!T4</f>
        <v>0.01</v>
      </c>
      <c r="X11" s="133">
        <f>+Actuals!U4</f>
        <v>-6287</v>
      </c>
      <c r="Y11" s="134">
        <f>+Actuals!V4</f>
        <v>-11055.22</v>
      </c>
      <c r="Z11" s="133">
        <f>+Actuals!W4</f>
        <v>228993</v>
      </c>
      <c r="AA11" s="134">
        <f>+Actuals!X4</f>
        <v>449867.06</v>
      </c>
      <c r="AB11" s="133">
        <f>+Actuals!Y4</f>
        <v>0</v>
      </c>
      <c r="AC11" s="134">
        <f>+Actuals!Z4</f>
        <v>0</v>
      </c>
      <c r="AD11" s="133">
        <f>+Actuals!AA4</f>
        <v>-20149</v>
      </c>
      <c r="AE11" s="134">
        <f>+Actuals!AB4</f>
        <v>-34772.879999999997</v>
      </c>
      <c r="AF11" s="133">
        <f>+Actuals!AC4</f>
        <v>0</v>
      </c>
      <c r="AG11" s="134">
        <f>+Actuals!AD4</f>
        <v>-188.08</v>
      </c>
      <c r="AH11" s="133">
        <f>+Actuals!AE4</f>
        <v>669</v>
      </c>
      <c r="AI11" s="134">
        <f>+Actuals!AF4</f>
        <v>1184.1300000000001</v>
      </c>
      <c r="AJ11" s="133">
        <f>+Actuals!AG4</f>
        <v>0</v>
      </c>
      <c r="AK11" s="134">
        <f>+Actuals!AH4</f>
        <v>0</v>
      </c>
      <c r="AL11" s="133">
        <f>+Actuals!AI4</f>
        <v>4854</v>
      </c>
      <c r="AM11" s="134">
        <f>+Actuals!AJ4</f>
        <v>15240.3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-2899134.3</v>
      </c>
      <c r="F12" s="60">
        <f>'TIE-OUT'!P12+RECLASS!P12</f>
        <v>0</v>
      </c>
      <c r="G12" s="38">
        <f>'TIE-OUT'!Q12+RECLASS!Q12</f>
        <v>-2899134.3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25379879</v>
      </c>
      <c r="E16" s="39">
        <f t="shared" si="1"/>
        <v>44581994.220000006</v>
      </c>
      <c r="F16" s="61">
        <f t="shared" si="1"/>
        <v>0</v>
      </c>
      <c r="G16" s="39">
        <f t="shared" si="1"/>
        <v>-2899134.3</v>
      </c>
      <c r="H16" s="61">
        <f t="shared" si="1"/>
        <v>25430142</v>
      </c>
      <c r="I16" s="39">
        <f t="shared" si="1"/>
        <v>47754063.149999999</v>
      </c>
      <c r="J16" s="61">
        <f t="shared" si="1"/>
        <v>328672</v>
      </c>
      <c r="K16" s="154">
        <f t="shared" si="1"/>
        <v>510966.03</v>
      </c>
      <c r="L16" s="61">
        <f t="shared" si="1"/>
        <v>34686</v>
      </c>
      <c r="M16" s="39">
        <f t="shared" si="1"/>
        <v>295627.52000000002</v>
      </c>
      <c r="N16" s="61">
        <f t="shared" si="1"/>
        <v>-383436</v>
      </c>
      <c r="O16" s="39">
        <f t="shared" si="1"/>
        <v>-746477.4</v>
      </c>
      <c r="P16" s="61">
        <f t="shared" si="1"/>
        <v>-103707</v>
      </c>
      <c r="Q16" s="39">
        <f t="shared" si="1"/>
        <v>-521369.96</v>
      </c>
      <c r="R16" s="61">
        <f t="shared" si="1"/>
        <v>-156160</v>
      </c>
      <c r="S16" s="39">
        <f t="shared" si="1"/>
        <v>-285978.83</v>
      </c>
      <c r="T16" s="61">
        <f t="shared" si="1"/>
        <v>21602</v>
      </c>
      <c r="U16" s="39">
        <f t="shared" si="1"/>
        <v>54022.69</v>
      </c>
      <c r="V16" s="61">
        <f t="shared" si="1"/>
        <v>0</v>
      </c>
      <c r="W16" s="39">
        <f t="shared" si="1"/>
        <v>0.01</v>
      </c>
      <c r="X16" s="61">
        <f t="shared" si="1"/>
        <v>-6287</v>
      </c>
      <c r="Y16" s="39">
        <f t="shared" si="1"/>
        <v>-11055.22</v>
      </c>
      <c r="Z16" s="61">
        <f t="shared" si="1"/>
        <v>228993</v>
      </c>
      <c r="AA16" s="39">
        <f t="shared" si="1"/>
        <v>449867.06</v>
      </c>
      <c r="AB16" s="61">
        <f t="shared" si="1"/>
        <v>0</v>
      </c>
      <c r="AC16" s="39">
        <f t="shared" si="1"/>
        <v>0</v>
      </c>
      <c r="AD16" s="61">
        <f t="shared" si="1"/>
        <v>-20149</v>
      </c>
      <c r="AE16" s="39">
        <f t="shared" si="1"/>
        <v>-34772.879999999997</v>
      </c>
      <c r="AF16" s="61">
        <f t="shared" ref="AF16:AK16" si="2">SUM(AF11:AF15)</f>
        <v>0</v>
      </c>
      <c r="AG16" s="39">
        <f t="shared" si="2"/>
        <v>-188.08</v>
      </c>
      <c r="AH16" s="61">
        <f t="shared" si="2"/>
        <v>669</v>
      </c>
      <c r="AI16" s="39">
        <f t="shared" si="2"/>
        <v>1184.1300000000001</v>
      </c>
      <c r="AJ16" s="61">
        <f t="shared" si="2"/>
        <v>0</v>
      </c>
      <c r="AK16" s="39">
        <f t="shared" si="2"/>
        <v>0</v>
      </c>
      <c r="AL16" s="61">
        <f>SUM(AL11:AL15)</f>
        <v>4854</v>
      </c>
      <c r="AM16" s="39">
        <f>SUM(AM11:AM15)</f>
        <v>15240.3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-5138107</v>
      </c>
      <c r="E19" s="38">
        <f t="shared" si="3"/>
        <v>-8832406.839999998</v>
      </c>
      <c r="F19" s="64">
        <f>'TIE-OUT'!P19+RECLASS!P19</f>
        <v>0</v>
      </c>
      <c r="G19" s="68">
        <f>'TIE-OUT'!Q19+RECLASS!Q19</f>
        <v>0</v>
      </c>
      <c r="H19" s="133">
        <f>+Actuals!E9</f>
        <v>-4358908</v>
      </c>
      <c r="I19" s="134">
        <f>+Actuals!F9</f>
        <v>-7632869.3700000001</v>
      </c>
      <c r="J19" s="133">
        <f>+Actuals!G9</f>
        <v>-411951</v>
      </c>
      <c r="K19" s="153">
        <f>+Actuals!H9</f>
        <v>-703826.41</v>
      </c>
      <c r="L19" s="133">
        <f>+Actuals!I9</f>
        <v>-61740</v>
      </c>
      <c r="M19" s="134">
        <f>+Actuals!J9</f>
        <v>-103538.1</v>
      </c>
      <c r="N19" s="133">
        <f>+Actuals!K9</f>
        <v>-103412</v>
      </c>
      <c r="O19" s="134">
        <f>+Actuals!L9</f>
        <v>-178168.44</v>
      </c>
      <c r="P19" s="133">
        <f>+Actuals!M9</f>
        <v>148744</v>
      </c>
      <c r="Q19" s="134">
        <f>+Actuals!N9</f>
        <v>390760.47</v>
      </c>
      <c r="R19" s="133">
        <f>+Actuals!O9</f>
        <v>-108366</v>
      </c>
      <c r="S19" s="134">
        <f>+Actuals!P9</f>
        <v>-181116.49</v>
      </c>
      <c r="T19" s="133">
        <f>+Actuals!Q9</f>
        <v>-519</v>
      </c>
      <c r="U19" s="134">
        <f>+Actuals!R9</f>
        <v>-785.79</v>
      </c>
      <c r="V19" s="133">
        <f>+Actuals!S9</f>
        <v>6536</v>
      </c>
      <c r="W19" s="134">
        <f>+Actuals!T9</f>
        <v>10025.709999999999</v>
      </c>
      <c r="X19" s="133">
        <f>+Actuals!U9</f>
        <v>-3192</v>
      </c>
      <c r="Y19" s="134">
        <f>+Actuals!V9</f>
        <v>-5200.1499999999996</v>
      </c>
      <c r="Z19" s="133">
        <f>+Actuals!W9</f>
        <v>-203375</v>
      </c>
      <c r="AA19" s="134">
        <f>+Actuals!X9</f>
        <v>-353719.5</v>
      </c>
      <c r="AB19" s="133">
        <f>+Actuals!Y9</f>
        <v>2781</v>
      </c>
      <c r="AC19" s="134">
        <f>+Actuals!Z9</f>
        <v>4554.16</v>
      </c>
      <c r="AD19" s="133">
        <f>+Actuals!AA9</f>
        <v>-39851</v>
      </c>
      <c r="AE19" s="134">
        <f>+Actuals!AB9</f>
        <v>-69934.78</v>
      </c>
      <c r="AF19" s="133">
        <f>+Actuals!AC9</f>
        <v>0</v>
      </c>
      <c r="AG19" s="134">
        <f>+Actuals!AD9</f>
        <v>0</v>
      </c>
      <c r="AH19" s="133">
        <f>+Actuals!AE9</f>
        <v>0</v>
      </c>
      <c r="AI19" s="134">
        <f>+Actuals!AF9</f>
        <v>0</v>
      </c>
      <c r="AJ19" s="133">
        <f>+Actuals!AG9</f>
        <v>0</v>
      </c>
      <c r="AK19" s="134">
        <f>+Actuals!AH9</f>
        <v>0</v>
      </c>
      <c r="AL19" s="133">
        <f>+Actuals!AI9</f>
        <v>-4854</v>
      </c>
      <c r="AM19" s="134">
        <f>+Actuals!AJ9</f>
        <v>-8588.15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813484.61</v>
      </c>
      <c r="F20" s="60">
        <f>'TIE-OUT'!P20+RECLASS!P20</f>
        <v>0</v>
      </c>
      <c r="G20" s="38">
        <f>'TIE-OUT'!Q20+RECLASS!Q20</f>
        <v>908654.61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72">
        <f>+Actuals!N10-95170</f>
        <v>-95170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-5138107</v>
      </c>
      <c r="E24" s="39">
        <f t="shared" si="4"/>
        <v>-8018922.2299999977</v>
      </c>
      <c r="F24" s="61">
        <f t="shared" si="4"/>
        <v>0</v>
      </c>
      <c r="G24" s="39">
        <f t="shared" si="4"/>
        <v>908654.61</v>
      </c>
      <c r="H24" s="61">
        <f t="shared" si="4"/>
        <v>-4358908</v>
      </c>
      <c r="I24" s="39">
        <f t="shared" si="4"/>
        <v>-7632869.3700000001</v>
      </c>
      <c r="J24" s="61">
        <f t="shared" si="4"/>
        <v>-411951</v>
      </c>
      <c r="K24" s="154">
        <f t="shared" si="4"/>
        <v>-703826.41</v>
      </c>
      <c r="L24" s="61">
        <f t="shared" si="4"/>
        <v>-61740</v>
      </c>
      <c r="M24" s="39">
        <f t="shared" si="4"/>
        <v>-103538.1</v>
      </c>
      <c r="N24" s="61">
        <f t="shared" si="4"/>
        <v>-103412</v>
      </c>
      <c r="O24" s="39">
        <f t="shared" si="4"/>
        <v>-178168.44</v>
      </c>
      <c r="P24" s="61">
        <f t="shared" si="4"/>
        <v>148744</v>
      </c>
      <c r="Q24" s="39">
        <f t="shared" si="4"/>
        <v>295590.46999999997</v>
      </c>
      <c r="R24" s="61">
        <f t="shared" si="4"/>
        <v>-108366</v>
      </c>
      <c r="S24" s="39">
        <f t="shared" si="4"/>
        <v>-181116.49</v>
      </c>
      <c r="T24" s="61">
        <f t="shared" si="4"/>
        <v>-519</v>
      </c>
      <c r="U24" s="39">
        <f t="shared" si="4"/>
        <v>-785.79</v>
      </c>
      <c r="V24" s="61">
        <f t="shared" si="4"/>
        <v>6536</v>
      </c>
      <c r="W24" s="39">
        <f t="shared" si="4"/>
        <v>10025.709999999999</v>
      </c>
      <c r="X24" s="61">
        <f t="shared" si="4"/>
        <v>-3192</v>
      </c>
      <c r="Y24" s="39">
        <f t="shared" si="4"/>
        <v>-5200.1499999999996</v>
      </c>
      <c r="Z24" s="61">
        <f t="shared" si="4"/>
        <v>-203375</v>
      </c>
      <c r="AA24" s="39">
        <f t="shared" si="4"/>
        <v>-353719.5</v>
      </c>
      <c r="AB24" s="61">
        <f t="shared" si="4"/>
        <v>2781</v>
      </c>
      <c r="AC24" s="39">
        <f t="shared" si="4"/>
        <v>4554.16</v>
      </c>
      <c r="AD24" s="61">
        <f t="shared" si="4"/>
        <v>-39851</v>
      </c>
      <c r="AE24" s="39">
        <f t="shared" si="4"/>
        <v>-69934.78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-4854</v>
      </c>
      <c r="AM24" s="39">
        <f>SUM(AM19:AM23)</f>
        <v>-8588.15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-3646715</v>
      </c>
      <c r="E27" s="38">
        <f>SUM(G27,I27,K27,M27,O27,Q27,S27,U27,W27,Y27,AA27,AC27,AE27,AG27,AI27,AK27,AM27)</f>
        <v>-6653895.5866999999</v>
      </c>
      <c r="F27" s="64">
        <f>'TIE-OUT'!P27+RECLASS!P27</f>
        <v>0</v>
      </c>
      <c r="G27" s="68">
        <f>'TIE-OUT'!Q27+RECLASS!Q27</f>
        <v>0</v>
      </c>
      <c r="H27" s="133">
        <f>+Actuals!E14</f>
        <v>780022</v>
      </c>
      <c r="I27" s="134">
        <f>+Actuals!F14</f>
        <v>63214</v>
      </c>
      <c r="J27" s="133">
        <f>+Actuals!G14</f>
        <v>165797</v>
      </c>
      <c r="K27" s="153">
        <f>+Actuals!H14</f>
        <v>1534017.86</v>
      </c>
      <c r="L27" s="133">
        <f>+Actuals!I14</f>
        <v>175188</v>
      </c>
      <c r="M27" s="134">
        <f>+Actuals!J14</f>
        <v>112237.5</v>
      </c>
      <c r="N27" s="133">
        <f>+Actuals!K14</f>
        <v>551554</v>
      </c>
      <c r="O27" s="134">
        <f>+Actuals!L14</f>
        <v>930637.08420000004</v>
      </c>
      <c r="P27" s="133">
        <f>+Actuals!M14</f>
        <v>-5717381</v>
      </c>
      <c r="Q27" s="134">
        <f>+Actuals!N14</f>
        <v>-9974820.509300001</v>
      </c>
      <c r="R27" s="133">
        <f>+Actuals!O14</f>
        <v>555765</v>
      </c>
      <c r="S27" s="134">
        <f>+Actuals!P14</f>
        <v>952207.10850000009</v>
      </c>
      <c r="T27" s="133">
        <f>+Actuals!Q14</f>
        <v>-14015</v>
      </c>
      <c r="U27" s="134">
        <f>+Actuals!R14</f>
        <v>-24771.512500000001</v>
      </c>
      <c r="V27" s="133">
        <f>+Actuals!S14</f>
        <v>-7019</v>
      </c>
      <c r="W27" s="134">
        <f>+Actuals!T14</f>
        <v>-12406.0825</v>
      </c>
      <c r="X27" s="133">
        <f>+Actuals!U14</f>
        <v>3192</v>
      </c>
      <c r="Y27" s="134">
        <f>+Actuals!V14</f>
        <v>5641.86</v>
      </c>
      <c r="Z27" s="133">
        <f>+Actuals!W14</f>
        <v>-400</v>
      </c>
      <c r="AA27" s="134">
        <f>+Actuals!X14</f>
        <v>-674.92</v>
      </c>
      <c r="AB27" s="133">
        <f>+Actuals!Y14</f>
        <v>-5562</v>
      </c>
      <c r="AC27" s="134">
        <f>+Actuals!Z14</f>
        <v>-9384.7626</v>
      </c>
      <c r="AD27" s="133">
        <f>+Actuals!AA14</f>
        <v>42781</v>
      </c>
      <c r="AE27" s="134">
        <f>+Actuals!AB14</f>
        <v>75615.417499999996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0</v>
      </c>
      <c r="AJ27" s="133">
        <f>+Actuals!AG14</f>
        <v>0</v>
      </c>
      <c r="AK27" s="134">
        <f>+Actuals!AH14</f>
        <v>0</v>
      </c>
      <c r="AL27" s="133">
        <f>+Actuals!AI14</f>
        <v>-176637</v>
      </c>
      <c r="AM27" s="134">
        <f>+Actuals!AJ14</f>
        <v>-305408.63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-16536703</v>
      </c>
      <c r="E28" s="38">
        <f>SUM(G28,I28,K28,M28,O28,Q28,S28,U28,W28,Y28,AA28,AC28,AE28,AG28,AI28,AK28,AM28)</f>
        <v>-29328779.770900004</v>
      </c>
      <c r="F28" s="81">
        <f>'TIE-OUT'!P28+RECLASS!P28</f>
        <v>0</v>
      </c>
      <c r="G28" s="82">
        <f>'TIE-OUT'!Q28+RECLASS!Q28</f>
        <v>0</v>
      </c>
      <c r="H28" s="133">
        <f>+Actuals!E15</f>
        <v>-9998997</v>
      </c>
      <c r="I28" s="134">
        <f>+Actuals!F15</f>
        <v>-17773461</v>
      </c>
      <c r="J28" s="133">
        <f>+Actuals!G15</f>
        <v>-5456469</v>
      </c>
      <c r="K28" s="153">
        <f>+Actuals!H15</f>
        <v>-9713728.0700000003</v>
      </c>
      <c r="L28" s="133">
        <f>+Actuals!I15</f>
        <v>-1046966</v>
      </c>
      <c r="M28" s="134">
        <f>+Actuals!J15</f>
        <v>-1780587.9108999986</v>
      </c>
      <c r="N28" s="133">
        <f>+Actuals!K15</f>
        <v>-52609</v>
      </c>
      <c r="O28" s="134">
        <f>+Actuals!L15</f>
        <v>-91946.02</v>
      </c>
      <c r="P28" s="133">
        <f>+Actuals!M15</f>
        <v>67386</v>
      </c>
      <c r="Q28" s="134">
        <f>+Actuals!N15</f>
        <v>118146.07</v>
      </c>
      <c r="R28" s="133">
        <f>+Actuals!O15</f>
        <v>-219500</v>
      </c>
      <c r="S28" s="134">
        <f>+Actuals!P15</f>
        <v>-390710.00000000186</v>
      </c>
      <c r="T28" s="133">
        <f>+Actuals!Q15</f>
        <v>-7068</v>
      </c>
      <c r="U28" s="134">
        <f>+Actuals!R15</f>
        <v>-12478.44</v>
      </c>
      <c r="V28" s="133">
        <f>+Actuals!S15</f>
        <v>483</v>
      </c>
      <c r="W28" s="134">
        <f>+Actuals!T15</f>
        <v>859.74</v>
      </c>
      <c r="X28" s="133">
        <f>+Actuals!U15</f>
        <v>6287</v>
      </c>
      <c r="Y28" s="134">
        <f>+Actuals!V15</f>
        <v>11190.86</v>
      </c>
      <c r="Z28" s="133">
        <f>+Actuals!W15</f>
        <v>-25218</v>
      </c>
      <c r="AA28" s="134">
        <f>+Actuals!X15</f>
        <v>-44888.04</v>
      </c>
      <c r="AB28" s="133">
        <f>+Actuals!Y15</f>
        <v>0</v>
      </c>
      <c r="AC28" s="134">
        <f>+Actuals!Z15</f>
        <v>0</v>
      </c>
      <c r="AD28" s="133">
        <f>+Actuals!AA15</f>
        <v>20000</v>
      </c>
      <c r="AE28" s="134">
        <f>+Actuals!AB15</f>
        <v>35600</v>
      </c>
      <c r="AF28" s="133">
        <f>+Actuals!AC15</f>
        <v>0</v>
      </c>
      <c r="AG28" s="134">
        <f>+Actuals!AD15</f>
        <v>0</v>
      </c>
      <c r="AH28" s="133">
        <f>+Actuals!AE15</f>
        <v>-669</v>
      </c>
      <c r="AI28" s="134">
        <f>+Actuals!AF15</f>
        <v>-1190.82</v>
      </c>
      <c r="AJ28" s="133">
        <f>+Actuals!AG15</f>
        <v>0</v>
      </c>
      <c r="AK28" s="134">
        <f>+Actuals!AH15</f>
        <v>0</v>
      </c>
      <c r="AL28" s="133">
        <f>+Actuals!AI15</f>
        <v>176637</v>
      </c>
      <c r="AM28" s="134">
        <f>+Actuals!AJ15</f>
        <v>314413.86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-20183418</v>
      </c>
      <c r="E29" s="39">
        <f t="shared" si="6"/>
        <v>-35982675.357600003</v>
      </c>
      <c r="F29" s="61">
        <f t="shared" si="6"/>
        <v>0</v>
      </c>
      <c r="G29" s="39">
        <f t="shared" si="6"/>
        <v>0</v>
      </c>
      <c r="H29" s="61">
        <f t="shared" si="6"/>
        <v>-9218975</v>
      </c>
      <c r="I29" s="39">
        <f t="shared" si="6"/>
        <v>-17710247</v>
      </c>
      <c r="J29" s="61">
        <f t="shared" si="6"/>
        <v>-5290672</v>
      </c>
      <c r="K29" s="154">
        <f t="shared" si="6"/>
        <v>-8179710.21</v>
      </c>
      <c r="L29" s="61">
        <f t="shared" si="6"/>
        <v>-871778</v>
      </c>
      <c r="M29" s="39">
        <f t="shared" si="6"/>
        <v>-1668350.4108999986</v>
      </c>
      <c r="N29" s="61">
        <f t="shared" si="6"/>
        <v>498945</v>
      </c>
      <c r="O29" s="39">
        <f t="shared" si="6"/>
        <v>838691.06420000002</v>
      </c>
      <c r="P29" s="61">
        <f t="shared" si="6"/>
        <v>-5649995</v>
      </c>
      <c r="Q29" s="39">
        <f t="shared" si="6"/>
        <v>-9856674.4393000007</v>
      </c>
      <c r="R29" s="61">
        <f t="shared" si="6"/>
        <v>336265</v>
      </c>
      <c r="S29" s="39">
        <f t="shared" si="6"/>
        <v>561497.10849999823</v>
      </c>
      <c r="T29" s="61">
        <f t="shared" si="6"/>
        <v>-21083</v>
      </c>
      <c r="U29" s="39">
        <f t="shared" si="6"/>
        <v>-37249.952499999999</v>
      </c>
      <c r="V29" s="61">
        <f t="shared" si="6"/>
        <v>-6536</v>
      </c>
      <c r="W29" s="39">
        <f t="shared" si="6"/>
        <v>-11546.342500000001</v>
      </c>
      <c r="X29" s="61">
        <f t="shared" si="6"/>
        <v>9479</v>
      </c>
      <c r="Y29" s="39">
        <f t="shared" si="6"/>
        <v>16832.72</v>
      </c>
      <c r="Z29" s="61">
        <f t="shared" si="6"/>
        <v>-25618</v>
      </c>
      <c r="AA29" s="39">
        <f t="shared" si="6"/>
        <v>-45562.96</v>
      </c>
      <c r="AB29" s="61">
        <f t="shared" si="6"/>
        <v>-5562</v>
      </c>
      <c r="AC29" s="39">
        <f t="shared" si="6"/>
        <v>-9384.7626</v>
      </c>
      <c r="AD29" s="61">
        <f t="shared" si="6"/>
        <v>62781</v>
      </c>
      <c r="AE29" s="39">
        <f t="shared" si="6"/>
        <v>111215.4175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-669</v>
      </c>
      <c r="AI29" s="39">
        <f t="shared" si="7"/>
        <v>-1190.82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9005.2299999999814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-58354</v>
      </c>
      <c r="E32" s="38">
        <f t="shared" si="8"/>
        <v>-100485.58600000001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-15365</v>
      </c>
      <c r="K32" s="153">
        <f>+Actuals!H16</f>
        <v>-26458.53</v>
      </c>
      <c r="L32" s="133">
        <f>+Actuals!I16</f>
        <v>26972</v>
      </c>
      <c r="M32" s="134">
        <f>+Actuals!J16</f>
        <v>46364.535000000003</v>
      </c>
      <c r="N32" s="133">
        <f>+Actuals!K16</f>
        <v>2971</v>
      </c>
      <c r="O32" s="134">
        <f>+Actuals!L16</f>
        <v>2514.9589999999998</v>
      </c>
      <c r="P32" s="133">
        <f>+Actuals!M16</f>
        <v>-1193</v>
      </c>
      <c r="Q32" s="134">
        <f>+Actuals!N16</f>
        <v>1912.9659999999999</v>
      </c>
      <c r="R32" s="133">
        <f>+Actuals!O16</f>
        <v>-71739</v>
      </c>
      <c r="S32" s="134">
        <f>+Actuals!P16</f>
        <v>-157847.88</v>
      </c>
      <c r="T32" s="133">
        <f>+Actuals!Q16</f>
        <v>0</v>
      </c>
      <c r="U32" s="134">
        <f>+Actuals!R16</f>
        <v>6243.8779999999997</v>
      </c>
      <c r="V32" s="133">
        <f>+Actuals!S16</f>
        <v>0</v>
      </c>
      <c r="W32" s="134">
        <f>+Actuals!T16</f>
        <v>-4026.4259999999999</v>
      </c>
      <c r="X32" s="133">
        <f>+Actuals!U16</f>
        <v>0</v>
      </c>
      <c r="Y32" s="134">
        <f>+Actuals!V16</f>
        <v>-19665.297999999999</v>
      </c>
      <c r="Z32" s="133">
        <f>+Actuals!W16</f>
        <v>0</v>
      </c>
      <c r="AA32" s="134">
        <f>+Actuals!X16</f>
        <v>-16397.473999999998</v>
      </c>
      <c r="AB32" s="133">
        <f>+Actuals!Y16</f>
        <v>2781</v>
      </c>
      <c r="AC32" s="134">
        <f>+Actuals!Z16</f>
        <v>73885.486000000004</v>
      </c>
      <c r="AD32" s="133">
        <f>+Actuals!AA16</f>
        <v>-2781</v>
      </c>
      <c r="AE32" s="134">
        <f>+Actuals!AB16</f>
        <v>-7011.8019999999997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-58354</v>
      </c>
      <c r="E36" s="39">
        <f t="shared" si="9"/>
        <v>-100485.58600000001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-15365</v>
      </c>
      <c r="K36" s="154">
        <f t="shared" si="9"/>
        <v>-26458.53</v>
      </c>
      <c r="L36" s="61">
        <f t="shared" si="9"/>
        <v>26972</v>
      </c>
      <c r="M36" s="39">
        <f t="shared" si="9"/>
        <v>46364.535000000003</v>
      </c>
      <c r="N36" s="61">
        <f t="shared" si="9"/>
        <v>2971</v>
      </c>
      <c r="O36" s="39">
        <f t="shared" si="9"/>
        <v>2514.9589999999998</v>
      </c>
      <c r="P36" s="61">
        <f t="shared" si="9"/>
        <v>-1193</v>
      </c>
      <c r="Q36" s="39">
        <f t="shared" si="9"/>
        <v>1912.9659999999999</v>
      </c>
      <c r="R36" s="61">
        <f t="shared" si="9"/>
        <v>-71739</v>
      </c>
      <c r="S36" s="39">
        <f t="shared" si="9"/>
        <v>-157847.88</v>
      </c>
      <c r="T36" s="61">
        <f t="shared" si="9"/>
        <v>0</v>
      </c>
      <c r="U36" s="39">
        <f t="shared" si="9"/>
        <v>6243.8779999999997</v>
      </c>
      <c r="V36" s="61">
        <f t="shared" si="9"/>
        <v>0</v>
      </c>
      <c r="W36" s="39">
        <f t="shared" si="9"/>
        <v>-4026.4259999999999</v>
      </c>
      <c r="X36" s="61">
        <f t="shared" si="9"/>
        <v>0</v>
      </c>
      <c r="Y36" s="39">
        <f t="shared" si="9"/>
        <v>-19665.297999999999</v>
      </c>
      <c r="Z36" s="61">
        <f t="shared" si="9"/>
        <v>0</v>
      </c>
      <c r="AA36" s="39">
        <f t="shared" si="9"/>
        <v>-16397.473999999998</v>
      </c>
      <c r="AB36" s="61">
        <f t="shared" si="9"/>
        <v>2781</v>
      </c>
      <c r="AC36" s="39">
        <f t="shared" si="9"/>
        <v>73885.486000000004</v>
      </c>
      <c r="AD36" s="61">
        <f t="shared" si="9"/>
        <v>-2781</v>
      </c>
      <c r="AE36" s="39">
        <f t="shared" si="9"/>
        <v>-7011.8019999999997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-15059</v>
      </c>
      <c r="O39" s="134">
        <f>+Actuals!L20</f>
        <v>-26934.53</v>
      </c>
      <c r="P39" s="133">
        <f>+Actuals!M20</f>
        <v>15059</v>
      </c>
      <c r="Q39" s="134">
        <f>+Actuals!N20</f>
        <v>26934.53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-8.9999999850988388E-2</v>
      </c>
      <c r="F40" s="60">
        <f>'TIE-OUT'!P40+RECLASS!P40</f>
        <v>0</v>
      </c>
      <c r="G40" s="38">
        <f>'TIE-OUT'!Q40+RECLASS!Q40</f>
        <v>0</v>
      </c>
      <c r="H40" s="133">
        <f>+Actuals!E21</f>
        <v>-11852259</v>
      </c>
      <c r="I40" s="134">
        <f>+Actuals!F21</f>
        <v>-21138504</v>
      </c>
      <c r="J40" s="133">
        <f>+Actuals!G21</f>
        <v>5389316</v>
      </c>
      <c r="K40" s="153">
        <f>+Actuals!H21</f>
        <v>8419594.8599999994</v>
      </c>
      <c r="L40" s="133">
        <f>+Actuals!I21</f>
        <v>871860</v>
      </c>
      <c r="M40" s="134">
        <f>+Actuals!J21</f>
        <v>1753293.31</v>
      </c>
      <c r="N40" s="133">
        <f>+Actuals!K21</f>
        <v>-9</v>
      </c>
      <c r="O40" s="134">
        <f>+Actuals!L21</f>
        <v>-8185.33</v>
      </c>
      <c r="P40" s="133">
        <f>+Actuals!M21</f>
        <v>5591092</v>
      </c>
      <c r="Q40" s="134">
        <f>+Actuals!N21</f>
        <v>9960313.0700000003</v>
      </c>
      <c r="R40" s="133">
        <f>+Actuals!O21</f>
        <v>0</v>
      </c>
      <c r="S40" s="134">
        <f>+Actuals!P21+1013488</f>
        <v>1013488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-8.9999999850988388E-2</v>
      </c>
      <c r="F42" s="61">
        <f t="shared" si="12"/>
        <v>0</v>
      </c>
      <c r="G42" s="39">
        <f t="shared" si="12"/>
        <v>0</v>
      </c>
      <c r="H42" s="61">
        <f t="shared" si="12"/>
        <v>-11852259</v>
      </c>
      <c r="I42" s="39">
        <f t="shared" si="12"/>
        <v>-21138504</v>
      </c>
      <c r="J42" s="61">
        <f t="shared" si="12"/>
        <v>5389316</v>
      </c>
      <c r="K42" s="154">
        <f t="shared" si="12"/>
        <v>8419594.8599999994</v>
      </c>
      <c r="L42" s="61">
        <f t="shared" si="12"/>
        <v>871860</v>
      </c>
      <c r="M42" s="39">
        <f t="shared" si="12"/>
        <v>1753293.31</v>
      </c>
      <c r="N42" s="61">
        <f t="shared" si="12"/>
        <v>-9</v>
      </c>
      <c r="O42" s="39">
        <f t="shared" si="12"/>
        <v>-8185.33</v>
      </c>
      <c r="P42" s="61">
        <f t="shared" si="12"/>
        <v>5591092</v>
      </c>
      <c r="Q42" s="39">
        <f t="shared" si="12"/>
        <v>9960313.0700000003</v>
      </c>
      <c r="R42" s="61">
        <f t="shared" si="12"/>
        <v>0</v>
      </c>
      <c r="S42" s="39">
        <f t="shared" si="12"/>
        <v>1013488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-8.9999999850988388E-2</v>
      </c>
      <c r="F43" s="61">
        <f t="shared" si="14"/>
        <v>0</v>
      </c>
      <c r="G43" s="39">
        <f t="shared" si="14"/>
        <v>0</v>
      </c>
      <c r="H43" s="61">
        <f t="shared" si="14"/>
        <v>-11852259</v>
      </c>
      <c r="I43" s="39">
        <f t="shared" si="14"/>
        <v>-21138504</v>
      </c>
      <c r="J43" s="61">
        <f t="shared" si="14"/>
        <v>5389316</v>
      </c>
      <c r="K43" s="154">
        <f t="shared" si="14"/>
        <v>8419594.8599999994</v>
      </c>
      <c r="L43" s="61">
        <f t="shared" si="14"/>
        <v>871860</v>
      </c>
      <c r="M43" s="39">
        <f t="shared" si="14"/>
        <v>1753293.31</v>
      </c>
      <c r="N43" s="61">
        <f t="shared" si="14"/>
        <v>-15068</v>
      </c>
      <c r="O43" s="39">
        <f t="shared" si="14"/>
        <v>-35119.86</v>
      </c>
      <c r="P43" s="61">
        <f t="shared" si="14"/>
        <v>5606151</v>
      </c>
      <c r="Q43" s="39">
        <f t="shared" si="14"/>
        <v>9987247.5999999996</v>
      </c>
      <c r="R43" s="61">
        <f t="shared" si="14"/>
        <v>0</v>
      </c>
      <c r="S43" s="39">
        <f t="shared" si="14"/>
        <v>1013488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-69038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-18000</v>
      </c>
      <c r="L47" s="133">
        <f>+Actuals!I24</f>
        <v>0</v>
      </c>
      <c r="M47" s="134">
        <f>+Actuals!J24</f>
        <v>0</v>
      </c>
      <c r="N47" s="133">
        <f>+Actuals!K24</f>
        <v>0</v>
      </c>
      <c r="O47" s="134">
        <f>+Actuals!L24</f>
        <v>9000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+Actuals!V24-69038</f>
        <v>-69038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-9499</v>
      </c>
      <c r="E54" s="38">
        <f>SUM(G54,I54,K54,M54,O54,Q54,S54,U54,W54,Y54,AA54,AC54,AE54,AG54,AI54,AK54,AM54)</f>
        <v>43004.29</v>
      </c>
      <c r="F54" s="64">
        <f>'TIE-OUT'!P54+RECLASS!P54</f>
        <v>0</v>
      </c>
      <c r="G54" s="68">
        <f>'TIE-OUT'!Q54+RECLASS!Q54</f>
        <v>0</v>
      </c>
      <c r="H54" s="133">
        <f>+Actuals!E27</f>
        <v>-15126574</v>
      </c>
      <c r="I54" s="134">
        <f>+Actuals!F27</f>
        <v>0</v>
      </c>
      <c r="J54" s="133">
        <f>+Actuals!G27</f>
        <v>15126574</v>
      </c>
      <c r="K54" s="153">
        <f>+Actuals!H27</f>
        <v>14160.07</v>
      </c>
      <c r="L54" s="133">
        <f>+Actuals!I27</f>
        <v>-9499</v>
      </c>
      <c r="M54" s="134">
        <f>+Actuals!J27</f>
        <v>28844.22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-1434</v>
      </c>
      <c r="X54" s="133">
        <f>+Actuals!U27</f>
        <v>0</v>
      </c>
      <c r="Y54" s="134">
        <f>+Actuals!V27</f>
        <v>1434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-912625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72">
        <f>+Actuals!N28-1083457</f>
        <v>-1083457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+Actuals!R28+170832</f>
        <v>170832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-9499</v>
      </c>
      <c r="E56" s="39">
        <f t="shared" si="16"/>
        <v>-869620.71</v>
      </c>
      <c r="F56" s="61">
        <f t="shared" si="16"/>
        <v>0</v>
      </c>
      <c r="G56" s="39">
        <f t="shared" si="16"/>
        <v>0</v>
      </c>
      <c r="H56" s="61">
        <f t="shared" si="16"/>
        <v>-15126574</v>
      </c>
      <c r="I56" s="39">
        <f t="shared" si="16"/>
        <v>0</v>
      </c>
      <c r="J56" s="61">
        <f t="shared" si="16"/>
        <v>15126574</v>
      </c>
      <c r="K56" s="154">
        <f t="shared" si="16"/>
        <v>14160.07</v>
      </c>
      <c r="L56" s="61">
        <f t="shared" si="16"/>
        <v>-9499</v>
      </c>
      <c r="M56" s="39">
        <f t="shared" si="16"/>
        <v>28844.22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-1083457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170832</v>
      </c>
      <c r="V56" s="61">
        <f t="shared" si="16"/>
        <v>0</v>
      </c>
      <c r="W56" s="39">
        <f t="shared" si="16"/>
        <v>-1434</v>
      </c>
      <c r="X56" s="61">
        <f t="shared" si="16"/>
        <v>0</v>
      </c>
      <c r="Y56" s="39">
        <f t="shared" si="16"/>
        <v>1434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10116.98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312.5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9804.48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4066916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+Actuals!N30+984675+3171868-10073-2824-30199+4645-51176</f>
        <v>4066916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4077032.98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4066916</v>
      </c>
      <c r="R61" s="61">
        <f t="shared" si="18"/>
        <v>0</v>
      </c>
      <c r="S61" s="39">
        <f t="shared" si="18"/>
        <v>312.5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9804.48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-19935965</v>
      </c>
      <c r="E64" s="38">
        <f>SUM(G64,I64,K64,M64,O64,Q64,S64,U64,W64,Y64,AA64,AC64,AE64,AG64,AI64,AK64,AM64)</f>
        <v>-2382993.8099999996</v>
      </c>
      <c r="F64" s="64">
        <f>'TIE-OUT'!P64+RECLASS!P64</f>
        <v>0</v>
      </c>
      <c r="G64" s="68">
        <f>'TIE-OUT'!Q64+RECLASS!Q64</f>
        <v>0</v>
      </c>
      <c r="H64" s="133">
        <f>+Actuals!E31</f>
        <v>0</v>
      </c>
      <c r="I64" s="134">
        <f>+Actuals!F31</f>
        <v>0</v>
      </c>
      <c r="J64" s="133">
        <f>+Actuals!G31</f>
        <v>-29349944</v>
      </c>
      <c r="K64" s="153">
        <f>+Actuals!H31</f>
        <v>-2468196.37</v>
      </c>
      <c r="L64" s="133">
        <f>+Actuals!I31</f>
        <v>794442</v>
      </c>
      <c r="M64" s="134">
        <f>+Actuals!J31</f>
        <v>-4645.08</v>
      </c>
      <c r="N64" s="133">
        <f>+Actuals!K31</f>
        <v>7481830</v>
      </c>
      <c r="O64" s="134">
        <f>+Actuals!L31</f>
        <v>83989.31</v>
      </c>
      <c r="P64" s="133">
        <f>+Actuals!M31</f>
        <v>867165</v>
      </c>
      <c r="Q64" s="134">
        <f>+Actuals!N31</f>
        <v>-19489.509999999998</v>
      </c>
      <c r="R64" s="133">
        <f>+Actuals!O31</f>
        <v>41781</v>
      </c>
      <c r="S64" s="134">
        <f>+Actuals!P31</f>
        <v>158.33000000000001</v>
      </c>
      <c r="T64" s="133">
        <f>+Actuals!Q31</f>
        <v>39431</v>
      </c>
      <c r="U64" s="134">
        <f>+Actuals!R31</f>
        <v>4534.6899999999996</v>
      </c>
      <c r="V64" s="133">
        <f>+Actuals!S31</f>
        <v>13555</v>
      </c>
      <c r="W64" s="134">
        <f>+Actuals!T31</f>
        <v>3328.38</v>
      </c>
      <c r="X64" s="133">
        <f>+Actuals!U31</f>
        <v>-7603</v>
      </c>
      <c r="Y64" s="134">
        <f>+Actuals!V31</f>
        <v>-593.34</v>
      </c>
      <c r="Z64" s="133">
        <f>+Actuals!W31</f>
        <v>-246</v>
      </c>
      <c r="AA64" s="134">
        <f>+Actuals!X31</f>
        <v>-32.49</v>
      </c>
      <c r="AB64" s="133">
        <f>+Actuals!Y31</f>
        <v>2781</v>
      </c>
      <c r="AC64" s="134">
        <f>+Actuals!Z31</f>
        <v>0</v>
      </c>
      <c r="AD64" s="133">
        <f>+Actuals!AA31</f>
        <v>179664</v>
      </c>
      <c r="AE64" s="134">
        <f>+Actuals!AB31</f>
        <v>17863.990000000002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0</v>
      </c>
      <c r="AJ64" s="133">
        <f>+Actuals!AG31</f>
        <v>538</v>
      </c>
      <c r="AK64" s="134">
        <f>+Actuals!AH31</f>
        <v>-5.38</v>
      </c>
      <c r="AL64" s="133">
        <f>+Actuals!AI31</f>
        <v>641</v>
      </c>
      <c r="AM64" s="134">
        <f>+Actuals!AJ31</f>
        <v>93.66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-1720610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34">
        <f>+Actuals!L32</f>
        <v>0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34">
        <f>+Actuals!P32-2175-234</f>
        <v>-2409</v>
      </c>
      <c r="T65" s="133">
        <f>+Actuals!Q32</f>
        <v>0</v>
      </c>
      <c r="U65" s="134">
        <f>+Actuals!R32</f>
        <v>0</v>
      </c>
      <c r="V65" s="133">
        <f>+Actuals!S32</f>
        <v>0</v>
      </c>
      <c r="W65" s="165">
        <f>+Actuals!T32-1692942+277-2486-842</f>
        <v>-1695993</v>
      </c>
      <c r="X65" s="133">
        <f>+Actuals!U32</f>
        <v>0</v>
      </c>
      <c r="Y65" s="165">
        <f>+Actuals!V32+398-5833</f>
        <v>-5435</v>
      </c>
      <c r="Z65" s="133">
        <f>+Actuals!W32</f>
        <v>0</v>
      </c>
      <c r="AA65" s="134">
        <f>+Actuals!X32</f>
        <v>0</v>
      </c>
      <c r="AB65" s="133">
        <f>+Actuals!Y32</f>
        <v>0</v>
      </c>
      <c r="AC65" s="134">
        <f>+Actuals!Z32+1</f>
        <v>1</v>
      </c>
      <c r="AD65" s="133">
        <f>+Actuals!AA32</f>
        <v>0</v>
      </c>
      <c r="AE65" s="134">
        <f>+Actuals!AB32-16774</f>
        <v>-16774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-19935965</v>
      </c>
      <c r="E66" s="39">
        <f t="shared" si="20"/>
        <v>-4103603.8099999996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-29349944</v>
      </c>
      <c r="K66" s="154">
        <f t="shared" si="20"/>
        <v>-2468196.37</v>
      </c>
      <c r="L66" s="61">
        <f t="shared" si="20"/>
        <v>794442</v>
      </c>
      <c r="M66" s="39">
        <f t="shared" si="20"/>
        <v>-4645.08</v>
      </c>
      <c r="N66" s="61">
        <f t="shared" si="20"/>
        <v>7481830</v>
      </c>
      <c r="O66" s="39">
        <f t="shared" si="20"/>
        <v>83989.31</v>
      </c>
      <c r="P66" s="61">
        <f t="shared" si="20"/>
        <v>867165</v>
      </c>
      <c r="Q66" s="39">
        <f t="shared" si="20"/>
        <v>-19489.509999999998</v>
      </c>
      <c r="R66" s="61">
        <f t="shared" si="20"/>
        <v>41781</v>
      </c>
      <c r="S66" s="39">
        <f t="shared" si="20"/>
        <v>-2250.67</v>
      </c>
      <c r="T66" s="61">
        <f t="shared" si="20"/>
        <v>39431</v>
      </c>
      <c r="U66" s="39">
        <f t="shared" si="20"/>
        <v>4534.6899999999996</v>
      </c>
      <c r="V66" s="61">
        <f t="shared" si="20"/>
        <v>13555</v>
      </c>
      <c r="W66" s="39">
        <f t="shared" si="20"/>
        <v>-1692664.62</v>
      </c>
      <c r="X66" s="61">
        <f t="shared" si="20"/>
        <v>-7603</v>
      </c>
      <c r="Y66" s="39">
        <f t="shared" si="20"/>
        <v>-6028.34</v>
      </c>
      <c r="Z66" s="61">
        <f t="shared" si="20"/>
        <v>-246</v>
      </c>
      <c r="AA66" s="39">
        <f t="shared" si="20"/>
        <v>-32.49</v>
      </c>
      <c r="AB66" s="61">
        <f t="shared" si="20"/>
        <v>2781</v>
      </c>
      <c r="AC66" s="39">
        <f t="shared" si="20"/>
        <v>1</v>
      </c>
      <c r="AD66" s="61">
        <f t="shared" si="20"/>
        <v>179664</v>
      </c>
      <c r="AE66" s="39">
        <f t="shared" si="20"/>
        <v>1089.9900000000016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538</v>
      </c>
      <c r="AK66" s="39">
        <f t="shared" si="21"/>
        <v>-5.38</v>
      </c>
      <c r="AL66" s="61">
        <f>SUM(AL64:AL65)</f>
        <v>641</v>
      </c>
      <c r="AM66" s="39">
        <f>SUM(AM64:AM65)</f>
        <v>93.66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254800</v>
      </c>
      <c r="F74" s="60">
        <f>'TIE-OUT'!P74+RECLASS!P74</f>
        <v>0</v>
      </c>
      <c r="G74" s="60">
        <f>'TIE-OUT'!Q74+RECLASS!Q74</f>
        <v>254800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4900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34">
        <f>+Actuals!F43</f>
        <v>0</v>
      </c>
      <c r="J81" s="133">
        <f>+Actuals!G43</f>
        <v>0</v>
      </c>
      <c r="K81" s="153">
        <f>+Actuals!H43+4900</f>
        <v>4900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-1045618.5835999935</v>
      </c>
      <c r="F82" s="92">
        <f>F16+F24+F29+F36+F43+F45+F47+F49</f>
        <v>0</v>
      </c>
      <c r="G82" s="93">
        <f>SUM(G72:G81)+G16+G24+G29+G36+G43+G45+G47+G49+G51+G56+G61+G66</f>
        <v>-2555679.69</v>
      </c>
      <c r="H82" s="92">
        <f>H16+H24+H29+H36+H43+H45+H47+H49</f>
        <v>0</v>
      </c>
      <c r="I82" s="93">
        <f>SUM(I72:I81)+I16+I24+I29+I36+I43+I45+I47+I49+I51+I56+I61+I66</f>
        <v>1281442.7800000012</v>
      </c>
      <c r="J82" s="92">
        <f>J16+J24+J29+J36+J43+J45+J47+J49</f>
        <v>0</v>
      </c>
      <c r="K82" s="118">
        <f>SUM(K72:K81)+K16+K24+K29+K36+K43+K45+K47+K49+K51+K56+K61+K66</f>
        <v>-2446570.56</v>
      </c>
      <c r="L82" s="92">
        <f>L16+L24+L29+L36+L43+L45+L47+L49</f>
        <v>0</v>
      </c>
      <c r="M82" s="93">
        <f>SUM(M72:M81)+M16+M24+M29+M36+M43+M45+M47+M49+M51+M56+M61+M66</f>
        <v>347595.99410000123</v>
      </c>
      <c r="N82" s="92">
        <f>N16+N24+N29+N36+N43+N45+N47+N49</f>
        <v>0</v>
      </c>
      <c r="O82" s="93">
        <f>SUM(O72:O81)+O16+O24+O29+O36+O43+O45+O47+O49+O51+O56+O61+O66</f>
        <v>-25570.366800000062</v>
      </c>
      <c r="P82" s="92">
        <f>P16+P24+P29+P36+P43+P45+P47+P49</f>
        <v>0</v>
      </c>
      <c r="Q82" s="93">
        <f>SUM(Q72:Q81)+Q16+Q24+Q29+Q36+Q43+Q45+Q47+Q49+Q51+Q56+Q61+Q66</f>
        <v>2870676.126699999</v>
      </c>
      <c r="R82" s="92">
        <f>R16+R24+R29+R36+R43+R45+R47+R49</f>
        <v>0</v>
      </c>
      <c r="S82" s="93">
        <f>SUM(S72:S81)+S16+S24+S29+S36+S43+S45+S47+S49+S51+S56+S61+S66</f>
        <v>948103.73849999823</v>
      </c>
      <c r="T82" s="92">
        <f>T16+T24+T29+T36+T43+T45+T47+T49</f>
        <v>0</v>
      </c>
      <c r="U82" s="93">
        <f>SUM(U72:U81)+U16+U24+U29+U36+U43+U45+U47+U49+U51+U56+U61+U66</f>
        <v>197597.51550000001</v>
      </c>
      <c r="V82" s="92">
        <f>V16+V24+V29+V36+V43+V45+V47+V49</f>
        <v>0</v>
      </c>
      <c r="W82" s="93">
        <f>SUM(W72:W81)+W16+W24+W29+W36+W43+W45+W47+W49+W51+W56+W61+W66</f>
        <v>-1699645.6685000001</v>
      </c>
      <c r="X82" s="92">
        <f>X16+X24+X29+X36+X43+X45+X47+X49</f>
        <v>0</v>
      </c>
      <c r="Y82" s="93">
        <f>SUM(Y72:Y81)+Y16+Y24+Y29+Y36+Y43+Y45+Y47+Y49+Y51+Y56+Y61+Y66</f>
        <v>-92720.288</v>
      </c>
      <c r="Z82" s="92">
        <f>Z16+Z24+Z29+Z36+Z43+Z45+Z47+Z49</f>
        <v>0</v>
      </c>
      <c r="AA82" s="93">
        <f>SUM(AA72:AA81)+AA16+AA24+AA29+AA36+AA43+AA45+AA47+AA49+AA51+AA56+AA61+AA66</f>
        <v>34154.636000000006</v>
      </c>
      <c r="AB82" s="92">
        <f>AB16+AB24+AB29+AB36+AB43+AB45+AB47+AB49</f>
        <v>0</v>
      </c>
      <c r="AC82" s="93">
        <f>SUM(AC72:AC81)+AC16+AC24+AC29+AC36+AC43+AC45+AC47+AC49+AC51+AC56+AC61+AC66</f>
        <v>78860.363400000002</v>
      </c>
      <c r="AD82" s="92">
        <f>AD16+AD24+AD29+AD36+AD43+AD45+AD47+AD49</f>
        <v>0</v>
      </c>
      <c r="AE82" s="93">
        <f>SUM(AE72:AE81)+AE16+AE24+AE29+AE36+AE43+AE45+AE47+AE49+AE51+AE56+AE61+AE66</f>
        <v>585.94549999999435</v>
      </c>
      <c r="AF82" s="92">
        <f>AF16+AF24+AF29+AF36+AF43+AF45+AF47+AF49</f>
        <v>0</v>
      </c>
      <c r="AG82" s="93">
        <f>SUM(AG72:AG81)+AG16+AG24+AG29+AG36+AG43+AG45+AG47+AG49+AG51+AG56+AG61+AG66</f>
        <v>-188.08</v>
      </c>
      <c r="AH82" s="92">
        <f>AH16+AH24+AH29+AH36+AH43+AH45+AH47+AH49</f>
        <v>0</v>
      </c>
      <c r="AI82" s="93">
        <f>SUM(AI72:AI81)+AI16+AI24+AI29+AI36+AI43+AI45+AI47+AI49+AI51+AI56+AI61+AI66</f>
        <v>-6.6899999999998272</v>
      </c>
      <c r="AJ82" s="92">
        <f>AJ16+AJ24+AJ29+AJ36+AJ43+AJ45+AJ47+AJ49</f>
        <v>0</v>
      </c>
      <c r="AK82" s="93">
        <f>SUM(AK72:AK81)+AK16+AK24+AK29+AK36+AK43+AK45+AK47+AK49+AK51+AK56+AK61+AK66</f>
        <v>-5.38</v>
      </c>
      <c r="AL82" s="92">
        <f>AL16+AL24+AL29+AL36+AL43+AL45+AL47+AL49</f>
        <v>0</v>
      </c>
      <c r="AM82" s="93">
        <f>SUM(AM72:AM81)+AM16+AM24+AM29+AM36+AM43+AM45+AM47+AM49+AM51+AM56+AM61+AM66</f>
        <v>15751.039999999981</v>
      </c>
    </row>
    <row r="83" spans="1:39" ht="13.5" thickTop="1" x14ac:dyDescent="0.2">
      <c r="A83" s="4"/>
      <c r="B83" s="3"/>
    </row>
    <row r="84" spans="1:39" x14ac:dyDescent="0.2">
      <c r="A84" s="4"/>
      <c r="B84" s="3"/>
      <c r="C84" s="111" t="s">
        <v>108</v>
      </c>
    </row>
    <row r="85" spans="1:39" x14ac:dyDescent="0.2">
      <c r="A85" s="4"/>
      <c r="B85" s="3"/>
      <c r="C85" s="112" t="s">
        <v>109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</row>
    <row r="86" spans="1:39" x14ac:dyDescent="0.2">
      <c r="A86" s="4"/>
      <c r="B86" s="3"/>
      <c r="C86" s="112" t="s">
        <v>110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</row>
    <row r="87" spans="1:39" x14ac:dyDescent="0.2">
      <c r="A87" s="4"/>
      <c r="B87" s="3"/>
      <c r="C87" s="113" t="s">
        <v>111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</row>
    <row r="88" spans="1:39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</row>
    <row r="89" spans="1:39" ht="13.5" thickTop="1" x14ac:dyDescent="0.2">
      <c r="A89" s="4"/>
      <c r="B89" s="3"/>
      <c r="E89" s="37"/>
    </row>
    <row r="90" spans="1:39" x14ac:dyDescent="0.2">
      <c r="A90" s="4"/>
      <c r="B90" s="3"/>
      <c r="C90" s="3" t="s">
        <v>112</v>
      </c>
      <c r="E90" s="31">
        <f>SUM(F90:AE90)</f>
        <v>43004.29</v>
      </c>
      <c r="I90" s="45">
        <f>I54</f>
        <v>0</v>
      </c>
      <c r="K90" s="155">
        <f>K54</f>
        <v>14160.07</v>
      </c>
      <c r="M90" s="45">
        <f>M54</f>
        <v>28844.22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-1434</v>
      </c>
      <c r="Y90" s="45">
        <f>Y54</f>
        <v>1434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</row>
    <row r="91" spans="1:39" x14ac:dyDescent="0.2">
      <c r="A91" s="4"/>
      <c r="B91" s="3"/>
      <c r="C91" s="116" t="s">
        <v>113</v>
      </c>
      <c r="E91" s="31">
        <f>SUM(F91:AE91)</f>
        <v>-912625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0</v>
      </c>
      <c r="Q91" s="45">
        <f>Q55</f>
        <v>-1083457</v>
      </c>
      <c r="S91" s="45">
        <f>S55</f>
        <v>0</v>
      </c>
      <c r="U91" s="45">
        <f>U55</f>
        <v>170832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</row>
    <row r="92" spans="1:39" ht="13.5" thickBot="1" x14ac:dyDescent="0.25">
      <c r="A92" s="4"/>
      <c r="B92" s="3"/>
      <c r="C92" s="114" t="s">
        <v>114</v>
      </c>
      <c r="E92" s="115">
        <f>SUM(E90:E91)</f>
        <v>-869620.71</v>
      </c>
    </row>
    <row r="93" spans="1:39" ht="13.5" thickTop="1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M187"/>
  <sheetViews>
    <sheetView zoomScale="75" workbookViewId="0">
      <pane xSplit="3" ySplit="9" topLeftCell="T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46983125</v>
      </c>
      <c r="E11" s="38">
        <f t="shared" si="0"/>
        <v>96652479.439999998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47303169</v>
      </c>
      <c r="I11" s="38">
        <f>'TX-EGM-GL'!I11+'TX-HPL-GL '!I11</f>
        <v>95748948.50999999</v>
      </c>
      <c r="J11" s="60">
        <f>'TX-EGM-GL'!J11+'TX-HPL-GL '!J11</f>
        <v>-3845473</v>
      </c>
      <c r="K11" s="38">
        <f>'TX-EGM-GL'!K11+'TX-HPL-GL '!K11</f>
        <v>-6529358.7200000016</v>
      </c>
      <c r="L11" s="60">
        <f>'TX-EGM-GL'!L11+'TX-HPL-GL '!L11</f>
        <v>2628806</v>
      </c>
      <c r="M11" s="38">
        <f>'TX-EGM-GL'!M11+'TX-HPL-GL '!M11</f>
        <v>3623094.82</v>
      </c>
      <c r="N11" s="60">
        <f>'TX-EGM-GL'!N11+'TX-HPL-GL '!N11</f>
        <v>-588683</v>
      </c>
      <c r="O11" s="38">
        <f>'TX-EGM-GL'!O11+'TX-HPL-GL '!O11</f>
        <v>-218404.42000000004</v>
      </c>
      <c r="P11" s="60">
        <f>'TX-EGM-GL'!P11+'TX-HPL-GL '!P11</f>
        <v>1454229</v>
      </c>
      <c r="Q11" s="38">
        <f>'TX-EGM-GL'!Q11+'TX-HPL-GL '!Q11</f>
        <v>3983111.87</v>
      </c>
      <c r="R11" s="60">
        <f>'TX-EGM-GL'!R11+'TX-HPL-GL '!R11</f>
        <v>-156146</v>
      </c>
      <c r="S11" s="38">
        <f>'TX-EGM-GL'!S11+'TX-HPL-GL '!S11</f>
        <v>-287067</v>
      </c>
      <c r="T11" s="60">
        <f>'TX-EGM-GL'!T11+'TX-HPL-GL '!T11</f>
        <v>-7039</v>
      </c>
      <c r="U11" s="38">
        <f>'TX-EGM-GL'!U11+'TX-HPL-GL '!U11</f>
        <v>-22941.569999999992</v>
      </c>
      <c r="V11" s="60">
        <f>'TX-EGM-GL'!V11+'TX-HPL-GL '!V11</f>
        <v>15500</v>
      </c>
      <c r="W11" s="38">
        <f>'TX-EGM-GL'!W11+'TX-HPL-GL '!W11</f>
        <v>-29895.920000000002</v>
      </c>
      <c r="X11" s="60">
        <f>'TX-EGM-GL'!X11+'TX-HPL-GL '!X11</f>
        <v>-2978</v>
      </c>
      <c r="Y11" s="38">
        <f>'TX-EGM-GL'!Y11+'TX-HPL-GL '!Y11</f>
        <v>2904.3500000000004</v>
      </c>
      <c r="Z11" s="60">
        <f>'TX-EGM-GL'!Z11+'TX-HPL-GL '!Z11</f>
        <v>208747</v>
      </c>
      <c r="AA11" s="38">
        <f>'TX-EGM-GL'!AA11+'TX-HPL-GL '!AA11</f>
        <v>442894.48</v>
      </c>
      <c r="AB11" s="60">
        <f>'TX-EGM-GL'!AB11+'TX-HPL-GL '!AB11</f>
        <v>13142</v>
      </c>
      <c r="AC11" s="38">
        <f>'TX-EGM-GL'!AC11+'TX-HPL-GL '!AC11</f>
        <v>7815.92</v>
      </c>
      <c r="AD11" s="60">
        <f>'TX-EGM-GL'!AD11+'TX-HPL-GL '!AD11</f>
        <v>-40149</v>
      </c>
      <c r="AE11" s="38">
        <f>'TX-EGM-GL'!AE11+'TX-HPL-GL '!AE11</f>
        <v>-68622.880000000005</v>
      </c>
      <c r="AF11" s="60">
        <f>'TX-EGM-GL'!AN11+'TX-HPL-GL '!AN11</f>
        <v>0</v>
      </c>
      <c r="AG11" s="38">
        <f>'TX-EGM-GL'!AO11+'TX-HPL-GL '!AO11</f>
        <v>0</v>
      </c>
      <c r="AH11" s="60">
        <f>'TX-EGM-GL'!AP11+'TX-HPL-GL '!AP11</f>
        <v>0</v>
      </c>
      <c r="AI11" s="38">
        <f>'TX-EGM-GL'!AQ11+'TX-HPL-GL '!AQ11</f>
        <v>0</v>
      </c>
      <c r="AJ11" s="60">
        <f>'TX-EGM-GL'!AR11+'TX-HPL-GL '!AR11</f>
        <v>0</v>
      </c>
      <c r="AK11" s="38">
        <f>'TX-EGM-GL'!AS11+'TX-HPL-GL '!AS11</f>
        <v>0</v>
      </c>
      <c r="AL11" s="60">
        <f>'TX-EGM-GL'!AT11+'TX-HPL-GL '!AT11</f>
        <v>0</v>
      </c>
      <c r="AM11" s="38">
        <f>'TX-EGM-GL'!AU11+'TX-HPL-GL 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-16185896.16</v>
      </c>
      <c r="F12" s="60">
        <f>('TIE-OUT'!P12+'TIE-OUT'!R12)+(RECLASS!P12+RECLASS!R12)</f>
        <v>0</v>
      </c>
      <c r="G12" s="38">
        <f>('TIE-OUT'!Q12+'TIE-OUT'!S12)+(RECLASS!Q12+RECLASS!S12)</f>
        <v>-16185896.16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'TX-EGM-GL'!AN12+'TX-HPL-GL '!AN12</f>
        <v>0</v>
      </c>
      <c r="AG12" s="38">
        <f>'TX-EGM-GL'!AO12+'TX-HPL-GL '!AO12</f>
        <v>0</v>
      </c>
      <c r="AH12" s="60">
        <f>'TX-EGM-GL'!AP12+'TX-HPL-GL '!AP12</f>
        <v>0</v>
      </c>
      <c r="AI12" s="38">
        <f>'TX-EGM-GL'!AQ12+'TX-HPL-GL '!AQ12</f>
        <v>0</v>
      </c>
      <c r="AJ12" s="60">
        <f>'TX-EGM-GL'!AR12+'TX-HPL-GL '!AR12</f>
        <v>0</v>
      </c>
      <c r="AK12" s="38">
        <f>'TX-EGM-GL'!AS12+'TX-HPL-GL '!AS12</f>
        <v>0</v>
      </c>
      <c r="AL12" s="60">
        <f>'TX-EGM-GL'!AT12+'TX-HPL-GL '!AT12</f>
        <v>0</v>
      </c>
      <c r="AM12" s="38">
        <f>'TX-EGM-GL'!AU12+'TX-HPL-GL 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5503413</v>
      </c>
      <c r="I13" s="38">
        <f>'TX-EGM-GL'!I13+'TX-HPL-GL '!I13</f>
        <v>9717449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-563127</v>
      </c>
      <c r="O13" s="38">
        <f>'TX-EGM-GL'!O13+'TX-HPL-GL '!O13</f>
        <v>-987233</v>
      </c>
      <c r="P13" s="60">
        <f>'TX-EGM-GL'!P13+'TX-HPL-GL '!P13</f>
        <v>-15405</v>
      </c>
      <c r="Q13" s="38">
        <f>'TX-EGM-GL'!Q13+'TX-HPL-GL '!Q13</f>
        <v>8261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2570465</v>
      </c>
      <c r="AA13" s="38">
        <f>'TX-EGM-GL'!AA13+'TX-HPL-GL '!AA13</f>
        <v>4646111</v>
      </c>
      <c r="AB13" s="60">
        <f>'TX-EGM-GL'!AB13+'TX-HPL-GL '!AB13</f>
        <v>2630465</v>
      </c>
      <c r="AC13" s="38">
        <f>'TX-EGM-GL'!AC13+'TX-HPL-GL '!AC13</f>
        <v>4752911</v>
      </c>
      <c r="AD13" s="60">
        <f>'TX-EGM-GL'!AD13+'TX-HPL-GL '!AD13</f>
        <v>-4622398</v>
      </c>
      <c r="AE13" s="38">
        <f>'TX-EGM-GL'!AE13+'TX-HPL-GL '!AE13</f>
        <v>-8420050</v>
      </c>
      <c r="AF13" s="60">
        <f>'TX-EGM-GL'!AN13+'TX-HPL-GL '!AN13</f>
        <v>0</v>
      </c>
      <c r="AG13" s="38">
        <f>'TX-EGM-GL'!AO13+'TX-HPL-GL '!AO13</f>
        <v>0</v>
      </c>
      <c r="AH13" s="60">
        <f>'TX-EGM-GL'!AP13+'TX-HPL-GL '!AP13</f>
        <v>0</v>
      </c>
      <c r="AI13" s="38">
        <f>'TX-EGM-GL'!AQ13+'TX-HPL-GL '!AQ13</f>
        <v>0</v>
      </c>
      <c r="AJ13" s="60">
        <f>'TX-EGM-GL'!AR13+'TX-HPL-GL '!AR13</f>
        <v>0</v>
      </c>
      <c r="AK13" s="38">
        <f>'TX-EGM-GL'!AS13+'TX-HPL-GL '!AS13</f>
        <v>0</v>
      </c>
      <c r="AL13" s="60">
        <f>'TX-EGM-GL'!AT13+'TX-HPL-GL '!AT13</f>
        <v>0</v>
      </c>
      <c r="AM13" s="38">
        <f>'TX-EGM-GL'!AU13+'TX-HPL-GL 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'TX-EGM-GL'!AN14+'TX-HPL-GL '!AN14</f>
        <v>0</v>
      </c>
      <c r="AG14" s="38">
        <f>'TX-EGM-GL'!AO14+'TX-HPL-GL '!AO14</f>
        <v>0</v>
      </c>
      <c r="AH14" s="60">
        <f>'TX-EGM-GL'!AP14+'TX-HPL-GL '!AP14</f>
        <v>0</v>
      </c>
      <c r="AI14" s="38">
        <f>'TX-EGM-GL'!AQ14+'TX-HPL-GL '!AQ14</f>
        <v>0</v>
      </c>
      <c r="AJ14" s="60">
        <f>'TX-EGM-GL'!AR14+'TX-HPL-GL '!AR14</f>
        <v>0</v>
      </c>
      <c r="AK14" s="38">
        <f>'TX-EGM-GL'!AS14+'TX-HPL-GL '!AS14</f>
        <v>0</v>
      </c>
      <c r="AL14" s="60">
        <f>'TX-EGM-GL'!AT14+'TX-HPL-GL '!AT14</f>
        <v>0</v>
      </c>
      <c r="AM14" s="38">
        <f>'TX-EGM-GL'!AU14+'TX-HPL-GL 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'TX-EGM-GL'!AN15+'TX-HPL-GL '!AN15</f>
        <v>0</v>
      </c>
      <c r="AG15" s="38">
        <f>'TX-EGM-GL'!AO15+'TX-HPL-GL '!AO15</f>
        <v>0</v>
      </c>
      <c r="AH15" s="60">
        <f>'TX-EGM-GL'!AP15+'TX-HPL-GL '!AP15</f>
        <v>0</v>
      </c>
      <c r="AI15" s="38">
        <f>'TX-EGM-GL'!AQ15+'TX-HPL-GL '!AQ15</f>
        <v>0</v>
      </c>
      <c r="AJ15" s="60">
        <f>'TX-EGM-GL'!AR15+'TX-HPL-GL '!AR15</f>
        <v>0</v>
      </c>
      <c r="AK15" s="38">
        <f>'TX-EGM-GL'!AS15+'TX-HPL-GL '!AS15</f>
        <v>0</v>
      </c>
      <c r="AL15" s="60">
        <f>'TX-EGM-GL'!AT15+'TX-HPL-GL '!AT15</f>
        <v>0</v>
      </c>
      <c r="AM15" s="38">
        <f>'TX-EGM-GL'!AU15+'TX-HPL-GL '!AU15</f>
        <v>0</v>
      </c>
    </row>
    <row r="16" spans="1:39" x14ac:dyDescent="0.2">
      <c r="A16" s="9"/>
      <c r="B16" s="7" t="s">
        <v>34</v>
      </c>
      <c r="C16" s="6"/>
      <c r="D16" s="61">
        <f>SUM(D11:D15)</f>
        <v>52486538</v>
      </c>
      <c r="E16" s="39">
        <f>SUM(E11:E15)</f>
        <v>90184032.280000001</v>
      </c>
      <c r="F16" s="61">
        <f t="shared" ref="F16:AD16" si="1">SUM(F11:F15)</f>
        <v>0</v>
      </c>
      <c r="G16" s="39">
        <f t="shared" si="1"/>
        <v>-16185896.16</v>
      </c>
      <c r="H16" s="61">
        <f t="shared" si="1"/>
        <v>52806582</v>
      </c>
      <c r="I16" s="39">
        <f t="shared" si="1"/>
        <v>105466397.50999999</v>
      </c>
      <c r="J16" s="61">
        <f t="shared" si="1"/>
        <v>-3845473</v>
      </c>
      <c r="K16" s="39">
        <f t="shared" si="1"/>
        <v>-6529358.7200000016</v>
      </c>
      <c r="L16" s="61">
        <f t="shared" si="1"/>
        <v>2628806</v>
      </c>
      <c r="M16" s="39">
        <f t="shared" si="1"/>
        <v>3623094.82</v>
      </c>
      <c r="N16" s="61">
        <f t="shared" si="1"/>
        <v>-1151810</v>
      </c>
      <c r="O16" s="39">
        <f t="shared" si="1"/>
        <v>-1205637.42</v>
      </c>
      <c r="P16" s="61">
        <f t="shared" si="1"/>
        <v>1438824</v>
      </c>
      <c r="Q16" s="39">
        <f t="shared" si="1"/>
        <v>3991372.87</v>
      </c>
      <c r="R16" s="61">
        <f t="shared" si="1"/>
        <v>-156146</v>
      </c>
      <c r="S16" s="39">
        <f t="shared" si="1"/>
        <v>-287067</v>
      </c>
      <c r="T16" s="61">
        <f t="shared" si="1"/>
        <v>-7039</v>
      </c>
      <c r="U16" s="39">
        <f t="shared" ref="U16:AE16" si="2">SUM(U11:U15)</f>
        <v>-22941.569999999992</v>
      </c>
      <c r="V16" s="61">
        <f t="shared" si="1"/>
        <v>15500</v>
      </c>
      <c r="W16" s="39">
        <f t="shared" si="2"/>
        <v>-29895.920000000002</v>
      </c>
      <c r="X16" s="61">
        <f t="shared" si="1"/>
        <v>-2978</v>
      </c>
      <c r="Y16" s="39">
        <f t="shared" si="2"/>
        <v>2904.3500000000004</v>
      </c>
      <c r="Z16" s="61">
        <f t="shared" si="1"/>
        <v>2779212</v>
      </c>
      <c r="AA16" s="39">
        <f t="shared" si="2"/>
        <v>5089005.4800000004</v>
      </c>
      <c r="AB16" s="61">
        <f t="shared" si="1"/>
        <v>2643607</v>
      </c>
      <c r="AC16" s="39">
        <f t="shared" si="2"/>
        <v>4760726.92</v>
      </c>
      <c r="AD16" s="61">
        <f t="shared" si="1"/>
        <v>-4662547</v>
      </c>
      <c r="AE16" s="39">
        <f t="shared" si="2"/>
        <v>-8488672.8800000008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-26248753</v>
      </c>
      <c r="E19" s="38">
        <f t="shared" si="4"/>
        <v>-52860936.359999999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-30560037</v>
      </c>
      <c r="I19" s="38">
        <f>'TX-EGM-GL'!I19+'TX-HPL-GL '!I19</f>
        <v>-53426243.239999995</v>
      </c>
      <c r="J19" s="60">
        <f>'TX-EGM-GL'!J19+'TX-HPL-GL '!J19</f>
        <v>18835932</v>
      </c>
      <c r="K19" s="38">
        <f>'TX-EGM-GL'!K19+'TX-HPL-GL '!K19</f>
        <v>1290478.46</v>
      </c>
      <c r="L19" s="60">
        <f>'TX-EGM-GL'!L19+'TX-HPL-GL '!L19</f>
        <v>-12876116</v>
      </c>
      <c r="M19" s="38">
        <f>'TX-EGM-GL'!M19+'TX-HPL-GL '!M19</f>
        <v>8597077.4000000004</v>
      </c>
      <c r="N19" s="60">
        <f>'TX-EGM-GL'!N19+'TX-HPL-GL '!N19</f>
        <v>-103708</v>
      </c>
      <c r="O19" s="38">
        <f>'TX-EGM-GL'!O19+'TX-HPL-GL '!O19</f>
        <v>-178513.65</v>
      </c>
      <c r="P19" s="60">
        <f>'TX-EGM-GL'!P19+'TX-HPL-GL '!P19</f>
        <v>-1377925</v>
      </c>
      <c r="Q19" s="38">
        <f>'TX-EGM-GL'!Q19+'TX-HPL-GL '!Q19</f>
        <v>-2201324.2700000005</v>
      </c>
      <c r="R19" s="60">
        <f>'TX-EGM-GL'!R19+'TX-HPL-GL '!R19</f>
        <v>-88366</v>
      </c>
      <c r="S19" s="38">
        <f>'TX-EGM-GL'!S19+'TX-HPL-GL '!S19</f>
        <v>-145815.28</v>
      </c>
      <c r="T19" s="60">
        <f>'TX-EGM-GL'!T19+'TX-HPL-GL '!T19</f>
        <v>-4447</v>
      </c>
      <c r="U19" s="38">
        <f>'TX-EGM-GL'!U19+'TX-HPL-GL '!U19</f>
        <v>-6792420.5300000003</v>
      </c>
      <c r="V19" s="60">
        <f>'TX-EGM-GL'!V19+'TX-HPL-GL '!V19</f>
        <v>6779</v>
      </c>
      <c r="W19" s="38">
        <f>'TX-EGM-GL'!W19+'TX-HPL-GL '!W19</f>
        <v>130254.73999999999</v>
      </c>
      <c r="X19" s="60">
        <f>'TX-EGM-GL'!X19+'TX-HPL-GL '!X19</f>
        <v>-23573</v>
      </c>
      <c r="Y19" s="38">
        <f>'TX-EGM-GL'!Y19+'TX-HPL-GL '!Y19</f>
        <v>-38377.71</v>
      </c>
      <c r="Z19" s="60">
        <f>'TX-EGM-GL'!Z19+'TX-HPL-GL '!Z19</f>
        <v>-203375</v>
      </c>
      <c r="AA19" s="38">
        <f>'TX-EGM-GL'!AA19+'TX-HPL-GL '!AA19</f>
        <v>-353719.51</v>
      </c>
      <c r="AB19" s="60">
        <f>'TX-EGM-GL'!AB19+'TX-HPL-GL '!AB19</f>
        <v>9051</v>
      </c>
      <c r="AC19" s="38">
        <f>'TX-EGM-GL'!AC19+'TX-HPL-GL '!AC19</f>
        <v>15119.11</v>
      </c>
      <c r="AD19" s="60">
        <f>'TX-EGM-GL'!AD19+'TX-HPL-GL '!AD19</f>
        <v>137032</v>
      </c>
      <c r="AE19" s="38">
        <f>'TX-EGM-GL'!AE19+'TX-HPL-GL '!AE19</f>
        <v>242548.12000000002</v>
      </c>
      <c r="AF19" s="60">
        <f>'TX-EGM-GL'!AN19+'TX-HPL-GL '!AN19</f>
        <v>0</v>
      </c>
      <c r="AG19" s="38">
        <f>'TX-EGM-GL'!AO19+'TX-HPL-GL '!AO19</f>
        <v>0</v>
      </c>
      <c r="AH19" s="60">
        <f>'TX-EGM-GL'!AP19+'TX-HPL-GL '!AP19</f>
        <v>0</v>
      </c>
      <c r="AI19" s="38">
        <f>'TX-EGM-GL'!AQ19+'TX-HPL-GL '!AQ19</f>
        <v>0</v>
      </c>
      <c r="AJ19" s="60">
        <f>'TX-EGM-GL'!AR19+'TX-HPL-GL '!AR19</f>
        <v>0</v>
      </c>
      <c r="AK19" s="38">
        <f>'TX-EGM-GL'!AS19+'TX-HPL-GL '!AS19</f>
        <v>0</v>
      </c>
      <c r="AL19" s="60">
        <f>'TX-EGM-GL'!AT19+'TX-HPL-GL '!AT19</f>
        <v>0</v>
      </c>
      <c r="AM19" s="38">
        <f>'TX-EGM-GL'!AU19+'TX-HPL-GL 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3132421.89</v>
      </c>
      <c r="F20" s="60">
        <f>('TIE-OUT'!P20+'TIE-OUT'!R20)+(RECLASS!P20+RECLASS!R20)</f>
        <v>0</v>
      </c>
      <c r="G20" s="38">
        <f>('TIE-OUT'!Q20+'TIE-OUT'!S20)+(RECLASS!Q20+RECLASS!S20)</f>
        <v>3351591.89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-95170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-124000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'TX-EGM-GL'!AN20+'TX-HPL-GL '!AN20</f>
        <v>0</v>
      </c>
      <c r="AG20" s="38">
        <f>'TX-EGM-GL'!AO20+'TX-HPL-GL '!AO20</f>
        <v>0</v>
      </c>
      <c r="AH20" s="60">
        <f>'TX-EGM-GL'!AP20+'TX-HPL-GL '!AP20</f>
        <v>0</v>
      </c>
      <c r="AI20" s="38">
        <f>'TX-EGM-GL'!AQ20+'TX-HPL-GL '!AQ20</f>
        <v>0</v>
      </c>
      <c r="AJ20" s="60">
        <f>'TX-EGM-GL'!AR20+'TX-HPL-GL '!AR20</f>
        <v>0</v>
      </c>
      <c r="AK20" s="38">
        <f>'TX-EGM-GL'!AS20+'TX-HPL-GL '!AS20</f>
        <v>0</v>
      </c>
      <c r="AL20" s="60">
        <f>'TX-EGM-GL'!AT20+'TX-HPL-GL '!AT20</f>
        <v>0</v>
      </c>
      <c r="AM20" s="38">
        <f>'TX-EGM-GL'!AU20+'TX-HPL-GL 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-4169082</v>
      </c>
      <c r="E21" s="38">
        <f t="shared" si="4"/>
        <v>-7317489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-4169082</v>
      </c>
      <c r="I21" s="38">
        <f>'TX-EGM-GL'!I21+'TX-HPL-GL '!I21</f>
        <v>-7317489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-890</v>
      </c>
      <c r="O21" s="38">
        <f>'TX-EGM-GL'!O21+'TX-HPL-GL '!O21</f>
        <v>-1416</v>
      </c>
      <c r="P21" s="60">
        <f>'TX-EGM-GL'!P21+'TX-HPL-GL '!P21</f>
        <v>15405</v>
      </c>
      <c r="Q21" s="38">
        <f>'TX-EGM-GL'!Q21+'TX-HPL-GL '!Q21</f>
        <v>23646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-2570465</v>
      </c>
      <c r="AA21" s="38">
        <f>'TX-EGM-GL'!AA21+'TX-HPL-GL '!AA21</f>
        <v>-4646111</v>
      </c>
      <c r="AB21" s="60">
        <f>'TX-EGM-GL'!AB21+'TX-HPL-GL '!AB21</f>
        <v>-2630465</v>
      </c>
      <c r="AC21" s="38">
        <f>'TX-EGM-GL'!AC21+'TX-HPL-GL '!AC21</f>
        <v>-4752911</v>
      </c>
      <c r="AD21" s="60">
        <f>'TX-EGM-GL'!AD21+'TX-HPL-GL '!AD21</f>
        <v>5186415</v>
      </c>
      <c r="AE21" s="38">
        <f>'TX-EGM-GL'!AE21+'TX-HPL-GL '!AE21</f>
        <v>9376792</v>
      </c>
      <c r="AF21" s="60">
        <f>'TX-EGM-GL'!AN21+'TX-HPL-GL '!AN21</f>
        <v>0</v>
      </c>
      <c r="AG21" s="38">
        <f>'TX-EGM-GL'!AO21+'TX-HPL-GL '!AO21</f>
        <v>0</v>
      </c>
      <c r="AH21" s="60">
        <f>'TX-EGM-GL'!AP21+'TX-HPL-GL '!AP21</f>
        <v>0</v>
      </c>
      <c r="AI21" s="38">
        <f>'TX-EGM-GL'!AQ21+'TX-HPL-GL '!AQ21</f>
        <v>0</v>
      </c>
      <c r="AJ21" s="60">
        <f>'TX-EGM-GL'!AR21+'TX-HPL-GL '!AR21</f>
        <v>0</v>
      </c>
      <c r="AK21" s="38">
        <f>'TX-EGM-GL'!AS21+'TX-HPL-GL '!AS21</f>
        <v>0</v>
      </c>
      <c r="AL21" s="60">
        <f>'TX-EGM-GL'!AT21+'TX-HPL-GL '!AT21</f>
        <v>0</v>
      </c>
      <c r="AM21" s="38">
        <f>'TX-EGM-GL'!AU21+'TX-HPL-GL 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'TX-EGM-GL'!AN22+'TX-HPL-GL '!AN22</f>
        <v>0</v>
      </c>
      <c r="AG22" s="38">
        <f>'TX-EGM-GL'!AO22+'TX-HPL-GL '!AO22</f>
        <v>0</v>
      </c>
      <c r="AH22" s="60">
        <f>'TX-EGM-GL'!AP22+'TX-HPL-GL '!AP22</f>
        <v>0</v>
      </c>
      <c r="AI22" s="38">
        <f>'TX-EGM-GL'!AQ22+'TX-HPL-GL '!AQ22</f>
        <v>0</v>
      </c>
      <c r="AJ22" s="60">
        <f>'TX-EGM-GL'!AR22+'TX-HPL-GL '!AR22</f>
        <v>0</v>
      </c>
      <c r="AK22" s="38">
        <f>'TX-EGM-GL'!AS22+'TX-HPL-GL '!AS22</f>
        <v>0</v>
      </c>
      <c r="AL22" s="60">
        <f>'TX-EGM-GL'!AT22+'TX-HPL-GL '!AT22</f>
        <v>0</v>
      </c>
      <c r="AM22" s="38">
        <f>'TX-EGM-GL'!AU22+'TX-HPL-GL 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9009</v>
      </c>
      <c r="E23" s="38">
        <f t="shared" si="4"/>
        <v>15454.2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8455</v>
      </c>
      <c r="K23" s="38">
        <f>'TX-EGM-GL'!K23+'TX-HPL-GL '!K23</f>
        <v>14500</v>
      </c>
      <c r="L23" s="60">
        <f>'TX-EGM-GL'!L23+'TX-HPL-GL '!L23</f>
        <v>-46</v>
      </c>
      <c r="M23" s="38">
        <f>'TX-EGM-GL'!M23+'TX-HPL-GL '!M23</f>
        <v>-79</v>
      </c>
      <c r="N23" s="60">
        <f>'TX-EGM-GL'!N23+'TX-HPL-GL '!N23</f>
        <v>600</v>
      </c>
      <c r="O23" s="38">
        <f>'TX-EGM-GL'!O23+'TX-HPL-GL '!O23</f>
        <v>1033.2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'TX-EGM-GL'!AN23+'TX-HPL-GL '!AN23</f>
        <v>0</v>
      </c>
      <c r="AG23" s="38">
        <f>'TX-EGM-GL'!AO23+'TX-HPL-GL '!AO23</f>
        <v>0</v>
      </c>
      <c r="AH23" s="60">
        <f>'TX-EGM-GL'!AP23+'TX-HPL-GL '!AP23</f>
        <v>0</v>
      </c>
      <c r="AI23" s="38">
        <f>'TX-EGM-GL'!AQ23+'TX-HPL-GL '!AQ23</f>
        <v>0</v>
      </c>
      <c r="AJ23" s="60">
        <f>'TX-EGM-GL'!AR23+'TX-HPL-GL '!AR23</f>
        <v>0</v>
      </c>
      <c r="AK23" s="38">
        <f>'TX-EGM-GL'!AS23+'TX-HPL-GL '!AS23</f>
        <v>0</v>
      </c>
      <c r="AL23" s="60">
        <f>'TX-EGM-GL'!AT23+'TX-HPL-GL '!AT23</f>
        <v>0</v>
      </c>
      <c r="AM23" s="38">
        <f>'TX-EGM-GL'!AU23+'TX-HPL-GL '!AU23</f>
        <v>0</v>
      </c>
    </row>
    <row r="24" spans="1:39" x14ac:dyDescent="0.2">
      <c r="A24" s="9"/>
      <c r="B24" s="7" t="s">
        <v>37</v>
      </c>
      <c r="C24" s="6"/>
      <c r="D24" s="61">
        <f>SUM(D19:D23)</f>
        <v>-30408826</v>
      </c>
      <c r="E24" s="39">
        <f>SUM(E19:E23)</f>
        <v>-57030549.269999996</v>
      </c>
      <c r="F24" s="61">
        <f t="shared" ref="F24:AD24" si="5">SUM(F19:F23)</f>
        <v>0</v>
      </c>
      <c r="G24" s="39">
        <f t="shared" si="5"/>
        <v>3351591.89</v>
      </c>
      <c r="H24" s="61">
        <f t="shared" si="5"/>
        <v>-34729119</v>
      </c>
      <c r="I24" s="39">
        <f t="shared" si="5"/>
        <v>-60743732.239999995</v>
      </c>
      <c r="J24" s="61">
        <f t="shared" si="5"/>
        <v>18844387</v>
      </c>
      <c r="K24" s="39">
        <f t="shared" si="5"/>
        <v>1304978.46</v>
      </c>
      <c r="L24" s="61">
        <f t="shared" si="5"/>
        <v>-12876162</v>
      </c>
      <c r="M24" s="39">
        <f t="shared" si="5"/>
        <v>8596998.4000000004</v>
      </c>
      <c r="N24" s="61">
        <f t="shared" si="5"/>
        <v>-103998</v>
      </c>
      <c r="O24" s="39">
        <f t="shared" si="5"/>
        <v>-178896.44999999998</v>
      </c>
      <c r="P24" s="61">
        <f t="shared" si="5"/>
        <v>-1362520</v>
      </c>
      <c r="Q24" s="39">
        <f t="shared" si="5"/>
        <v>-2272848.2700000005</v>
      </c>
      <c r="R24" s="61">
        <f t="shared" si="5"/>
        <v>-88366</v>
      </c>
      <c r="S24" s="39">
        <f t="shared" si="5"/>
        <v>-145815.28</v>
      </c>
      <c r="T24" s="61">
        <f t="shared" si="5"/>
        <v>-4447</v>
      </c>
      <c r="U24" s="39">
        <f t="shared" ref="U24:AE24" si="6">SUM(U19:U23)</f>
        <v>-6792420.5300000003</v>
      </c>
      <c r="V24" s="61">
        <f t="shared" si="5"/>
        <v>6779</v>
      </c>
      <c r="W24" s="39">
        <f t="shared" si="6"/>
        <v>130254.73999999999</v>
      </c>
      <c r="X24" s="61">
        <f t="shared" si="5"/>
        <v>-23573</v>
      </c>
      <c r="Y24" s="39">
        <f t="shared" si="6"/>
        <v>-38377.71</v>
      </c>
      <c r="Z24" s="61">
        <f t="shared" si="5"/>
        <v>-2773840</v>
      </c>
      <c r="AA24" s="39">
        <f t="shared" si="6"/>
        <v>-5123830.51</v>
      </c>
      <c r="AB24" s="61">
        <f t="shared" si="5"/>
        <v>-2621414</v>
      </c>
      <c r="AC24" s="39">
        <f t="shared" si="6"/>
        <v>-4737791.8899999997</v>
      </c>
      <c r="AD24" s="61">
        <f t="shared" si="5"/>
        <v>5323447</v>
      </c>
      <c r="AE24" s="39">
        <f t="shared" si="6"/>
        <v>9619340.1199999992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5362891</v>
      </c>
      <c r="E27" s="38">
        <f>SUM(G27,I27,K27,M27,O27,Q27,S27,U27,W27,Y27,AA27,AC27,AE27,AG27,AI27,AK27,AM27)</f>
        <v>9374197.5032999981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2389507</v>
      </c>
      <c r="I27" s="38">
        <f>'TX-EGM-GL'!I27+'TX-HPL-GL '!I27</f>
        <v>2928097</v>
      </c>
      <c r="J27" s="60">
        <f>'TX-EGM-GL'!J27+'TX-HPL-GL '!J27</f>
        <v>7137827</v>
      </c>
      <c r="K27" s="38">
        <f>'TX-EGM-GL'!K27+'TX-HPL-GL '!K27</f>
        <v>13944231.219999999</v>
      </c>
      <c r="L27" s="60">
        <f>'TX-EGM-GL'!L27+'TX-HPL-GL '!L27</f>
        <v>93272</v>
      </c>
      <c r="M27" s="38">
        <f>'TX-EGM-GL'!M27+'TX-HPL-GL '!M27</f>
        <v>-33573.149999999994</v>
      </c>
      <c r="N27" s="60">
        <f>'TX-EGM-GL'!N27+'TX-HPL-GL '!N27</f>
        <v>551554</v>
      </c>
      <c r="O27" s="38">
        <f>'TX-EGM-GL'!O27+'TX-HPL-GL '!O27</f>
        <v>930637.2942</v>
      </c>
      <c r="P27" s="60">
        <f>'TX-EGM-GL'!P27+'TX-HPL-GL '!P27</f>
        <v>-5334614</v>
      </c>
      <c r="Q27" s="38">
        <f>'TX-EGM-GL'!Q27+'TX-HPL-GL '!Q27</f>
        <v>-9293495.2493000012</v>
      </c>
      <c r="R27" s="60">
        <f>'TX-EGM-GL'!R27+'TX-HPL-GL '!R27</f>
        <v>510277</v>
      </c>
      <c r="S27" s="38">
        <f>'TX-EGM-GL'!S27+'TX-HPL-GL '!S27</f>
        <v>871238.46850000008</v>
      </c>
      <c r="T27" s="60">
        <f>'TX-EGM-GL'!T27+'TX-HPL-GL '!T27</f>
        <v>-10102</v>
      </c>
      <c r="U27" s="38">
        <f>'TX-EGM-GL'!U27+'TX-HPL-GL '!U27</f>
        <v>-17805.512500000001</v>
      </c>
      <c r="V27" s="60">
        <f>'TX-EGM-GL'!V27+'TX-HPL-GL '!V27</f>
        <v>-29805</v>
      </c>
      <c r="W27" s="38">
        <f>'TX-EGM-GL'!W27+'TX-HPL-GL '!W27</f>
        <v>-52966.082500000004</v>
      </c>
      <c r="X27" s="60">
        <f>'TX-EGM-GL'!X27+'TX-HPL-GL '!X27</f>
        <v>19208</v>
      </c>
      <c r="Y27" s="38">
        <f>'TX-EGM-GL'!Y27+'TX-HPL-GL '!Y27</f>
        <v>34150.339999999997</v>
      </c>
      <c r="Z27" s="60">
        <f>'TX-EGM-GL'!Z27+'TX-HPL-GL '!Z27</f>
        <v>24818</v>
      </c>
      <c r="AA27" s="38">
        <f>'TX-EGM-GL'!AA27+'TX-HPL-GL '!AA27</f>
        <v>44213.120000000003</v>
      </c>
      <c r="AB27" s="60">
        <f>'TX-EGM-GL'!AB27+'TX-HPL-GL '!AB27</f>
        <v>-11832</v>
      </c>
      <c r="AC27" s="38">
        <f>'TX-EGM-GL'!AC27+'TX-HPL-GL '!AC27</f>
        <v>-20545.3626</v>
      </c>
      <c r="AD27" s="60">
        <f>'TX-EGM-GL'!AD27+'TX-HPL-GL '!AD27</f>
        <v>22781</v>
      </c>
      <c r="AE27" s="38">
        <f>'TX-EGM-GL'!AE27+'TX-HPL-GL '!AE27</f>
        <v>40015.417499999996</v>
      </c>
      <c r="AF27" s="60">
        <f>'TX-EGM-GL'!AN27+'TX-HPL-GL '!AN27</f>
        <v>0</v>
      </c>
      <c r="AG27" s="38">
        <f>'TX-EGM-GL'!AO27+'TX-HPL-GL '!AO27</f>
        <v>0</v>
      </c>
      <c r="AH27" s="60">
        <f>'TX-EGM-GL'!AP27+'TX-HPL-GL '!AP27</f>
        <v>0</v>
      </c>
      <c r="AI27" s="38">
        <f>'TX-EGM-GL'!AQ27+'TX-HPL-GL '!AQ27</f>
        <v>0</v>
      </c>
      <c r="AJ27" s="60">
        <f>'TX-EGM-GL'!AR27+'TX-HPL-GL '!AR27</f>
        <v>0</v>
      </c>
      <c r="AK27" s="38">
        <f>'TX-EGM-GL'!AS27+'TX-HPL-GL '!AS27</f>
        <v>0</v>
      </c>
      <c r="AL27" s="60">
        <f>'TX-EGM-GL'!AT27+'TX-HPL-GL '!AT27</f>
        <v>0</v>
      </c>
      <c r="AM27" s="38">
        <f>'TX-EGM-GL'!AU27+'TX-HPL-GL 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-19866562</v>
      </c>
      <c r="E28" s="38">
        <f>SUM(G28,I28,K28,M28,O28,Q28,S28,U28,W28,Y28,AA28,AC28,AE28,AG28,AI28,AK28,AM28)</f>
        <v>-28308435.690900005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-13832465</v>
      </c>
      <c r="I28" s="38">
        <f>'TX-EGM-GL'!I28+'TX-HPL-GL '!I28</f>
        <v>-24558364</v>
      </c>
      <c r="J28" s="60">
        <f>'TX-EGM-GL'!J28+'TX-HPL-GL '!J28</f>
        <v>-23024558</v>
      </c>
      <c r="K28" s="38">
        <f>'TX-EGM-GL'!K28+'TX-HPL-GL '!K28</f>
        <v>-18234076.370000001</v>
      </c>
      <c r="L28" s="60">
        <f>'TX-EGM-GL'!L28+'TX-HPL-GL '!L28</f>
        <v>11679273</v>
      </c>
      <c r="M28" s="38">
        <f>'TX-EGM-GL'!M28+'TX-HPL-GL '!M28</f>
        <v>-1753925.5308999987</v>
      </c>
      <c r="N28" s="60">
        <f>'TX-EGM-GL'!N28+'TX-HPL-GL '!N28</f>
        <v>-136765</v>
      </c>
      <c r="O28" s="38">
        <f>'TX-EGM-GL'!O28+'TX-HPL-GL '!O28</f>
        <v>-242630.5</v>
      </c>
      <c r="P28" s="60">
        <f>'TX-EGM-GL'!P28+'TX-HPL-GL '!P28</f>
        <v>5658469</v>
      </c>
      <c r="Q28" s="38">
        <f>'TX-EGM-GL'!Q28+'TX-HPL-GL '!Q28</f>
        <v>10070273.810000001</v>
      </c>
      <c r="R28" s="60">
        <f>'TX-EGM-GL'!R28+'TX-HPL-GL '!R28</f>
        <v>-219500</v>
      </c>
      <c r="S28" s="38">
        <f>'TX-EGM-GL'!S28+'TX-HPL-GL '!S28</f>
        <v>-390710.00000000186</v>
      </c>
      <c r="T28" s="60">
        <f>'TX-EGM-GL'!T28+'TX-HPL-GL '!T28</f>
        <v>-151251</v>
      </c>
      <c r="U28" s="38">
        <f>'TX-EGM-GL'!U28+'TX-HPL-GL '!U28</f>
        <v>6515779.5599999996</v>
      </c>
      <c r="V28" s="60">
        <f>'TX-EGM-GL'!V28+'TX-HPL-GL '!V28</f>
        <v>154615</v>
      </c>
      <c r="W28" s="38">
        <f>'TX-EGM-GL'!W28+'TX-HPL-GL '!W28</f>
        <v>275213.74</v>
      </c>
      <c r="X28" s="60">
        <f>'TX-EGM-GL'!X28+'TX-HPL-GL '!X28</f>
        <v>6287</v>
      </c>
      <c r="Y28" s="38">
        <f>'TX-EGM-GL'!Y28+'TX-HPL-GL '!Y28</f>
        <v>11190.86</v>
      </c>
      <c r="Z28" s="60">
        <f>'TX-EGM-GL'!Z28+'TX-HPL-GL '!Z28</f>
        <v>-25218</v>
      </c>
      <c r="AA28" s="38">
        <f>'TX-EGM-GL'!AA28+'TX-HPL-GL '!AA28</f>
        <v>-44888.04</v>
      </c>
      <c r="AB28" s="60">
        <f>'TX-EGM-GL'!AB28+'TX-HPL-GL '!AB28</f>
        <v>4551</v>
      </c>
      <c r="AC28" s="38">
        <f>'TX-EGM-GL'!AC28+'TX-HPL-GL '!AC28</f>
        <v>8100.78</v>
      </c>
      <c r="AD28" s="60">
        <f>'TX-EGM-GL'!AD28+'TX-HPL-GL '!AD28</f>
        <v>20000</v>
      </c>
      <c r="AE28" s="38">
        <f>'TX-EGM-GL'!AE28+'TX-HPL-GL '!AE28</f>
        <v>35600</v>
      </c>
      <c r="AF28" s="60">
        <f>'TX-EGM-GL'!AN28+'TX-HPL-GL '!AN28</f>
        <v>0</v>
      </c>
      <c r="AG28" s="38">
        <f>'TX-EGM-GL'!AO28+'TX-HPL-GL '!AO28</f>
        <v>0</v>
      </c>
      <c r="AH28" s="60">
        <f>'TX-EGM-GL'!AP28+'TX-HPL-GL '!AP28</f>
        <v>0</v>
      </c>
      <c r="AI28" s="38">
        <f>'TX-EGM-GL'!AQ28+'TX-HPL-GL '!AQ28</f>
        <v>0</v>
      </c>
      <c r="AJ28" s="60">
        <f>'TX-EGM-GL'!AR28+'TX-HPL-GL '!AR28</f>
        <v>0</v>
      </c>
      <c r="AK28" s="38">
        <f>'TX-EGM-GL'!AS28+'TX-HPL-GL '!AS28</f>
        <v>0</v>
      </c>
      <c r="AL28" s="60">
        <f>'TX-EGM-GL'!AT28+'TX-HPL-GL '!AT28</f>
        <v>0</v>
      </c>
      <c r="AM28" s="38">
        <f>'TX-EGM-GL'!AU28+'TX-HPL-GL '!AU28</f>
        <v>0</v>
      </c>
    </row>
    <row r="29" spans="1:39" x14ac:dyDescent="0.2">
      <c r="A29" s="9"/>
      <c r="B29" s="7" t="s">
        <v>41</v>
      </c>
      <c r="C29" s="18"/>
      <c r="D29" s="61">
        <f>SUM(D27:D28)</f>
        <v>-14503671</v>
      </c>
      <c r="E29" s="39">
        <f>SUM(E27:E28)</f>
        <v>-18934238.187600009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-11442958</v>
      </c>
      <c r="I29" s="39">
        <f t="shared" si="8"/>
        <v>-21630267</v>
      </c>
      <c r="J29" s="61">
        <f t="shared" si="8"/>
        <v>-15886731</v>
      </c>
      <c r="K29" s="39">
        <f t="shared" si="8"/>
        <v>-4289845.1500000022</v>
      </c>
      <c r="L29" s="61">
        <f t="shared" si="8"/>
        <v>11772545</v>
      </c>
      <c r="M29" s="39">
        <f t="shared" si="8"/>
        <v>-1787498.6808999986</v>
      </c>
      <c r="N29" s="61">
        <f t="shared" si="8"/>
        <v>414789</v>
      </c>
      <c r="O29" s="39">
        <f t="shared" si="8"/>
        <v>688006.7942</v>
      </c>
      <c r="P29" s="61">
        <f t="shared" si="8"/>
        <v>323855</v>
      </c>
      <c r="Q29" s="39">
        <f t="shared" si="8"/>
        <v>776778.56069999933</v>
      </c>
      <c r="R29" s="61">
        <f t="shared" si="8"/>
        <v>290777</v>
      </c>
      <c r="S29" s="39">
        <f t="shared" si="8"/>
        <v>480528.46849999821</v>
      </c>
      <c r="T29" s="61">
        <f t="shared" si="8"/>
        <v>-161353</v>
      </c>
      <c r="U29" s="39">
        <f t="shared" ref="U29:AE29" si="9">SUM(U27:U28)</f>
        <v>6497974.0474999994</v>
      </c>
      <c r="V29" s="61">
        <f t="shared" si="8"/>
        <v>124810</v>
      </c>
      <c r="W29" s="39">
        <f t="shared" si="9"/>
        <v>222247.65749999997</v>
      </c>
      <c r="X29" s="61">
        <f t="shared" si="8"/>
        <v>25495</v>
      </c>
      <c r="Y29" s="39">
        <f t="shared" si="9"/>
        <v>45341.2</v>
      </c>
      <c r="Z29" s="61">
        <f t="shared" si="8"/>
        <v>-400</v>
      </c>
      <c r="AA29" s="39">
        <f t="shared" si="9"/>
        <v>-674.91999999999825</v>
      </c>
      <c r="AB29" s="61">
        <f t="shared" si="8"/>
        <v>-7281</v>
      </c>
      <c r="AC29" s="39">
        <f t="shared" si="9"/>
        <v>-12444.582600000002</v>
      </c>
      <c r="AD29" s="61">
        <f t="shared" si="8"/>
        <v>42781</v>
      </c>
      <c r="AE29" s="39">
        <f t="shared" si="9"/>
        <v>75615.417499999996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-62854</v>
      </c>
      <c r="E32" s="38">
        <f t="shared" si="11"/>
        <v>-111490.95400000003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-18034</v>
      </c>
      <c r="K32" s="38">
        <f>'TX-EGM-GL'!K32+'TX-HPL-GL '!K32</f>
        <v>-31035.53</v>
      </c>
      <c r="L32" s="60">
        <f>'TX-EGM-GL'!L32+'TX-HPL-GL '!L32</f>
        <v>443</v>
      </c>
      <c r="M32" s="38">
        <f>'TX-EGM-GL'!M32+'TX-HPL-GL '!M32</f>
        <v>866.53500000000349</v>
      </c>
      <c r="N32" s="60">
        <f>'TX-EGM-GL'!N32+'TX-HPL-GL '!N32</f>
        <v>-142496</v>
      </c>
      <c r="O32" s="38">
        <f>'TX-EGM-GL'!O32+'TX-HPL-GL '!O32</f>
        <v>-264951.011</v>
      </c>
      <c r="P32" s="60">
        <f>'TX-EGM-GL'!P32+'TX-HPL-GL '!P32</f>
        <v>-1193</v>
      </c>
      <c r="Q32" s="38">
        <f>'TX-EGM-GL'!Q32+'TX-HPL-GL '!Q32</f>
        <v>18680.806</v>
      </c>
      <c r="R32" s="60">
        <f>'TX-EGM-GL'!R32+'TX-HPL-GL '!R32</f>
        <v>95831</v>
      </c>
      <c r="S32" s="38">
        <f>'TX-EGM-GL'!S32+'TX-HPL-GL '!S32</f>
        <v>127451.04999999999</v>
      </c>
      <c r="T32" s="60">
        <f>'TX-EGM-GL'!T32+'TX-HPL-GL '!T32</f>
        <v>14</v>
      </c>
      <c r="U32" s="38">
        <f>'TX-EGM-GL'!U32+'TX-HPL-GL '!U32</f>
        <v>6275.3779999999997</v>
      </c>
      <c r="V32" s="60">
        <f>'TX-EGM-GL'!V32+'TX-HPL-GL '!V32</f>
        <v>-257</v>
      </c>
      <c r="W32" s="38">
        <f>'TX-EGM-GL'!W32+'TX-HPL-GL '!W32</f>
        <v>-4896.7610000000004</v>
      </c>
      <c r="X32" s="60">
        <f>'TX-EGM-GL'!X32+'TX-HPL-GL '!X32</f>
        <v>86</v>
      </c>
      <c r="Y32" s="38">
        <f>'TX-EGM-GL'!Y32+'TX-HPL-GL '!Y32</f>
        <v>-19276.937999999998</v>
      </c>
      <c r="Z32" s="60">
        <f>'TX-EGM-GL'!Z32+'TX-HPL-GL '!Z32</f>
        <v>-6924</v>
      </c>
      <c r="AA32" s="38">
        <f>'TX-EGM-GL'!AA32+'TX-HPL-GL '!AA32</f>
        <v>-28140.243999999999</v>
      </c>
      <c r="AB32" s="60">
        <f>'TX-EGM-GL'!AB32+'TX-HPL-GL '!AB32</f>
        <v>169340</v>
      </c>
      <c r="AC32" s="38">
        <f>'TX-EGM-GL'!AC32+'TX-HPL-GL '!AC32</f>
        <v>360700.08900000004</v>
      </c>
      <c r="AD32" s="60">
        <f>'TX-EGM-GL'!AD32+'TX-HPL-GL '!AD32</f>
        <v>-159664</v>
      </c>
      <c r="AE32" s="38">
        <f>'TX-EGM-GL'!AE32+'TX-HPL-GL '!AE32</f>
        <v>-277164.32800000004</v>
      </c>
      <c r="AF32" s="60">
        <f>'TX-EGM-GL'!AN32+'TX-HPL-GL '!AN32</f>
        <v>0</v>
      </c>
      <c r="AG32" s="38">
        <f>'TX-EGM-GL'!AO32+'TX-HPL-GL '!AO32</f>
        <v>0</v>
      </c>
      <c r="AH32" s="60">
        <f>'TX-EGM-GL'!AP32+'TX-HPL-GL '!AP32</f>
        <v>0</v>
      </c>
      <c r="AI32" s="38">
        <f>'TX-EGM-GL'!AQ32+'TX-HPL-GL '!AQ32</f>
        <v>0</v>
      </c>
      <c r="AJ32" s="60">
        <f>'TX-EGM-GL'!AR32+'TX-HPL-GL '!AR32</f>
        <v>0</v>
      </c>
      <c r="AK32" s="38">
        <f>'TX-EGM-GL'!AS32+'TX-HPL-GL '!AS32</f>
        <v>0</v>
      </c>
      <c r="AL32" s="60">
        <f>'TX-EGM-GL'!AT32+'TX-HPL-GL '!AT32</f>
        <v>0</v>
      </c>
      <c r="AM32" s="38">
        <f>'TX-EGM-GL'!AU32+'TX-HPL-GL 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'TX-EGM-GL'!AN33+'TX-HPL-GL '!AN33</f>
        <v>0</v>
      </c>
      <c r="AG33" s="38">
        <f>'TX-EGM-GL'!AO33+'TX-HPL-GL '!AO33</f>
        <v>0</v>
      </c>
      <c r="AH33" s="60">
        <f>'TX-EGM-GL'!AP33+'TX-HPL-GL '!AP33</f>
        <v>0</v>
      </c>
      <c r="AI33" s="38">
        <f>'TX-EGM-GL'!AQ33+'TX-HPL-GL '!AQ33</f>
        <v>0</v>
      </c>
      <c r="AJ33" s="60">
        <f>'TX-EGM-GL'!AR33+'TX-HPL-GL '!AR33</f>
        <v>0</v>
      </c>
      <c r="AK33" s="38">
        <f>'TX-EGM-GL'!AS33+'TX-HPL-GL '!AS33</f>
        <v>0</v>
      </c>
      <c r="AL33" s="60">
        <f>'TX-EGM-GL'!AT33+'TX-HPL-GL '!AT33</f>
        <v>0</v>
      </c>
      <c r="AM33" s="38">
        <f>'TX-EGM-GL'!AU33+'TX-HPL-GL 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'TX-EGM-GL'!AN34+'TX-HPL-GL '!AN34</f>
        <v>0</v>
      </c>
      <c r="AG34" s="38">
        <f>'TX-EGM-GL'!AO34+'TX-HPL-GL '!AO34</f>
        <v>0</v>
      </c>
      <c r="AH34" s="60">
        <f>'TX-EGM-GL'!AP34+'TX-HPL-GL '!AP34</f>
        <v>0</v>
      </c>
      <c r="AI34" s="38">
        <f>'TX-EGM-GL'!AQ34+'TX-HPL-GL '!AQ34</f>
        <v>0</v>
      </c>
      <c r="AJ34" s="60">
        <f>'TX-EGM-GL'!AR34+'TX-HPL-GL '!AR34</f>
        <v>0</v>
      </c>
      <c r="AK34" s="38">
        <f>'TX-EGM-GL'!AS34+'TX-HPL-GL '!AS34</f>
        <v>0</v>
      </c>
      <c r="AL34" s="60">
        <f>'TX-EGM-GL'!AT34+'TX-HPL-GL '!AT34</f>
        <v>0</v>
      </c>
      <c r="AM34" s="38">
        <f>'TX-EGM-GL'!AU34+'TX-HPL-GL 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'TX-EGM-GL'!AN35+'TX-HPL-GL '!AN35</f>
        <v>0</v>
      </c>
      <c r="AG35" s="38">
        <f>'TX-EGM-GL'!AO35+'TX-HPL-GL '!AO35</f>
        <v>0</v>
      </c>
      <c r="AH35" s="60">
        <f>'TX-EGM-GL'!AP35+'TX-HPL-GL '!AP35</f>
        <v>0</v>
      </c>
      <c r="AI35" s="38">
        <f>'TX-EGM-GL'!AQ35+'TX-HPL-GL '!AQ35</f>
        <v>0</v>
      </c>
      <c r="AJ35" s="60">
        <f>'TX-EGM-GL'!AR35+'TX-HPL-GL '!AR35</f>
        <v>0</v>
      </c>
      <c r="AK35" s="38">
        <f>'TX-EGM-GL'!AS35+'TX-HPL-GL '!AS35</f>
        <v>0</v>
      </c>
      <c r="AL35" s="60">
        <f>'TX-EGM-GL'!AT35+'TX-HPL-GL '!AT35</f>
        <v>0</v>
      </c>
      <c r="AM35" s="38">
        <f>'TX-EGM-GL'!AU35+'TX-HPL-GL '!AU35</f>
        <v>0</v>
      </c>
    </row>
    <row r="36" spans="1:39" x14ac:dyDescent="0.2">
      <c r="A36" s="9"/>
      <c r="B36" s="7" t="s">
        <v>47</v>
      </c>
      <c r="C36" s="6"/>
      <c r="D36" s="61">
        <f>SUM(D32:D35)</f>
        <v>-62854</v>
      </c>
      <c r="E36" s="39">
        <f>SUM(E32:E35)</f>
        <v>-111490.94400000003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0.01</v>
      </c>
      <c r="J36" s="61">
        <f t="shared" si="12"/>
        <v>-18034</v>
      </c>
      <c r="K36" s="39">
        <f t="shared" si="12"/>
        <v>-31035.53</v>
      </c>
      <c r="L36" s="61">
        <f t="shared" si="12"/>
        <v>443</v>
      </c>
      <c r="M36" s="39">
        <f t="shared" si="12"/>
        <v>866.53500000000349</v>
      </c>
      <c r="N36" s="61">
        <f t="shared" si="12"/>
        <v>-142496</v>
      </c>
      <c r="O36" s="39">
        <f t="shared" si="12"/>
        <v>-264951.011</v>
      </c>
      <c r="P36" s="61">
        <f t="shared" si="12"/>
        <v>-1193</v>
      </c>
      <c r="Q36" s="39">
        <f t="shared" si="12"/>
        <v>18680.806</v>
      </c>
      <c r="R36" s="61">
        <f t="shared" si="12"/>
        <v>95831</v>
      </c>
      <c r="S36" s="39">
        <f t="shared" si="12"/>
        <v>127451.04999999999</v>
      </c>
      <c r="T36" s="61">
        <f t="shared" si="12"/>
        <v>14</v>
      </c>
      <c r="U36" s="39">
        <f t="shared" ref="U36:AE36" si="13">SUM(U32:U35)</f>
        <v>6275.3779999999997</v>
      </c>
      <c r="V36" s="61">
        <f t="shared" si="12"/>
        <v>-257</v>
      </c>
      <c r="W36" s="39">
        <f t="shared" si="13"/>
        <v>-4896.7610000000004</v>
      </c>
      <c r="X36" s="61">
        <f t="shared" si="12"/>
        <v>86</v>
      </c>
      <c r="Y36" s="39">
        <f t="shared" si="13"/>
        <v>-19276.937999999998</v>
      </c>
      <c r="Z36" s="61">
        <f t="shared" si="12"/>
        <v>-6924</v>
      </c>
      <c r="AA36" s="39">
        <f t="shared" si="13"/>
        <v>-28140.243999999999</v>
      </c>
      <c r="AB36" s="61">
        <f t="shared" si="12"/>
        <v>169340</v>
      </c>
      <c r="AC36" s="39">
        <f t="shared" si="13"/>
        <v>360700.08900000004</v>
      </c>
      <c r="AD36" s="61">
        <f t="shared" si="12"/>
        <v>-159664</v>
      </c>
      <c r="AE36" s="39">
        <f t="shared" si="13"/>
        <v>-277164.32800000004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-18900</v>
      </c>
      <c r="E39" s="38">
        <f t="shared" si="15"/>
        <v>-33642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5774754</v>
      </c>
      <c r="I39" s="38">
        <f>'TX-EGM-GL'!I39+'TX-HPL-GL '!I39</f>
        <v>10299274</v>
      </c>
      <c r="J39" s="60">
        <f>'TX-EGM-GL'!J39+'TX-HPL-GL '!J39</f>
        <v>-5774754</v>
      </c>
      <c r="K39" s="38">
        <f>'TX-EGM-GL'!K39+'TX-HPL-GL '!K39</f>
        <v>-10299274</v>
      </c>
      <c r="L39" s="60">
        <f>'TX-EGM-GL'!L39+'TX-HPL-GL '!L39</f>
        <v>-18900</v>
      </c>
      <c r="M39" s="38">
        <f>'TX-EGM-GL'!M39+'TX-HPL-GL '!M39</f>
        <v>-33642</v>
      </c>
      <c r="N39" s="60">
        <f>'TX-EGM-GL'!N39+'TX-HPL-GL '!N39</f>
        <v>-15059</v>
      </c>
      <c r="O39" s="38">
        <f>'TX-EGM-GL'!O39+'TX-HPL-GL '!O39</f>
        <v>-26934.53</v>
      </c>
      <c r="P39" s="60">
        <f>'TX-EGM-GL'!P39+'TX-HPL-GL '!P39</f>
        <v>15059</v>
      </c>
      <c r="Q39" s="38">
        <f>'TX-EGM-GL'!Q39+'TX-HPL-GL '!Q39</f>
        <v>26934.53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'TX-EGM-GL'!AN39+'TX-HPL-GL '!AN39</f>
        <v>0</v>
      </c>
      <c r="AG39" s="38">
        <f>'TX-EGM-GL'!AO39+'TX-HPL-GL '!AO39</f>
        <v>0</v>
      </c>
      <c r="AH39" s="60">
        <f>'TX-EGM-GL'!AP39+'TX-HPL-GL '!AP39</f>
        <v>0</v>
      </c>
      <c r="AI39" s="38">
        <f>'TX-EGM-GL'!AQ39+'TX-HPL-GL '!AQ39</f>
        <v>0</v>
      </c>
      <c r="AJ39" s="60">
        <f>'TX-EGM-GL'!AR39+'TX-HPL-GL '!AR39</f>
        <v>0</v>
      </c>
      <c r="AK39" s="38">
        <f>'TX-EGM-GL'!AS39+'TX-HPL-GL '!AS39</f>
        <v>0</v>
      </c>
      <c r="AL39" s="60">
        <f>'TX-EGM-GL'!AT39+'TX-HPL-GL '!AT39</f>
        <v>0</v>
      </c>
      <c r="AM39" s="38">
        <f>'TX-EGM-GL'!AU39+'TX-HPL-GL 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-6964765</v>
      </c>
      <c r="E40" s="38">
        <f t="shared" si="15"/>
        <v>-13531828.139999999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-12412259</v>
      </c>
      <c r="I40" s="38">
        <f>'TX-EGM-GL'!I40+'TX-HPL-GL '!I40</f>
        <v>-22131944</v>
      </c>
      <c r="J40" s="60">
        <f>'TX-EGM-GL'!J40+'TX-HPL-GL '!J40</f>
        <v>5408216</v>
      </c>
      <c r="K40" s="38">
        <f>'TX-EGM-GL'!K40+'TX-HPL-GL '!K40</f>
        <v>8453123.459999999</v>
      </c>
      <c r="L40" s="60">
        <f>'TX-EGM-GL'!L40+'TX-HPL-GL '!L40</f>
        <v>871860</v>
      </c>
      <c r="M40" s="38">
        <f>'TX-EGM-GL'!M40+'TX-HPL-GL '!M40</f>
        <v>1753293.31</v>
      </c>
      <c r="N40" s="60">
        <f>'TX-EGM-GL'!N40+'TX-HPL-GL '!N40</f>
        <v>-833129</v>
      </c>
      <c r="O40" s="38">
        <f>'TX-EGM-GL'!O40+'TX-HPL-GL '!O40</f>
        <v>-8185.34</v>
      </c>
      <c r="P40" s="60">
        <f>'TX-EGM-GL'!P40+'TX-HPL-GL '!P40</f>
        <v>-24125</v>
      </c>
      <c r="Q40" s="38">
        <f>'TX-EGM-GL'!Q40+'TX-HPL-GL '!Q40</f>
        <v>-2441053.17</v>
      </c>
      <c r="R40" s="60">
        <f>'TX-EGM-GL'!R40+'TX-HPL-GL '!R40</f>
        <v>23534</v>
      </c>
      <c r="S40" s="38">
        <f>'TX-EGM-GL'!S40+'TX-HPL-GL '!S40</f>
        <v>1059637.0900000001</v>
      </c>
      <c r="T40" s="60">
        <f>'TX-EGM-GL'!T40+'TX-HPL-GL '!T40</f>
        <v>600</v>
      </c>
      <c r="U40" s="38">
        <f>'TX-EGM-GL'!U40+'TX-HPL-GL '!U40</f>
        <v>644846.47</v>
      </c>
      <c r="V40" s="60">
        <f>'TX-EGM-GL'!V40+'TX-HPL-GL '!V40</f>
        <v>6988</v>
      </c>
      <c r="W40" s="38">
        <f>'TX-EGM-GL'!W40+'TX-HPL-GL '!W40</f>
        <v>100774.21</v>
      </c>
      <c r="X40" s="60">
        <f>'TX-EGM-GL'!X40+'TX-HPL-GL '!X40</f>
        <v>-6450</v>
      </c>
      <c r="Y40" s="38">
        <f>'TX-EGM-GL'!Y40+'TX-HPL-GL '!Y40</f>
        <v>-11714.87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-950605.3</v>
      </c>
      <c r="AF40" s="60">
        <f>'TX-EGM-GL'!AN40+'TX-HPL-GL '!AN40</f>
        <v>0</v>
      </c>
      <c r="AG40" s="38">
        <f>'TX-EGM-GL'!AO40+'TX-HPL-GL '!AO40</f>
        <v>0</v>
      </c>
      <c r="AH40" s="60">
        <f>'TX-EGM-GL'!AP40+'TX-HPL-GL '!AP40</f>
        <v>0</v>
      </c>
      <c r="AI40" s="38">
        <f>'TX-EGM-GL'!AQ40+'TX-HPL-GL '!AQ40</f>
        <v>0</v>
      </c>
      <c r="AJ40" s="60">
        <f>'TX-EGM-GL'!AR40+'TX-HPL-GL '!AR40</f>
        <v>0</v>
      </c>
      <c r="AK40" s="38">
        <f>'TX-EGM-GL'!AS40+'TX-HPL-GL '!AS40</f>
        <v>0</v>
      </c>
      <c r="AL40" s="60">
        <f>'TX-EGM-GL'!AT40+'TX-HPL-GL '!AT40</f>
        <v>0</v>
      </c>
      <c r="AM40" s="38">
        <f>'TX-EGM-GL'!AU40+'TX-HPL-GL 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-539228</v>
      </c>
      <c r="F41" s="81">
        <f>('TIE-OUT'!P41+'TIE-OUT'!R41)+(RECLASS!P41+RECLASS!R41)</f>
        <v>0</v>
      </c>
      <c r="G41" s="82">
        <f>('TIE-OUT'!Q41+'TIE-OUT'!S41)+(RECLASS!Q41+RECLASS!S41)</f>
        <v>1155722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-1694950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'TX-EGM-GL'!AN41+'TX-HPL-GL '!AN41</f>
        <v>0</v>
      </c>
      <c r="AG41" s="38">
        <f>'TX-EGM-GL'!AO41+'TX-HPL-GL '!AO41</f>
        <v>0</v>
      </c>
      <c r="AH41" s="60">
        <f>'TX-EGM-GL'!AP41+'TX-HPL-GL '!AP41</f>
        <v>0</v>
      </c>
      <c r="AI41" s="38">
        <f>'TX-EGM-GL'!AQ41+'TX-HPL-GL '!AQ41</f>
        <v>0</v>
      </c>
      <c r="AJ41" s="60">
        <f>'TX-EGM-GL'!AR41+'TX-HPL-GL '!AR41</f>
        <v>0</v>
      </c>
      <c r="AK41" s="38">
        <f>'TX-EGM-GL'!AS41+'TX-HPL-GL '!AS41</f>
        <v>0</v>
      </c>
      <c r="AL41" s="60">
        <f>'TX-EGM-GL'!AT41+'TX-HPL-GL '!AT41</f>
        <v>0</v>
      </c>
      <c r="AM41" s="38">
        <f>'TX-EGM-GL'!AU41+'TX-HPL-GL '!AU41</f>
        <v>0</v>
      </c>
    </row>
    <row r="42" spans="1:39" x14ac:dyDescent="0.2">
      <c r="A42" s="9"/>
      <c r="B42" s="7"/>
      <c r="C42" s="53" t="s">
        <v>52</v>
      </c>
      <c r="D42" s="61">
        <f>SUM(D40:D41)</f>
        <v>-6964765</v>
      </c>
      <c r="E42" s="39">
        <f>SUM(E40:E41)</f>
        <v>-14071056.139999999</v>
      </c>
      <c r="F42" s="61">
        <f t="shared" ref="F42:AD42" si="16">SUM(F40:F41)</f>
        <v>0</v>
      </c>
      <c r="G42" s="39">
        <f t="shared" si="16"/>
        <v>1155722</v>
      </c>
      <c r="H42" s="61">
        <f t="shared" si="16"/>
        <v>-12412259</v>
      </c>
      <c r="I42" s="39">
        <f t="shared" si="16"/>
        <v>-22131944</v>
      </c>
      <c r="J42" s="61">
        <f t="shared" si="16"/>
        <v>5408216</v>
      </c>
      <c r="K42" s="39">
        <f t="shared" si="16"/>
        <v>8453123.459999999</v>
      </c>
      <c r="L42" s="61">
        <f t="shared" si="16"/>
        <v>871860</v>
      </c>
      <c r="M42" s="39">
        <f t="shared" si="16"/>
        <v>1753293.31</v>
      </c>
      <c r="N42" s="61">
        <f t="shared" si="16"/>
        <v>-833129</v>
      </c>
      <c r="O42" s="39">
        <f t="shared" si="16"/>
        <v>-8185.34</v>
      </c>
      <c r="P42" s="61">
        <f t="shared" si="16"/>
        <v>-24125</v>
      </c>
      <c r="Q42" s="39">
        <f t="shared" si="16"/>
        <v>-2441053.17</v>
      </c>
      <c r="R42" s="61">
        <f t="shared" si="16"/>
        <v>23534</v>
      </c>
      <c r="S42" s="39">
        <f t="shared" si="16"/>
        <v>1059637.0900000001</v>
      </c>
      <c r="T42" s="61">
        <f t="shared" si="16"/>
        <v>600</v>
      </c>
      <c r="U42" s="39">
        <f t="shared" ref="U42:AE42" si="17">SUM(U40:U41)</f>
        <v>644846.47</v>
      </c>
      <c r="V42" s="61">
        <f t="shared" si="16"/>
        <v>6988</v>
      </c>
      <c r="W42" s="39">
        <f t="shared" si="17"/>
        <v>100774.21</v>
      </c>
      <c r="X42" s="61">
        <f t="shared" si="16"/>
        <v>-6450</v>
      </c>
      <c r="Y42" s="39">
        <f t="shared" si="17"/>
        <v>-11714.87</v>
      </c>
      <c r="Z42" s="61">
        <f t="shared" si="16"/>
        <v>0</v>
      </c>
      <c r="AA42" s="39">
        <f t="shared" si="17"/>
        <v>-1694950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-950605.3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-6983665</v>
      </c>
      <c r="E43" s="39">
        <f>E42+E39</f>
        <v>-14104698.139999999</v>
      </c>
      <c r="F43" s="61">
        <f t="shared" ref="F43:AD43" si="19">F42+F39</f>
        <v>0</v>
      </c>
      <c r="G43" s="39">
        <f t="shared" si="19"/>
        <v>1155722</v>
      </c>
      <c r="H43" s="61">
        <f t="shared" si="19"/>
        <v>-6637505</v>
      </c>
      <c r="I43" s="39">
        <f t="shared" si="19"/>
        <v>-11832670</v>
      </c>
      <c r="J43" s="61">
        <f t="shared" si="19"/>
        <v>-366538</v>
      </c>
      <c r="K43" s="39">
        <f t="shared" si="19"/>
        <v>-1846150.540000001</v>
      </c>
      <c r="L43" s="61">
        <f t="shared" si="19"/>
        <v>852960</v>
      </c>
      <c r="M43" s="39">
        <f t="shared" si="19"/>
        <v>1719651.31</v>
      </c>
      <c r="N43" s="61">
        <f t="shared" si="19"/>
        <v>-848188</v>
      </c>
      <c r="O43" s="39">
        <f t="shared" si="19"/>
        <v>-35119.869999999995</v>
      </c>
      <c r="P43" s="61">
        <f t="shared" si="19"/>
        <v>-9066</v>
      </c>
      <c r="Q43" s="39">
        <f t="shared" si="19"/>
        <v>-2414118.64</v>
      </c>
      <c r="R43" s="61">
        <f t="shared" si="19"/>
        <v>23534</v>
      </c>
      <c r="S43" s="39">
        <f t="shared" si="19"/>
        <v>1059637.0900000001</v>
      </c>
      <c r="T43" s="61">
        <f t="shared" si="19"/>
        <v>600</v>
      </c>
      <c r="U43" s="39">
        <f t="shared" ref="U43:AE43" si="20">U42+U39</f>
        <v>644846.47</v>
      </c>
      <c r="V43" s="61">
        <f t="shared" si="19"/>
        <v>6988</v>
      </c>
      <c r="W43" s="39">
        <f t="shared" si="20"/>
        <v>100774.21</v>
      </c>
      <c r="X43" s="61">
        <f t="shared" si="19"/>
        <v>-6450</v>
      </c>
      <c r="Y43" s="39">
        <f t="shared" si="20"/>
        <v>-11714.87</v>
      </c>
      <c r="Z43" s="61">
        <f t="shared" si="19"/>
        <v>0</v>
      </c>
      <c r="AA43" s="39">
        <f t="shared" si="20"/>
        <v>-1694950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-950605.3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'TX-EGM-GL'!AN45+'TX-HPL-GL '!AN45</f>
        <v>0</v>
      </c>
      <c r="AG45" s="38">
        <f>'TX-EGM-GL'!AO45+'TX-HPL-GL '!AO45</f>
        <v>0</v>
      </c>
      <c r="AH45" s="60">
        <f>'TX-EGM-GL'!AP45+'TX-HPL-GL '!AP45</f>
        <v>0</v>
      </c>
      <c r="AI45" s="38">
        <f>'TX-EGM-GL'!AQ45+'TX-HPL-GL '!AQ45</f>
        <v>0</v>
      </c>
      <c r="AJ45" s="60">
        <f>'TX-EGM-GL'!AR45+'TX-HPL-GL '!AR45</f>
        <v>0</v>
      </c>
      <c r="AK45" s="38">
        <f>'TX-EGM-GL'!AS45+'TX-HPL-GL '!AS45</f>
        <v>0</v>
      </c>
      <c r="AL45" s="60">
        <f>'TX-EGM-GL'!AT45+'TX-HPL-GL '!AT45</f>
        <v>0</v>
      </c>
      <c r="AM45" s="38">
        <f>'TX-EGM-GL'!AU45+'TX-HPL-GL 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-69038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-18000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9000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-69038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'TX-EGM-GL'!AN47+'TX-HPL-GL '!AN47</f>
        <v>0</v>
      </c>
      <c r="AG47" s="38">
        <f>'TX-EGM-GL'!AO47+'TX-HPL-GL '!AO47</f>
        <v>0</v>
      </c>
      <c r="AH47" s="60">
        <f>'TX-EGM-GL'!AP47+'TX-HPL-GL '!AP47</f>
        <v>0</v>
      </c>
      <c r="AI47" s="38">
        <f>'TX-EGM-GL'!AQ47+'TX-HPL-GL '!AQ47</f>
        <v>0</v>
      </c>
      <c r="AJ47" s="60">
        <f>'TX-EGM-GL'!AR47+'TX-HPL-GL '!AR47</f>
        <v>0</v>
      </c>
      <c r="AK47" s="38">
        <f>'TX-EGM-GL'!AS47+'TX-HPL-GL '!AS47</f>
        <v>0</v>
      </c>
      <c r="AL47" s="60">
        <f>'TX-EGM-GL'!AT47+'TX-HPL-GL '!AT47</f>
        <v>0</v>
      </c>
      <c r="AM47" s="38">
        <f>'TX-EGM-GL'!AU47+'TX-HPL-GL 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-527522</v>
      </c>
      <c r="E49" s="38">
        <f>SUM(G49,I49,K49,M49,O49,Q49,S49,U49,W49,Y49,AA49,AC49,AE49,AG49,AI49,AK49,AM49)</f>
        <v>-908789.77399999986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0</v>
      </c>
      <c r="I49" s="38">
        <f>'TX-EGM-GL'!I49+'TX-HPL-GL '!I49</f>
        <v>0</v>
      </c>
      <c r="J49" s="60">
        <f>'TX-EGM-GL'!J49+'TX-HPL-GL '!J49</f>
        <v>1272389</v>
      </c>
      <c r="K49" s="38">
        <f>'TX-EGM-GL'!K49+'TX-HPL-GL '!K49</f>
        <v>2191053.858</v>
      </c>
      <c r="L49" s="60">
        <f>'TX-EGM-GL'!L49+'TX-HPL-GL '!L49</f>
        <v>-2375592</v>
      </c>
      <c r="M49" s="38">
        <f>'TX-EGM-GL'!M49+'TX-HPL-GL '!M49</f>
        <v>-4090769.4240000001</v>
      </c>
      <c r="N49" s="60">
        <f>'TX-EGM-GL'!N49+'TX-HPL-GL '!N49</f>
        <v>1831703</v>
      </c>
      <c r="O49" s="38">
        <f>'TX-EGM-GL'!O49+'TX-HPL-GL '!O49</f>
        <v>4746620.676</v>
      </c>
      <c r="P49" s="60">
        <f>'TX-EGM-GL'!P49+'TX-HPL-GL '!P49</f>
        <v>-389900</v>
      </c>
      <c r="Q49" s="38">
        <f>'TX-EGM-GL'!Q49+'TX-HPL-GL '!Q49</f>
        <v>-2264232.7999999998</v>
      </c>
      <c r="R49" s="60">
        <f>'TX-EGM-GL'!R49+'TX-HPL-GL '!R49</f>
        <v>-165630</v>
      </c>
      <c r="S49" s="38">
        <f>'TX-EGM-GL'!S49+'TX-HPL-GL '!S49</f>
        <v>-285214.86</v>
      </c>
      <c r="T49" s="60">
        <f>'TX-EGM-GL'!T49+'TX-HPL-GL '!T49</f>
        <v>172225</v>
      </c>
      <c r="U49" s="38">
        <f>'TX-EGM-GL'!U49+'TX-HPL-GL '!U49</f>
        <v>296571.45</v>
      </c>
      <c r="V49" s="60">
        <f>'TX-EGM-GL'!V49+'TX-HPL-GL '!V49</f>
        <v>-153820</v>
      </c>
      <c r="W49" s="38">
        <f>'TX-EGM-GL'!W49+'TX-HPL-GL '!W49</f>
        <v>-264878.03999999998</v>
      </c>
      <c r="X49" s="60">
        <f>'TX-EGM-GL'!X49+'TX-HPL-GL '!X49</f>
        <v>7420</v>
      </c>
      <c r="Y49" s="38">
        <f>'TX-EGM-GL'!Y49+'TX-HPL-GL '!Y49</f>
        <v>12777.24</v>
      </c>
      <c r="Z49" s="60">
        <f>'TX-EGM-GL'!Z49+'TX-HPL-GL '!Z49</f>
        <v>1952</v>
      </c>
      <c r="AA49" s="38">
        <f>'TX-EGM-GL'!AA49+'TX-HPL-GL '!AA49</f>
        <v>3361.3440000000001</v>
      </c>
      <c r="AB49" s="60">
        <f>'TX-EGM-GL'!AB49+'TX-HPL-GL '!AB49</f>
        <v>-184252</v>
      </c>
      <c r="AC49" s="38">
        <f>'TX-EGM-GL'!AC49+'TX-HPL-GL '!AC49</f>
        <v>-317281.94400000002</v>
      </c>
      <c r="AD49" s="60">
        <f>'TX-EGM-GL'!AD49+'TX-HPL-GL '!AD49</f>
        <v>-544017</v>
      </c>
      <c r="AE49" s="38">
        <f>'TX-EGM-GL'!AE49+'TX-HPL-GL '!AE49</f>
        <v>-936797.27399999998</v>
      </c>
      <c r="AF49" s="60">
        <f>'TX-EGM-GL'!AN49+'TX-HPL-GL '!AN49</f>
        <v>0</v>
      </c>
      <c r="AG49" s="38">
        <f>'TX-EGM-GL'!AO49+'TX-HPL-GL '!AO49</f>
        <v>0</v>
      </c>
      <c r="AH49" s="60">
        <f>'TX-EGM-GL'!AP49+'TX-HPL-GL '!AP49</f>
        <v>0</v>
      </c>
      <c r="AI49" s="38">
        <f>'TX-EGM-GL'!AQ49+'TX-HPL-GL '!AQ49</f>
        <v>0</v>
      </c>
      <c r="AJ49" s="60">
        <f>'TX-EGM-GL'!AR49+'TX-HPL-GL '!AR49</f>
        <v>0</v>
      </c>
      <c r="AK49" s="38">
        <f>'TX-EGM-GL'!AS49+'TX-HPL-GL '!AS49</f>
        <v>0</v>
      </c>
      <c r="AL49" s="60">
        <f>'TX-EGM-GL'!AT49+'TX-HPL-GL '!AT49</f>
        <v>0</v>
      </c>
      <c r="AM49" s="38">
        <f>'TX-EGM-GL'!AU49+'TX-HPL-GL 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-9009</v>
      </c>
      <c r="E51" s="38">
        <f>SUM(G51,I51,K51,M51,O51,Q51,S51,U51,W51,Y51,AA51,AC51,AE51,AG51,AI51,AK51,AM51)</f>
        <v>-15454.2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-8455</v>
      </c>
      <c r="K51" s="38">
        <f>'TX-EGM-GL'!K51+'TX-HPL-GL '!K51</f>
        <v>-14500</v>
      </c>
      <c r="L51" s="60">
        <f>'TX-EGM-GL'!L51+'TX-HPL-GL '!L51</f>
        <v>46</v>
      </c>
      <c r="M51" s="38">
        <f>'TX-EGM-GL'!M51+'TX-HPL-GL '!M51</f>
        <v>79</v>
      </c>
      <c r="N51" s="60">
        <f>'TX-EGM-GL'!N51+'TX-HPL-GL '!N51</f>
        <v>-600</v>
      </c>
      <c r="O51" s="38">
        <f>'TX-EGM-GL'!O51+'TX-HPL-GL '!O51</f>
        <v>-1033.2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'TX-EGM-GL'!AN51+'TX-HPL-GL '!AN51</f>
        <v>0</v>
      </c>
      <c r="AG51" s="38">
        <f>'TX-EGM-GL'!AO51+'TX-HPL-GL '!AO51</f>
        <v>0</v>
      </c>
      <c r="AH51" s="60">
        <f>'TX-EGM-GL'!AP51+'TX-HPL-GL '!AP51</f>
        <v>0</v>
      </c>
      <c r="AI51" s="38">
        <f>'TX-EGM-GL'!AQ51+'TX-HPL-GL '!AQ51</f>
        <v>0</v>
      </c>
      <c r="AJ51" s="60">
        <f>'TX-EGM-GL'!AR51+'TX-HPL-GL '!AR51</f>
        <v>0</v>
      </c>
      <c r="AK51" s="38">
        <f>'TX-EGM-GL'!AS51+'TX-HPL-GL '!AS51</f>
        <v>0</v>
      </c>
      <c r="AL51" s="60">
        <f>'TX-EGM-GL'!AT51+'TX-HPL-GL '!AT51</f>
        <v>0</v>
      </c>
      <c r="AM51" s="38">
        <f>'TX-EGM-GL'!AU51+'TX-HPL-GL 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-44868726</v>
      </c>
      <c r="E54" s="38">
        <f>SUM(G54,I54,K54,M54,O54,Q54,S54,U54,W54,Y54,AA54,AC54,AE54,AG54,AI54,AK54,AM54)</f>
        <v>-1061267.19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-43121339</v>
      </c>
      <c r="I54" s="38">
        <f>'TX-EGM-GL'!I54+'TX-HPL-GL '!I54</f>
        <v>-352978.04</v>
      </c>
      <c r="J54" s="60">
        <f>'TX-EGM-GL'!J54+'TX-HPL-GL '!J54</f>
        <v>-15254601</v>
      </c>
      <c r="K54" s="38">
        <f>'TX-EGM-GL'!K54+'TX-HPL-GL '!K54</f>
        <v>-240436.28</v>
      </c>
      <c r="L54" s="60">
        <f>'TX-EGM-GL'!L54+'TX-HPL-GL '!L54</f>
        <v>12158937</v>
      </c>
      <c r="M54" s="38">
        <f>'TX-EGM-GL'!M54+'TX-HPL-GL '!M54</f>
        <v>437469.56999999995</v>
      </c>
      <c r="N54" s="60">
        <f>'TX-EGM-GL'!N54+'TX-HPL-GL '!N54</f>
        <v>1240000</v>
      </c>
      <c r="O54" s="38">
        <f>'TX-EGM-GL'!O54+'TX-HPL-GL '!O54</f>
        <v>5014.2</v>
      </c>
      <c r="P54" s="60">
        <f>'TX-EGM-GL'!P54+'TX-HPL-GL '!P54</f>
        <v>-815337</v>
      </c>
      <c r="Q54" s="38">
        <f>'TX-EGM-GL'!Q54+'TX-HPL-GL '!Q54</f>
        <v>-344724.43</v>
      </c>
      <c r="R54" s="60">
        <f>'TX-EGM-GL'!R54+'TX-HPL-GL '!R54</f>
        <v>-29032</v>
      </c>
      <c r="S54" s="38">
        <f>'TX-EGM-GL'!S54+'TX-HPL-GL '!S54</f>
        <v>0</v>
      </c>
      <c r="T54" s="60">
        <f>'TX-EGM-GL'!T54+'TX-HPL-GL '!T54</f>
        <v>29032</v>
      </c>
      <c r="U54" s="38">
        <f>'TX-EGM-GL'!U54+'TX-HPL-GL '!U54</f>
        <v>-568246.65</v>
      </c>
      <c r="V54" s="60">
        <f>'TX-EGM-GL'!V54+'TX-HPL-GL '!V54</f>
        <v>0</v>
      </c>
      <c r="W54" s="38">
        <f>'TX-EGM-GL'!W54+'TX-HPL-GL '!W54</f>
        <v>-1104</v>
      </c>
      <c r="X54" s="60">
        <f>'TX-EGM-GL'!X54+'TX-HPL-GL '!X54</f>
        <v>710453</v>
      </c>
      <c r="Y54" s="38">
        <f>'TX-EGM-GL'!Y54+'TX-HPL-GL '!Y54</f>
        <v>1426.23</v>
      </c>
      <c r="Z54" s="60">
        <f>'TX-EGM-GL'!Z54+'TX-HPL-GL '!Z54</f>
        <v>-28882</v>
      </c>
      <c r="AA54" s="38">
        <f>'TX-EGM-GL'!AA54+'TX-HPL-GL '!AA54</f>
        <v>364.63</v>
      </c>
      <c r="AB54" s="60">
        <f>'TX-EGM-GL'!AB54+'TX-HPL-GL '!AB54</f>
        <v>0</v>
      </c>
      <c r="AC54" s="38">
        <f>'TX-EGM-GL'!AC54+'TX-HPL-GL '!AC54</f>
        <v>0</v>
      </c>
      <c r="AD54" s="60">
        <f>'TX-EGM-GL'!AD54+'TX-HPL-GL '!AD54</f>
        <v>242043</v>
      </c>
      <c r="AE54" s="38">
        <f>'TX-EGM-GL'!AE54+'TX-HPL-GL '!AE54</f>
        <v>1947.58</v>
      </c>
      <c r="AF54" s="60">
        <f>'TX-EGM-GL'!AN54+'TX-HPL-GL '!AN54</f>
        <v>0</v>
      </c>
      <c r="AG54" s="38">
        <f>'TX-EGM-GL'!AO54+'TX-HPL-GL '!AO54</f>
        <v>0</v>
      </c>
      <c r="AH54" s="60">
        <f>'TX-EGM-GL'!AP54+'TX-HPL-GL '!AP54</f>
        <v>0</v>
      </c>
      <c r="AI54" s="38">
        <f>'TX-EGM-GL'!AQ54+'TX-HPL-GL '!AQ54</f>
        <v>0</v>
      </c>
      <c r="AJ54" s="60">
        <f>'TX-EGM-GL'!AR54+'TX-HPL-GL '!AR54</f>
        <v>0</v>
      </c>
      <c r="AK54" s="38">
        <f>'TX-EGM-GL'!AS54+'TX-HPL-GL '!AS54</f>
        <v>0</v>
      </c>
      <c r="AL54" s="60">
        <f>'TX-EGM-GL'!AT54+'TX-HPL-GL '!AT54</f>
        <v>0</v>
      </c>
      <c r="AM54" s="38">
        <f>'TX-EGM-GL'!AU54+'TX-HPL-GL 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3992658</v>
      </c>
      <c r="E55" s="38">
        <f>SUM(G55,I55,K55,M55,O55,Q55,S55,U55,W55,Y55,AA55,AC55,AE55,AG55,AI55,AK55,AM55)</f>
        <v>-802697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-1083457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170832</v>
      </c>
      <c r="V55" s="60">
        <f>'TX-EGM-GL'!V55+'TX-HPL-GL '!V55</f>
        <v>3992658</v>
      </c>
      <c r="W55" s="38">
        <f>'TX-EGM-GL'!W55+'TX-HPL-GL '!W55</f>
        <v>109928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'TX-EGM-GL'!AN55+'TX-HPL-GL '!AN55</f>
        <v>0</v>
      </c>
      <c r="AG55" s="38">
        <f>'TX-EGM-GL'!AO55+'TX-HPL-GL '!AO55</f>
        <v>0</v>
      </c>
      <c r="AH55" s="60">
        <f>'TX-EGM-GL'!AP55+'TX-HPL-GL '!AP55</f>
        <v>0</v>
      </c>
      <c r="AI55" s="38">
        <f>'TX-EGM-GL'!AQ55+'TX-HPL-GL '!AQ55</f>
        <v>0</v>
      </c>
      <c r="AJ55" s="60">
        <f>'TX-EGM-GL'!AR55+'TX-HPL-GL '!AR55</f>
        <v>0</v>
      </c>
      <c r="AK55" s="38">
        <f>'TX-EGM-GL'!AS55+'TX-HPL-GL '!AS55</f>
        <v>0</v>
      </c>
      <c r="AL55" s="60">
        <f>'TX-EGM-GL'!AT55+'TX-HPL-GL '!AT55</f>
        <v>0</v>
      </c>
      <c r="AM55" s="38">
        <f>'TX-EGM-GL'!AU55+'TX-HPL-GL '!AU55</f>
        <v>0</v>
      </c>
    </row>
    <row r="56" spans="1:39" x14ac:dyDescent="0.2">
      <c r="A56" s="9"/>
      <c r="B56" s="7" t="s">
        <v>61</v>
      </c>
      <c r="C56" s="6"/>
      <c r="D56" s="61">
        <f>SUM(D54:D55)</f>
        <v>-40876068</v>
      </c>
      <c r="E56" s="39">
        <f>SUM(E54:E55)</f>
        <v>-1863964.19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-43121339</v>
      </c>
      <c r="I56" s="39">
        <f t="shared" si="22"/>
        <v>-352978.04</v>
      </c>
      <c r="J56" s="61">
        <f t="shared" si="22"/>
        <v>-15254601</v>
      </c>
      <c r="K56" s="39">
        <f t="shared" si="22"/>
        <v>-240436.28</v>
      </c>
      <c r="L56" s="61">
        <f t="shared" si="22"/>
        <v>12158937</v>
      </c>
      <c r="M56" s="39">
        <f t="shared" si="22"/>
        <v>437469.56999999995</v>
      </c>
      <c r="N56" s="61">
        <f t="shared" si="22"/>
        <v>1240000</v>
      </c>
      <c r="O56" s="39">
        <f t="shared" si="22"/>
        <v>5014.2</v>
      </c>
      <c r="P56" s="61">
        <f t="shared" si="22"/>
        <v>-815337</v>
      </c>
      <c r="Q56" s="39">
        <f t="shared" si="22"/>
        <v>-1428181.43</v>
      </c>
      <c r="R56" s="61">
        <f t="shared" si="22"/>
        <v>-29032</v>
      </c>
      <c r="S56" s="39">
        <f t="shared" si="22"/>
        <v>0</v>
      </c>
      <c r="T56" s="61">
        <f t="shared" si="22"/>
        <v>29032</v>
      </c>
      <c r="U56" s="39">
        <f t="shared" ref="U56:AE56" si="23">SUM(U54:U55)</f>
        <v>-397414.65</v>
      </c>
      <c r="V56" s="61">
        <f t="shared" si="22"/>
        <v>3992658</v>
      </c>
      <c r="W56" s="39">
        <f t="shared" si="23"/>
        <v>108824</v>
      </c>
      <c r="X56" s="61">
        <f t="shared" si="22"/>
        <v>710453</v>
      </c>
      <c r="Y56" s="39">
        <f t="shared" si="23"/>
        <v>1426.23</v>
      </c>
      <c r="Z56" s="61">
        <f t="shared" si="22"/>
        <v>-28882</v>
      </c>
      <c r="AA56" s="39">
        <f t="shared" si="23"/>
        <v>364.63</v>
      </c>
      <c r="AB56" s="61">
        <f t="shared" si="22"/>
        <v>0</v>
      </c>
      <c r="AC56" s="39">
        <f t="shared" si="23"/>
        <v>0</v>
      </c>
      <c r="AD56" s="61">
        <f t="shared" si="22"/>
        <v>242043</v>
      </c>
      <c r="AE56" s="39">
        <f t="shared" si="23"/>
        <v>1947.58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9346.32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-970.66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312.5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200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9804.48</v>
      </c>
      <c r="AD59" s="60">
        <f>'TX-EGM-GL'!AD59+'TX-HPL-GL '!AD59</f>
        <v>0</v>
      </c>
      <c r="AE59" s="38">
        <f>'TX-EGM-GL'!AE59+'TX-HPL-GL '!AE59</f>
        <v>0</v>
      </c>
      <c r="AF59" s="60">
        <f>'TX-EGM-GL'!AN59+'TX-HPL-GL '!AN59</f>
        <v>0</v>
      </c>
      <c r="AG59" s="38">
        <f>'TX-EGM-GL'!AO59+'TX-HPL-GL '!AO59</f>
        <v>0</v>
      </c>
      <c r="AH59" s="60">
        <f>'TX-EGM-GL'!AP59+'TX-HPL-GL '!AP59</f>
        <v>0</v>
      </c>
      <c r="AI59" s="38">
        <f>'TX-EGM-GL'!AQ59+'TX-HPL-GL '!AQ59</f>
        <v>0</v>
      </c>
      <c r="AJ59" s="60">
        <f>'TX-EGM-GL'!AR59+'TX-HPL-GL '!AR59</f>
        <v>0</v>
      </c>
      <c r="AK59" s="38">
        <f>'TX-EGM-GL'!AS59+'TX-HPL-GL '!AS59</f>
        <v>0</v>
      </c>
      <c r="AL59" s="60">
        <f>'TX-EGM-GL'!AT59+'TX-HPL-GL '!AT59</f>
        <v>0</v>
      </c>
      <c r="AM59" s="38">
        <f>'TX-EGM-GL'!AU59+'TX-HPL-GL 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4066916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4066916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'TX-EGM-GL'!AN60+'TX-HPL-GL '!AN60</f>
        <v>0</v>
      </c>
      <c r="AG60" s="38">
        <f>'TX-EGM-GL'!AO60+'TX-HPL-GL '!AO60</f>
        <v>0</v>
      </c>
      <c r="AH60" s="60">
        <f>'TX-EGM-GL'!AP60+'TX-HPL-GL '!AP60</f>
        <v>0</v>
      </c>
      <c r="AI60" s="38">
        <f>'TX-EGM-GL'!AQ60+'TX-HPL-GL '!AQ60</f>
        <v>0</v>
      </c>
      <c r="AJ60" s="60">
        <f>'TX-EGM-GL'!AR60+'TX-HPL-GL '!AR60</f>
        <v>0</v>
      </c>
      <c r="AK60" s="38">
        <f>'TX-EGM-GL'!AS60+'TX-HPL-GL '!AS60</f>
        <v>0</v>
      </c>
      <c r="AL60" s="60">
        <f>'TX-EGM-GL'!AT60+'TX-HPL-GL '!AT60</f>
        <v>0</v>
      </c>
      <c r="AM60" s="38">
        <f>'TX-EGM-GL'!AU60+'TX-HPL-GL '!AU60</f>
        <v>0</v>
      </c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4076262.32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-970.66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4066916</v>
      </c>
      <c r="R61" s="61">
        <f t="shared" si="25"/>
        <v>0</v>
      </c>
      <c r="S61" s="39">
        <f t="shared" si="25"/>
        <v>312.5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200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9804.48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-8262262</v>
      </c>
      <c r="E64" s="38">
        <f>SUM(G64,I64,K64,M64,O64,Q64,S64,U64,W64,Y64,AA64,AC64,AE64,AG64,AI64,AK64,AM64)</f>
        <v>-2287674.5600000005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0</v>
      </c>
      <c r="I64" s="38">
        <f>'TX-EGM-GL'!I64+'TX-HPL-GL '!I64</f>
        <v>-792477.65</v>
      </c>
      <c r="J64" s="60">
        <f>'TX-EGM-GL'!J64+'TX-HPL-GL '!J64</f>
        <v>-29349944</v>
      </c>
      <c r="K64" s="38">
        <f>'TX-EGM-GL'!K64+'TX-HPL-GL '!K64</f>
        <v>-2468196.37</v>
      </c>
      <c r="L64" s="60">
        <f>'TX-EGM-GL'!L64+'TX-HPL-GL '!L64</f>
        <v>13714025</v>
      </c>
      <c r="M64" s="38">
        <f>'TX-EGM-GL'!M64+'TX-HPL-GL '!M64</f>
        <v>17268.949999999997</v>
      </c>
      <c r="N64" s="60">
        <f>'TX-EGM-GL'!N64+'TX-HPL-GL '!N64</f>
        <v>7034867</v>
      </c>
      <c r="O64" s="38">
        <f>'TX-EGM-GL'!O64+'TX-HPL-GL '!O64</f>
        <v>83971.37</v>
      </c>
      <c r="P64" s="60">
        <f>'TX-EGM-GL'!P64+'TX-HPL-GL '!P64</f>
        <v>39124</v>
      </c>
      <c r="Q64" s="38">
        <f>'TX-EGM-GL'!Q64+'TX-HPL-GL '!Q64</f>
        <v>-39038.720000000001</v>
      </c>
      <c r="R64" s="60">
        <f>'TX-EGM-GL'!R64+'TX-HPL-GL '!R64</f>
        <v>65315</v>
      </c>
      <c r="S64" s="38">
        <f>'TX-EGM-GL'!S64+'TX-HPL-GL '!S64</f>
        <v>-84.989999999999981</v>
      </c>
      <c r="T64" s="60">
        <f>'TX-EGM-GL'!T64+'TX-HPL-GL '!T64</f>
        <v>39417</v>
      </c>
      <c r="U64" s="38">
        <f>'TX-EGM-GL'!U64+'TX-HPL-GL '!U64</f>
        <v>797019.34</v>
      </c>
      <c r="V64" s="60">
        <f>'TX-EGM-GL'!V64+'TX-HPL-GL '!V64</f>
        <v>20338</v>
      </c>
      <c r="W64" s="38">
        <f>'TX-EGM-GL'!W64+'TX-HPL-GL '!W64</f>
        <v>3325.38</v>
      </c>
      <c r="X64" s="60">
        <f>'TX-EGM-GL'!X64+'TX-HPL-GL '!X64</f>
        <v>-7603</v>
      </c>
      <c r="Y64" s="38">
        <f>'TX-EGM-GL'!Y64+'TX-HPL-GL '!Y64</f>
        <v>-593.37</v>
      </c>
      <c r="Z64" s="60">
        <f>'TX-EGM-GL'!Z64+'TX-HPL-GL '!Z64</f>
        <v>-246</v>
      </c>
      <c r="AA64" s="38">
        <f>'TX-EGM-GL'!AA64+'TX-HPL-GL '!AA64</f>
        <v>-32.49</v>
      </c>
      <c r="AB64" s="60">
        <f>'TX-EGM-GL'!AB64+'TX-HPL-GL '!AB64</f>
        <v>2781</v>
      </c>
      <c r="AC64" s="38">
        <f>'TX-EGM-GL'!AC64+'TX-HPL-GL '!AC64</f>
        <v>0</v>
      </c>
      <c r="AD64" s="60">
        <f>'TX-EGM-GL'!AD64+'TX-HPL-GL '!AD64</f>
        <v>179664</v>
      </c>
      <c r="AE64" s="38">
        <f>'TX-EGM-GL'!AE64+'TX-HPL-GL '!AE64</f>
        <v>17863.990000000002</v>
      </c>
      <c r="AF64" s="60">
        <f>'TX-EGM-GL'!AN64+'TX-HPL-GL '!AN64</f>
        <v>0</v>
      </c>
      <c r="AG64" s="38">
        <f>'TX-EGM-GL'!AO64+'TX-HPL-GL '!AO64</f>
        <v>0</v>
      </c>
      <c r="AH64" s="60">
        <f>'TX-EGM-GL'!AP64+'TX-HPL-GL '!AP64</f>
        <v>0</v>
      </c>
      <c r="AI64" s="38">
        <f>'TX-EGM-GL'!AQ64+'TX-HPL-GL '!AQ64</f>
        <v>0</v>
      </c>
      <c r="AJ64" s="60">
        <f>'TX-EGM-GL'!AR64+'TX-HPL-GL '!AR64</f>
        <v>0</v>
      </c>
      <c r="AK64" s="38">
        <f>'TX-EGM-GL'!AS64+'TX-HPL-GL '!AS64</f>
        <v>0</v>
      </c>
      <c r="AL64" s="60">
        <f>'TX-EGM-GL'!AT64+'TX-HPL-GL '!AT64</f>
        <v>0</v>
      </c>
      <c r="AM64" s="38">
        <f>'TX-EGM-GL'!AU64+'TX-HPL-GL '!AU64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-1590136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130168</v>
      </c>
      <c r="R65" s="60">
        <f>'TX-EGM-GL'!R65+'TX-HPL-GL '!R65</f>
        <v>0</v>
      </c>
      <c r="S65" s="38">
        <f>'TX-EGM-GL'!S65+'TX-HPL-GL '!S65</f>
        <v>-2166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-1696000</v>
      </c>
      <c r="X65" s="60">
        <f>'TX-EGM-GL'!X65+'TX-HPL-GL '!X65</f>
        <v>0</v>
      </c>
      <c r="Y65" s="38">
        <f>'TX-EGM-GL'!Y65+'TX-HPL-GL '!Y65</f>
        <v>-5430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66</v>
      </c>
      <c r="AD65" s="60">
        <f>'TX-EGM-GL'!AD65+'TX-HPL-GL '!AD65</f>
        <v>0</v>
      </c>
      <c r="AE65" s="38">
        <f>'TX-EGM-GL'!AE65+'TX-HPL-GL '!AE65</f>
        <v>-16774</v>
      </c>
      <c r="AF65" s="60">
        <f>'TX-EGM-GL'!AN65+'TX-HPL-GL '!AN65</f>
        <v>0</v>
      </c>
      <c r="AG65" s="38">
        <f>'TX-EGM-GL'!AO65+'TX-HPL-GL '!AO65</f>
        <v>0</v>
      </c>
      <c r="AH65" s="60">
        <f>'TX-EGM-GL'!AP65+'TX-HPL-GL '!AP65</f>
        <v>0</v>
      </c>
      <c r="AI65" s="38">
        <f>'TX-EGM-GL'!AQ65+'TX-HPL-GL '!AQ65</f>
        <v>0</v>
      </c>
      <c r="AJ65" s="60">
        <f>'TX-EGM-GL'!AR65+'TX-HPL-GL '!AR65</f>
        <v>0</v>
      </c>
      <c r="AK65" s="38">
        <f>'TX-EGM-GL'!AS65+'TX-HPL-GL '!AS65</f>
        <v>0</v>
      </c>
      <c r="AL65" s="60">
        <f>'TX-EGM-GL'!AT65+'TX-HPL-GL '!AT65</f>
        <v>0</v>
      </c>
      <c r="AM65" s="38">
        <f>'TX-EGM-GL'!AU65+'TX-HPL-GL '!AU65</f>
        <v>0</v>
      </c>
    </row>
    <row r="66" spans="1:39" x14ac:dyDescent="0.2">
      <c r="A66" s="9"/>
      <c r="B66" s="7" t="s">
        <v>68</v>
      </c>
      <c r="C66" s="6"/>
      <c r="D66" s="61">
        <f>SUM(D64:D65)</f>
        <v>-8262262</v>
      </c>
      <c r="E66" s="39">
        <f>SUM(E64:E65)</f>
        <v>-3877810.5600000005</v>
      </c>
      <c r="F66" s="61">
        <f t="shared" ref="F66:AD66" si="28">SUM(F64:F65)</f>
        <v>0</v>
      </c>
      <c r="G66" s="39">
        <f t="shared" si="28"/>
        <v>93300</v>
      </c>
      <c r="H66" s="61">
        <f t="shared" si="28"/>
        <v>0</v>
      </c>
      <c r="I66" s="39">
        <f t="shared" si="28"/>
        <v>-792477.65</v>
      </c>
      <c r="J66" s="61">
        <f t="shared" si="28"/>
        <v>-29349944</v>
      </c>
      <c r="K66" s="39">
        <f t="shared" si="28"/>
        <v>-2468196.37</v>
      </c>
      <c r="L66" s="61">
        <f t="shared" si="28"/>
        <v>13714025</v>
      </c>
      <c r="M66" s="39">
        <f t="shared" si="28"/>
        <v>17268.949999999997</v>
      </c>
      <c r="N66" s="61">
        <f t="shared" si="28"/>
        <v>7034867</v>
      </c>
      <c r="O66" s="39">
        <f t="shared" si="28"/>
        <v>83971.37</v>
      </c>
      <c r="P66" s="61">
        <f t="shared" si="28"/>
        <v>39124</v>
      </c>
      <c r="Q66" s="39">
        <f t="shared" si="28"/>
        <v>91129.279999999999</v>
      </c>
      <c r="R66" s="61">
        <f t="shared" si="28"/>
        <v>65315</v>
      </c>
      <c r="S66" s="39">
        <f t="shared" si="28"/>
        <v>-2250.9899999999998</v>
      </c>
      <c r="T66" s="61">
        <f t="shared" si="28"/>
        <v>39417</v>
      </c>
      <c r="U66" s="39">
        <f t="shared" ref="U66:AE66" si="29">SUM(U64:U65)</f>
        <v>797019.34</v>
      </c>
      <c r="V66" s="61">
        <f t="shared" si="28"/>
        <v>20338</v>
      </c>
      <c r="W66" s="39">
        <f t="shared" si="29"/>
        <v>-1692674.62</v>
      </c>
      <c r="X66" s="61">
        <f t="shared" si="28"/>
        <v>-7603</v>
      </c>
      <c r="Y66" s="39">
        <f t="shared" si="29"/>
        <v>-6023.37</v>
      </c>
      <c r="Z66" s="61">
        <f t="shared" si="28"/>
        <v>-246</v>
      </c>
      <c r="AA66" s="39">
        <f t="shared" si="29"/>
        <v>-32.49</v>
      </c>
      <c r="AB66" s="61">
        <f t="shared" si="28"/>
        <v>2781</v>
      </c>
      <c r="AC66" s="39">
        <f t="shared" si="29"/>
        <v>66</v>
      </c>
      <c r="AD66" s="61">
        <f t="shared" si="28"/>
        <v>179664</v>
      </c>
      <c r="AE66" s="39">
        <f t="shared" si="29"/>
        <v>1089.9900000000016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723632.56</v>
      </c>
      <c r="F70" s="64">
        <f>('TIE-OUT'!P70+'TIE-OUT'!R70)+(RECLASS!P70+RECLASS!R70)</f>
        <v>0</v>
      </c>
      <c r="G70" s="68">
        <f>('TIE-OUT'!Q70+'TIE-OUT'!S70)+(RECLASS!Q70+RECLASS!S70)</f>
        <v>723632.56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'TX-EGM-GL'!AN70+'TX-HPL-GL '!AN70</f>
        <v>0</v>
      </c>
      <c r="AG70" s="38">
        <f>'TX-EGM-GL'!AO70+'TX-HPL-GL '!AO70</f>
        <v>0</v>
      </c>
      <c r="AH70" s="60">
        <f>'TX-EGM-GL'!AP70+'TX-HPL-GL '!AP70</f>
        <v>0</v>
      </c>
      <c r="AI70" s="38">
        <f>'TX-EGM-GL'!AQ70+'TX-HPL-GL '!AQ70</f>
        <v>0</v>
      </c>
      <c r="AJ70" s="60">
        <f>'TX-EGM-GL'!AR70+'TX-HPL-GL '!AR70</f>
        <v>0</v>
      </c>
      <c r="AK70" s="38">
        <f>'TX-EGM-GL'!AS70+'TX-HPL-GL '!AS70</f>
        <v>0</v>
      </c>
      <c r="AL70" s="60">
        <f>'TX-EGM-GL'!AT70+'TX-HPL-GL '!AT70</f>
        <v>0</v>
      </c>
      <c r="AM70" s="38">
        <f>'TX-EGM-GL'!AU70+'TX-HPL-GL 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'TX-EGM-GL'!AN71+'TX-HPL-GL '!AN71</f>
        <v>0</v>
      </c>
      <c r="AG71" s="38">
        <f>'TX-EGM-GL'!AO71+'TX-HPL-GL '!AO71</f>
        <v>0</v>
      </c>
      <c r="AH71" s="60">
        <f>'TX-EGM-GL'!AP71+'TX-HPL-GL '!AP71</f>
        <v>0</v>
      </c>
      <c r="AI71" s="38">
        <f>'TX-EGM-GL'!AQ71+'TX-HPL-GL '!AQ71</f>
        <v>0</v>
      </c>
      <c r="AJ71" s="60">
        <f>'TX-EGM-GL'!AR71+'TX-HPL-GL '!AR71</f>
        <v>0</v>
      </c>
      <c r="AK71" s="38">
        <f>'TX-EGM-GL'!AS71+'TX-HPL-GL '!AS71</f>
        <v>0</v>
      </c>
      <c r="AL71" s="60">
        <f>'TX-EGM-GL'!AT71+'TX-HPL-GL '!AT71</f>
        <v>0</v>
      </c>
      <c r="AM71" s="38">
        <f>'TX-EGM-GL'!AU71+'TX-HPL-GL 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723632.56</v>
      </c>
      <c r="F72" s="61">
        <f t="shared" ref="F72:AD72" si="31">SUM(F70:F71)</f>
        <v>0</v>
      </c>
      <c r="G72" s="39">
        <f t="shared" si="31"/>
        <v>723632.56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'TX-EGM-GL'!AN73+'TX-HPL-GL '!AN73</f>
        <v>0</v>
      </c>
      <c r="AG73" s="38">
        <f>'TX-EGM-GL'!AO73+'TX-HPL-GL '!AO73</f>
        <v>0</v>
      </c>
      <c r="AH73" s="60">
        <f>'TX-EGM-GL'!AP73+'TX-HPL-GL '!AP73</f>
        <v>0</v>
      </c>
      <c r="AI73" s="38">
        <f>'TX-EGM-GL'!AQ73+'TX-HPL-GL '!AQ73</f>
        <v>0</v>
      </c>
      <c r="AJ73" s="60">
        <f>'TX-EGM-GL'!AR73+'TX-HPL-GL '!AR73</f>
        <v>0</v>
      </c>
      <c r="AK73" s="38">
        <f>'TX-EGM-GL'!AS73+'TX-HPL-GL '!AS73</f>
        <v>0</v>
      </c>
      <c r="AL73" s="60">
        <f>'TX-EGM-GL'!AT73+'TX-HPL-GL '!AT73</f>
        <v>0</v>
      </c>
      <c r="AM73" s="38">
        <f>'TX-EGM-GL'!AU73+'TX-HPL-GL 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474445</v>
      </c>
      <c r="F74" s="60">
        <f>('TIE-OUT'!P74+'TIE-OUT'!R74)+(RECLASS!P74+RECLASS!R74)</f>
        <v>0</v>
      </c>
      <c r="G74" s="60">
        <f>('TIE-OUT'!Q74+'TIE-OUT'!S74)+(RECLASS!Q74+RECLASS!S74)</f>
        <v>-532289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1006734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'TX-EGM-GL'!AN74+'TX-HPL-GL '!AN74</f>
        <v>0</v>
      </c>
      <c r="AG74" s="38">
        <f>'TX-EGM-GL'!AO74+'TX-HPL-GL '!AO74</f>
        <v>0</v>
      </c>
      <c r="AH74" s="60">
        <f>'TX-EGM-GL'!AP74+'TX-HPL-GL '!AP74</f>
        <v>0</v>
      </c>
      <c r="AI74" s="38">
        <f>'TX-EGM-GL'!AQ74+'TX-HPL-GL '!AQ74</f>
        <v>0</v>
      </c>
      <c r="AJ74" s="60">
        <f>'TX-EGM-GL'!AR74+'TX-HPL-GL '!AR74</f>
        <v>0</v>
      </c>
      <c r="AK74" s="38">
        <f>'TX-EGM-GL'!AS74+'TX-HPL-GL '!AS74</f>
        <v>0</v>
      </c>
      <c r="AL74" s="60">
        <f>'TX-EGM-GL'!AT74+'TX-HPL-GL '!AT74</f>
        <v>0</v>
      </c>
      <c r="AM74" s="38">
        <f>'TX-EGM-GL'!AU74+'TX-HPL-GL 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86400</v>
      </c>
      <c r="F75" s="60">
        <f>('TIE-OUT'!P75+'TIE-OUT'!R75)+(RECLASS!P75+RECLASS!R75)</f>
        <v>0</v>
      </c>
      <c r="G75" s="60">
        <f>('TIE-OUT'!Q75+'TIE-OUT'!S75)+(RECLASS!Q75+RECLASS!S75)</f>
        <v>86400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'TX-EGM-GL'!AN75+'TX-HPL-GL '!AN75</f>
        <v>0</v>
      </c>
      <c r="AG75" s="38">
        <f>'TX-EGM-GL'!AO75+'TX-HPL-GL '!AO75</f>
        <v>0</v>
      </c>
      <c r="AH75" s="60">
        <f>'TX-EGM-GL'!AP75+'TX-HPL-GL '!AP75</f>
        <v>0</v>
      </c>
      <c r="AI75" s="38">
        <f>'TX-EGM-GL'!AQ75+'TX-HPL-GL '!AQ75</f>
        <v>0</v>
      </c>
      <c r="AJ75" s="60">
        <f>'TX-EGM-GL'!AR75+'TX-HPL-GL '!AR75</f>
        <v>0</v>
      </c>
      <c r="AK75" s="38">
        <f>'TX-EGM-GL'!AS75+'TX-HPL-GL '!AS75</f>
        <v>0</v>
      </c>
      <c r="AL75" s="60">
        <f>'TX-EGM-GL'!AT75+'TX-HPL-GL '!AT75</f>
        <v>0</v>
      </c>
      <c r="AM75" s="38">
        <f>'TX-EGM-GL'!AU75+'TX-HPL-GL 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-9087.5499999999993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-9087.5499999999993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'TX-EGM-GL'!AN76+'TX-HPL-GL '!AN76</f>
        <v>0</v>
      </c>
      <c r="AG76" s="38">
        <f>'TX-EGM-GL'!AO76+'TX-HPL-GL '!AO76</f>
        <v>0</v>
      </c>
      <c r="AH76" s="60">
        <f>'TX-EGM-GL'!AP76+'TX-HPL-GL '!AP76</f>
        <v>0</v>
      </c>
      <c r="AI76" s="38">
        <f>'TX-EGM-GL'!AQ76+'TX-HPL-GL '!AQ76</f>
        <v>0</v>
      </c>
      <c r="AJ76" s="60">
        <f>'TX-EGM-GL'!AR76+'TX-HPL-GL '!AR76</f>
        <v>0</v>
      </c>
      <c r="AK76" s="38">
        <f>'TX-EGM-GL'!AS76+'TX-HPL-GL '!AS76</f>
        <v>0</v>
      </c>
      <c r="AL76" s="60">
        <f>'TX-EGM-GL'!AT76+'TX-HPL-GL '!AT76</f>
        <v>0</v>
      </c>
      <c r="AM76" s="38">
        <f>'TX-EGM-GL'!AU76+'TX-HPL-GL 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'TX-EGM-GL'!AN77+'TX-HPL-GL '!AN77</f>
        <v>0</v>
      </c>
      <c r="AG77" s="38">
        <f>'TX-EGM-GL'!AO77+'TX-HPL-GL '!AO77</f>
        <v>0</v>
      </c>
      <c r="AH77" s="60">
        <f>'TX-EGM-GL'!AP77+'TX-HPL-GL '!AP77</f>
        <v>0</v>
      </c>
      <c r="AI77" s="38">
        <f>'TX-EGM-GL'!AQ77+'TX-HPL-GL '!AQ77</f>
        <v>0</v>
      </c>
      <c r="AJ77" s="60">
        <f>'TX-EGM-GL'!AR77+'TX-HPL-GL '!AR77</f>
        <v>0</v>
      </c>
      <c r="AK77" s="38">
        <f>'TX-EGM-GL'!AS77+'TX-HPL-GL '!AS77</f>
        <v>0</v>
      </c>
      <c r="AL77" s="60">
        <f>'TX-EGM-GL'!AT77+'TX-HPL-GL '!AT77</f>
        <v>0</v>
      </c>
      <c r="AM77" s="38">
        <f>'TX-EGM-GL'!AU77+'TX-HPL-GL 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'TX-EGM-GL'!AN78+'TX-HPL-GL '!AN78</f>
        <v>0</v>
      </c>
      <c r="AG78" s="38">
        <f>'TX-EGM-GL'!AO78+'TX-HPL-GL '!AO78</f>
        <v>0</v>
      </c>
      <c r="AH78" s="60">
        <f>'TX-EGM-GL'!AP78+'TX-HPL-GL '!AP78</f>
        <v>0</v>
      </c>
      <c r="AI78" s="38">
        <f>'TX-EGM-GL'!AQ78+'TX-HPL-GL '!AQ78</f>
        <v>0</v>
      </c>
      <c r="AJ78" s="60">
        <f>'TX-EGM-GL'!AR78+'TX-HPL-GL '!AR78</f>
        <v>0</v>
      </c>
      <c r="AK78" s="38">
        <f>'TX-EGM-GL'!AS78+'TX-HPL-GL '!AS78</f>
        <v>0</v>
      </c>
      <c r="AL78" s="60">
        <f>'TX-EGM-GL'!AT78+'TX-HPL-GL '!AT78</f>
        <v>0</v>
      </c>
      <c r="AM78" s="38">
        <f>'TX-EGM-GL'!AU78+'TX-HPL-GL 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'TX-EGM-GL'!AN79+'TX-HPL-GL '!AN79</f>
        <v>0</v>
      </c>
      <c r="AG79" s="38">
        <f>'TX-EGM-GL'!AO79+'TX-HPL-GL '!AO79</f>
        <v>0</v>
      </c>
      <c r="AH79" s="60">
        <f>'TX-EGM-GL'!AP79+'TX-HPL-GL '!AP79</f>
        <v>0</v>
      </c>
      <c r="AI79" s="38">
        <f>'TX-EGM-GL'!AQ79+'TX-HPL-GL '!AQ79</f>
        <v>0</v>
      </c>
      <c r="AJ79" s="60">
        <f>'TX-EGM-GL'!AR79+'TX-HPL-GL '!AR79</f>
        <v>0</v>
      </c>
      <c r="AK79" s="38">
        <f>'TX-EGM-GL'!AS79+'TX-HPL-GL '!AS79</f>
        <v>0</v>
      </c>
      <c r="AL79" s="60">
        <f>'TX-EGM-GL'!AT79+'TX-HPL-GL '!AT79</f>
        <v>0</v>
      </c>
      <c r="AM79" s="38">
        <f>'TX-EGM-GL'!AU79+'TX-HPL-GL 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'TX-EGM-GL'!AN80+'TX-HPL-GL '!AN80</f>
        <v>0</v>
      </c>
      <c r="AG80" s="38">
        <f>'TX-EGM-GL'!AO80+'TX-HPL-GL '!AO80</f>
        <v>0</v>
      </c>
      <c r="AH80" s="60">
        <f>'TX-EGM-GL'!AP80+'TX-HPL-GL '!AP80</f>
        <v>0</v>
      </c>
      <c r="AI80" s="38">
        <f>'TX-EGM-GL'!AQ80+'TX-HPL-GL '!AQ80</f>
        <v>0</v>
      </c>
      <c r="AJ80" s="60">
        <f>'TX-EGM-GL'!AR80+'TX-HPL-GL '!AR80</f>
        <v>0</v>
      </c>
      <c r="AK80" s="38">
        <f>'TX-EGM-GL'!AS80+'TX-HPL-GL '!AS80</f>
        <v>0</v>
      </c>
      <c r="AL80" s="60">
        <f>'TX-EGM-GL'!AT80+'TX-HPL-GL '!AT80</f>
        <v>0</v>
      </c>
      <c r="AM80" s="38">
        <f>'TX-EGM-GL'!AU80+'TX-HPL-GL 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-54818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-9718</v>
      </c>
      <c r="J81" s="60">
        <f>'TX-EGM-GL'!J81+'TX-HPL-GL '!J81</f>
        <v>0</v>
      </c>
      <c r="K81" s="38">
        <f>'TX-EGM-GL'!K81+'TX-HPL-GL '!K81</f>
        <v>-45100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'TX-EGM-GL'!AN81+'TX-HPL-GL '!AN81</f>
        <v>0</v>
      </c>
      <c r="AG81" s="38">
        <f>'TX-EGM-GL'!AO81+'TX-HPL-GL '!AO81</f>
        <v>0</v>
      </c>
      <c r="AH81" s="60">
        <f>'TX-EGM-GL'!AP81+'TX-HPL-GL '!AP81</f>
        <v>0</v>
      </c>
      <c r="AI81" s="38">
        <f>'TX-EGM-GL'!AQ81+'TX-HPL-GL '!AQ81</f>
        <v>0</v>
      </c>
      <c r="AJ81" s="60">
        <f>'TX-EGM-GL'!AR81+'TX-HPL-GL '!AR81</f>
        <v>0</v>
      </c>
      <c r="AK81" s="38">
        <f>'TX-EGM-GL'!AS81+'TX-HPL-GL '!AS81</f>
        <v>0</v>
      </c>
      <c r="AL81" s="60">
        <f>'TX-EGM-GL'!AT81+'TX-HPL-GL '!AT81</f>
        <v>0</v>
      </c>
      <c r="AM81" s="38">
        <f>'TX-EGM-GL'!AU81+'TX-HPL-GL 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-2255166.6555999978</v>
      </c>
      <c r="F82" s="92">
        <f>F16+F24+F29+F36+F43+F45+F47+F49</f>
        <v>0</v>
      </c>
      <c r="G82" s="93">
        <f>SUM(G72:G81)+G16+G24+G29+G36+G43+G45+G47+G49+G51+G56+G61+G66</f>
        <v>-12127538.709999999</v>
      </c>
      <c r="H82" s="92">
        <f>H16+H24+H29+H36+H43+H45+H47+H49</f>
        <v>-3000</v>
      </c>
      <c r="I82" s="93">
        <f>SUM(I72:I81)+I16+I24+I29+I36+I43+I45+I47+I49+I51+I56+I61+I66</f>
        <v>10113554.589999998</v>
      </c>
      <c r="J82" s="92">
        <f>J16+J24+J29+J36+J43+J45+J47+J49</f>
        <v>0</v>
      </c>
      <c r="K82" s="93">
        <f>SUM(K72:K81)+K16+K24+K29+K36+K43+K45+K47+K49+K51+K56+K61+K66</f>
        <v>-11996648.482000005</v>
      </c>
      <c r="L82" s="92">
        <f>L16+L24+L29+L36+L43+L45+L47+L49</f>
        <v>3000</v>
      </c>
      <c r="M82" s="93">
        <f>SUM(M72:M81)+M16+M24+M29+M36+M43+M45+M47+M49+M51+M56+M61+M66</f>
        <v>8517160.4801000021</v>
      </c>
      <c r="N82" s="92">
        <f>N16+N24+N29+N36+N43+N45+N47+N49</f>
        <v>0</v>
      </c>
      <c r="O82" s="93">
        <f>SUM(O72:O81)+O16+O24+O29+O36+O43+O45+O47+O49+O51+O56+O61+O66</f>
        <v>3846975.0892000003</v>
      </c>
      <c r="P82" s="92">
        <f>P16+P24+P29+P36+P43+P45+P47+P49</f>
        <v>0</v>
      </c>
      <c r="Q82" s="93">
        <f>SUM(Q72:Q81)+Q16+Q24+Q29+Q36+Q43+Q45+Q47+Q49+Q51+Q56+Q61+Q66</f>
        <v>1572230.3766999987</v>
      </c>
      <c r="R82" s="92">
        <f>R16+R24+R29+R36+R43+R45+R47+R49</f>
        <v>0</v>
      </c>
      <c r="S82" s="93">
        <f>SUM(S72:S81)+S16+S24+S29+S36+S43+S45+S47+S49+S51+S56+S61+S66</f>
        <v>947580.97849999822</v>
      </c>
      <c r="T82" s="92">
        <f>T16+T24+T29+T36+T43+T45+T47+T49</f>
        <v>0</v>
      </c>
      <c r="U82" s="93">
        <f>SUM(U72:U81)+U16+U24+U29+U36+U43+U45+U47+U49+U51+U56+U61+U66</f>
        <v>1029909.9354999987</v>
      </c>
      <c r="V82" s="92">
        <f>V16+V24+V29+V36+V43+V45+V47+V49</f>
        <v>0</v>
      </c>
      <c r="W82" s="93">
        <f>SUM(W72:W81)+W16+W24+W29+W36+W43+W45+W47+W49+W51+W56+W61+W66</f>
        <v>-1430044.7335000001</v>
      </c>
      <c r="X82" s="92">
        <f>X16+X24+X29+X36+X43+X45+X47+X49</f>
        <v>0</v>
      </c>
      <c r="Y82" s="93">
        <f>SUM(Y72:Y81)+Y16+Y24+Y29+Y36+Y43+Y45+Y47+Y49+Y51+Y56+Y61+Y66</f>
        <v>-81981.867999999988</v>
      </c>
      <c r="Z82" s="92">
        <f>Z16+Z24+Z29+Z36+Z43+Z45+Z47+Z49</f>
        <v>0</v>
      </c>
      <c r="AA82" s="93">
        <f>SUM(AA72:AA81)+AA16+AA24+AA29+AA36+AA43+AA45+AA47+AA49+AA51+AA56+AA61+AA66</f>
        <v>-1754896.7099999995</v>
      </c>
      <c r="AB82" s="92">
        <f>AB16+AB24+AB29+AB36+AB43+AB45+AB47+AB49</f>
        <v>0</v>
      </c>
      <c r="AC82" s="93">
        <f>SUM(AC72:AC81)+AC16+AC24+AC29+AC36+AC43+AC45+AC47+AC49+AC51+AC56+AC61+AC66</f>
        <v>63779.072400000252</v>
      </c>
      <c r="AD82" s="92">
        <f>AD16+AD24+AD29+AD36+AD43+AD45+AD47+AD49</f>
        <v>0</v>
      </c>
      <c r="AE82" s="93">
        <f>SUM(AE72:AE81)+AE16+AE24+AE29+AE36+AE43+AE45+AE47+AE49+AE51+AE56+AE61+AE66</f>
        <v>-955246.67450000171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M187"/>
  <sheetViews>
    <sheetView zoomScale="75" workbookViewId="0">
      <pane xSplit="3" ySplit="9" topLeftCell="AB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19649168</v>
      </c>
      <c r="E11" s="38">
        <f t="shared" si="0"/>
        <v>39531158.960000001</v>
      </c>
      <c r="F11" s="60">
        <f>'TIE-OUT'!N11+RECLASS!N11</f>
        <v>0</v>
      </c>
      <c r="G11" s="38">
        <f>'TIE-OUT'!O11+RECLASS!O11</f>
        <v>0</v>
      </c>
      <c r="H11" s="133">
        <f>+Actuals!E284</f>
        <v>19565138</v>
      </c>
      <c r="I11" s="134">
        <f>+Actuals!F284</f>
        <v>39304476.160000004</v>
      </c>
      <c r="J11" s="133">
        <f>+Actuals!G284</f>
        <v>57874</v>
      </c>
      <c r="K11" s="134">
        <f>+Actuals!H284</f>
        <v>95682.58</v>
      </c>
      <c r="L11" s="133">
        <f>+Actuals!I284</f>
        <v>28965</v>
      </c>
      <c r="M11" s="134">
        <f>+Actuals!J284</f>
        <v>127188.4</v>
      </c>
      <c r="N11" s="133">
        <f>+Actuals!K284</f>
        <v>1</v>
      </c>
      <c r="O11" s="134">
        <f>+Actuals!L284</f>
        <v>69951.710000000006</v>
      </c>
      <c r="P11" s="133">
        <f>+Actuals!M284</f>
        <v>1976</v>
      </c>
      <c r="Q11" s="134">
        <f>+Actuals!N284</f>
        <v>3398.72</v>
      </c>
      <c r="R11" s="133">
        <f>+Actuals!O284</f>
        <v>0</v>
      </c>
      <c r="S11" s="134">
        <f>+Actuals!P284</f>
        <v>-61241.120000000003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-4786</v>
      </c>
      <c r="Y11" s="134">
        <f>+Actuals!V284</f>
        <v>-8297.49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+Actuals!AA284</f>
        <v>0</v>
      </c>
      <c r="AE11" s="134">
        <f>+Actuals!AB284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  <c r="AL11" s="133">
        <f>+Actuals!AI484</f>
        <v>0</v>
      </c>
      <c r="AM11" s="134">
        <f>+Actuals!AJ484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-1088135.08</v>
      </c>
      <c r="F12" s="60">
        <f>'TIE-OUT'!N12+RECLASS!N12</f>
        <v>0</v>
      </c>
      <c r="G12" s="38">
        <f>'TIE-OUT'!O12+RECLASS!O12</f>
        <v>-1088135.08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+Actuals!AA285</f>
        <v>0</v>
      </c>
      <c r="AE12" s="134">
        <f>+Actuals!AB285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14109160</v>
      </c>
      <c r="E13" s="38">
        <f t="shared" si="0"/>
        <v>25626414</v>
      </c>
      <c r="F13" s="60">
        <f>'TIE-OUT'!N13+RECLASS!N13</f>
        <v>0</v>
      </c>
      <c r="G13" s="38">
        <f>'TIE-OUT'!O13+RECLASS!O13</f>
        <v>0</v>
      </c>
      <c r="H13" s="133">
        <f>+Actuals!E286</f>
        <v>14109160</v>
      </c>
      <c r="I13" s="134">
        <f>+Actuals!F286</f>
        <v>25626414</v>
      </c>
      <c r="J13" s="133">
        <f>+Actuals!G286</f>
        <v>0</v>
      </c>
      <c r="K13" s="134">
        <f>+Actuals!H286</f>
        <v>0</v>
      </c>
      <c r="L13" s="133">
        <f>+Actuals!I286</f>
        <v>0</v>
      </c>
      <c r="M13" s="134">
        <f>+Actuals!J286</f>
        <v>0</v>
      </c>
      <c r="N13" s="133">
        <f>+Actuals!K286</f>
        <v>-568</v>
      </c>
      <c r="O13" s="134">
        <f>+Actuals!L286</f>
        <v>-1091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0</v>
      </c>
      <c r="AA13" s="134">
        <f>+Actuals!X286</f>
        <v>0</v>
      </c>
      <c r="AB13" s="133">
        <f>+Actuals!Y286</f>
        <v>1469</v>
      </c>
      <c r="AC13" s="134">
        <f>+Actuals!Z286</f>
        <v>2820</v>
      </c>
      <c r="AD13" s="133">
        <f>+Actuals!AA286</f>
        <v>-901</v>
      </c>
      <c r="AE13" s="134">
        <f>+Actuals!AB286</f>
        <v>-1729</v>
      </c>
      <c r="AF13" s="133">
        <f>+Actuals!AC486</f>
        <v>901</v>
      </c>
      <c r="AG13" s="134">
        <f>+Actuals!AD486</f>
        <v>1729</v>
      </c>
      <c r="AH13" s="133">
        <f>+Actuals!AE486</f>
        <v>0</v>
      </c>
      <c r="AI13" s="134">
        <f>+Actuals!AF486</f>
        <v>0</v>
      </c>
      <c r="AJ13" s="133">
        <f>+Actuals!AG486</f>
        <v>-901</v>
      </c>
      <c r="AK13" s="134">
        <f>+Actuals!AH486</f>
        <v>-1729</v>
      </c>
      <c r="AL13" s="133">
        <f>+Actuals!AI486</f>
        <v>0</v>
      </c>
      <c r="AM13" s="134">
        <f>+Actuals!AJ486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+Actuals!AA287</f>
        <v>0</v>
      </c>
      <c r="AE14" s="134">
        <f>+Actuals!AB287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+Actuals!AA288</f>
        <v>0</v>
      </c>
      <c r="AE15" s="134">
        <f>+Actuals!AB288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33758328</v>
      </c>
      <c r="E16" s="39">
        <f t="shared" si="1"/>
        <v>64069437.880000003</v>
      </c>
      <c r="F16" s="61">
        <f t="shared" si="1"/>
        <v>0</v>
      </c>
      <c r="G16" s="39">
        <f t="shared" si="1"/>
        <v>-1088135.08</v>
      </c>
      <c r="H16" s="61">
        <f t="shared" si="1"/>
        <v>33674298</v>
      </c>
      <c r="I16" s="39">
        <f t="shared" si="1"/>
        <v>64930890.160000004</v>
      </c>
      <c r="J16" s="61">
        <f t="shared" si="1"/>
        <v>57874</v>
      </c>
      <c r="K16" s="39">
        <f t="shared" si="1"/>
        <v>95682.58</v>
      </c>
      <c r="L16" s="61">
        <f t="shared" si="1"/>
        <v>28965</v>
      </c>
      <c r="M16" s="39">
        <f t="shared" si="1"/>
        <v>127188.4</v>
      </c>
      <c r="N16" s="61">
        <f t="shared" si="1"/>
        <v>-567</v>
      </c>
      <c r="O16" s="39">
        <f t="shared" si="1"/>
        <v>68860.710000000006</v>
      </c>
      <c r="P16" s="61">
        <f t="shared" si="1"/>
        <v>1976</v>
      </c>
      <c r="Q16" s="39">
        <f t="shared" si="1"/>
        <v>3398.72</v>
      </c>
      <c r="R16" s="61">
        <f t="shared" si="1"/>
        <v>0</v>
      </c>
      <c r="S16" s="39">
        <f t="shared" si="1"/>
        <v>-61241.120000000003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-4786</v>
      </c>
      <c r="Y16" s="39">
        <f t="shared" si="1"/>
        <v>-8297.49</v>
      </c>
      <c r="Z16" s="61">
        <f t="shared" si="1"/>
        <v>0</v>
      </c>
      <c r="AA16" s="39">
        <f t="shared" si="1"/>
        <v>0</v>
      </c>
      <c r="AB16" s="61">
        <f t="shared" si="1"/>
        <v>1469</v>
      </c>
      <c r="AC16" s="39">
        <f t="shared" si="1"/>
        <v>2820</v>
      </c>
      <c r="AD16" s="61">
        <f t="shared" si="1"/>
        <v>-901</v>
      </c>
      <c r="AE16" s="39">
        <f t="shared" si="1"/>
        <v>-1729</v>
      </c>
      <c r="AF16" s="61">
        <f t="shared" si="1"/>
        <v>901</v>
      </c>
      <c r="AG16" s="39">
        <f t="shared" si="1"/>
        <v>1729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-901</v>
      </c>
      <c r="AK16" s="39">
        <f t="shared" si="2"/>
        <v>-1729</v>
      </c>
      <c r="AL16" s="61">
        <f t="shared" si="2"/>
        <v>0</v>
      </c>
      <c r="AM16" s="39">
        <f t="shared" si="2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-20216851</v>
      </c>
      <c r="E19" s="38">
        <f t="shared" si="3"/>
        <v>-37033601.960000001</v>
      </c>
      <c r="F19" s="64">
        <f>'TIE-OUT'!N19+RECLASS!N19</f>
        <v>0</v>
      </c>
      <c r="G19" s="68">
        <f>'TIE-OUT'!O19+RECLASS!O19</f>
        <v>112497</v>
      </c>
      <c r="H19" s="133">
        <f>+Actuals!E289</f>
        <v>-20126908</v>
      </c>
      <c r="I19" s="134">
        <f>+Actuals!F289</f>
        <v>-37340050.469999999</v>
      </c>
      <c r="J19" s="133">
        <f>+Actuals!G289</f>
        <v>-70019</v>
      </c>
      <c r="K19" s="134">
        <f>+Actuals!H289</f>
        <v>256106.05</v>
      </c>
      <c r="L19" s="133">
        <f>+Actuals!I289</f>
        <v>-4924</v>
      </c>
      <c r="M19" s="134">
        <f>+Actuals!J289</f>
        <v>-36504.54</v>
      </c>
      <c r="N19" s="133">
        <f>+Actuals!K289</f>
        <v>0</v>
      </c>
      <c r="O19" s="134">
        <f>+Actuals!L289</f>
        <v>0</v>
      </c>
      <c r="P19" s="133">
        <f>+Actuals!M289</f>
        <v>0</v>
      </c>
      <c r="Q19" s="134">
        <f>+Actuals!N289</f>
        <v>0</v>
      </c>
      <c r="R19" s="133">
        <f>+Actuals!O289</f>
        <v>0</v>
      </c>
      <c r="S19" s="134">
        <f>+Actuals!P289</f>
        <v>0</v>
      </c>
      <c r="T19" s="133">
        <f>+Actuals!Q289</f>
        <v>-15000</v>
      </c>
      <c r="U19" s="134">
        <f>+Actuals!R289</f>
        <v>-25650</v>
      </c>
      <c r="V19" s="133">
        <f>+Actuals!S289</f>
        <v>0</v>
      </c>
      <c r="W19" s="134">
        <f>+Actuals!T289</f>
        <v>0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+Actuals!AA289</f>
        <v>0</v>
      </c>
      <c r="AE19" s="134">
        <f>+Actuals!AB289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-186160.06</v>
      </c>
      <c r="F20" s="60">
        <f>'TIE-OUT'!N20+RECLASS!N20</f>
        <v>0</v>
      </c>
      <c r="G20" s="38">
        <f>'TIE-OUT'!O20+RECLASS!O20</f>
        <v>-193135.06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+Actuals!H290+6975</f>
        <v>6975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+Actuals!AA290</f>
        <v>0</v>
      </c>
      <c r="AE20" s="134">
        <f>+Actuals!AB290</f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  <c r="AL20" s="133">
        <f>+Actuals!AI490</f>
        <v>0</v>
      </c>
      <c r="AM20" s="165"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-13572026</v>
      </c>
      <c r="E21" s="38">
        <f t="shared" si="3"/>
        <v>-24645930</v>
      </c>
      <c r="F21" s="60">
        <f>'TIE-OUT'!N21+RECLASS!N21</f>
        <v>0</v>
      </c>
      <c r="G21" s="38">
        <f>'TIE-OUT'!O21+RECLASS!O21</f>
        <v>0</v>
      </c>
      <c r="H21" s="133">
        <f>+Actuals!E291</f>
        <v>-13572026</v>
      </c>
      <c r="I21" s="134">
        <f>+Actuals!F291</f>
        <v>-24645930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-510</v>
      </c>
      <c r="O21" s="134">
        <f>+Actuals!L291</f>
        <v>-984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0</v>
      </c>
      <c r="AA21" s="134">
        <f>+Actuals!X291</f>
        <v>0</v>
      </c>
      <c r="AB21" s="133">
        <f>+Actuals!Y291</f>
        <v>-1469</v>
      </c>
      <c r="AC21" s="134">
        <f>+Actuals!Z291</f>
        <v>-2820</v>
      </c>
      <c r="AD21" s="133">
        <f>+Actuals!AA291</f>
        <v>1979</v>
      </c>
      <c r="AE21" s="134">
        <f>+Actuals!AB291</f>
        <v>3804</v>
      </c>
      <c r="AF21" s="133">
        <f>+Actuals!AC491</f>
        <v>-1979</v>
      </c>
      <c r="AG21" s="134">
        <f>+Actuals!AD491</f>
        <v>-3804</v>
      </c>
      <c r="AH21" s="133">
        <f>+Actuals!AE491</f>
        <v>0</v>
      </c>
      <c r="AI21" s="134">
        <f>+Actuals!AF491</f>
        <v>0</v>
      </c>
      <c r="AJ21" s="133">
        <f>+Actuals!AG491</f>
        <v>1979</v>
      </c>
      <c r="AK21" s="134">
        <f>+Actuals!AH491</f>
        <v>3804</v>
      </c>
      <c r="AL21" s="133">
        <f>+Actuals!AI491</f>
        <v>0</v>
      </c>
      <c r="AM21" s="134">
        <f>+Actuals!AJ491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+Actuals!AA292</f>
        <v>0</v>
      </c>
      <c r="AE22" s="134">
        <f>+Actuals!AB292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284811</v>
      </c>
      <c r="E23" s="38">
        <f t="shared" si="3"/>
        <v>515792.72100000002</v>
      </c>
      <c r="F23" s="81">
        <f>'TIE-OUT'!N23+RECLASS!N23</f>
        <v>0</v>
      </c>
      <c r="G23" s="82">
        <f>'TIE-OUT'!O23+RECLASS!O23</f>
        <v>0</v>
      </c>
      <c r="H23" s="133">
        <f>+Actuals!E293</f>
        <v>279210</v>
      </c>
      <c r="I23" s="134">
        <f>+Actuals!F293</f>
        <v>505649.31</v>
      </c>
      <c r="J23" s="133">
        <f>+Actuals!G293</f>
        <v>5664</v>
      </c>
      <c r="K23" s="134">
        <f>+Actuals!H293</f>
        <v>10257.504000000001</v>
      </c>
      <c r="L23" s="133">
        <f>+Actuals!I293</f>
        <v>-63</v>
      </c>
      <c r="M23" s="134">
        <f>+Actuals!J293</f>
        <v>-114.093</v>
      </c>
      <c r="N23" s="133">
        <f>+Actuals!K293</f>
        <v>0</v>
      </c>
      <c r="O23" s="134">
        <f>+Actuals!L293</f>
        <v>0</v>
      </c>
      <c r="P23" s="133">
        <f>+Actuals!M293</f>
        <v>0</v>
      </c>
      <c r="Q23" s="134">
        <f>+Actuals!N293</f>
        <v>0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+Actuals!AA293</f>
        <v>0</v>
      </c>
      <c r="AE23" s="134">
        <f>+Actuals!AB293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-33504066</v>
      </c>
      <c r="E24" s="39">
        <f t="shared" si="4"/>
        <v>-61349899.299000002</v>
      </c>
      <c r="F24" s="61">
        <f t="shared" si="4"/>
        <v>0</v>
      </c>
      <c r="G24" s="39">
        <f t="shared" si="4"/>
        <v>-80638.06</v>
      </c>
      <c r="H24" s="61">
        <f t="shared" si="4"/>
        <v>-33419724</v>
      </c>
      <c r="I24" s="39">
        <f t="shared" si="4"/>
        <v>-61480331.159999996</v>
      </c>
      <c r="J24" s="61">
        <f t="shared" si="4"/>
        <v>-64355</v>
      </c>
      <c r="K24" s="39">
        <f t="shared" si="4"/>
        <v>273338.554</v>
      </c>
      <c r="L24" s="61">
        <f t="shared" si="4"/>
        <v>-4987</v>
      </c>
      <c r="M24" s="39">
        <f t="shared" si="4"/>
        <v>-36618.633000000002</v>
      </c>
      <c r="N24" s="61">
        <f t="shared" si="4"/>
        <v>-510</v>
      </c>
      <c r="O24" s="39">
        <f t="shared" si="4"/>
        <v>-984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-15000</v>
      </c>
      <c r="U24" s="39">
        <f t="shared" si="4"/>
        <v>-25650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-1469</v>
      </c>
      <c r="AC24" s="39">
        <f t="shared" si="4"/>
        <v>-2820</v>
      </c>
      <c r="AD24" s="61">
        <f t="shared" si="4"/>
        <v>1979</v>
      </c>
      <c r="AE24" s="39">
        <f t="shared" si="4"/>
        <v>3804</v>
      </c>
      <c r="AF24" s="61">
        <f t="shared" si="4"/>
        <v>-1979</v>
      </c>
      <c r="AG24" s="39">
        <f t="shared" si="4"/>
        <v>-3804</v>
      </c>
      <c r="AH24" s="61">
        <f t="shared" ref="AH24:AM24" si="5">SUM(AH19:AH23)</f>
        <v>0</v>
      </c>
      <c r="AI24" s="39">
        <f t="shared" si="5"/>
        <v>0</v>
      </c>
      <c r="AJ24" s="61">
        <f t="shared" si="5"/>
        <v>1979</v>
      </c>
      <c r="AK24" s="39">
        <f t="shared" si="5"/>
        <v>3804</v>
      </c>
      <c r="AL24" s="61">
        <f t="shared" si="5"/>
        <v>0</v>
      </c>
      <c r="AM24" s="39">
        <f t="shared" si="5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+Actuals!AA294</f>
        <v>0</v>
      </c>
      <c r="AE27" s="134">
        <f>+Actuals!AB294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+Actuals!AA295</f>
        <v>0</v>
      </c>
      <c r="AE28" s="134">
        <f>+Actuals!AB295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-24502</v>
      </c>
      <c r="E32" s="38">
        <f t="shared" si="8"/>
        <v>-49983.355999999985</v>
      </c>
      <c r="F32" s="64">
        <f>'TIE-OUT'!N32+RECLASS!N32</f>
        <v>0</v>
      </c>
      <c r="G32" s="68">
        <f>'TIE-OUT'!O32+RECLASS!O32</f>
        <v>0</v>
      </c>
      <c r="H32" s="133">
        <f>+Actuals!E296</f>
        <v>-40683</v>
      </c>
      <c r="I32" s="134">
        <f>+Actuals!F296</f>
        <v>-73676.91</v>
      </c>
      <c r="J32" s="133">
        <f>+Actuals!G296</f>
        <v>6059</v>
      </c>
      <c r="K32" s="134">
        <f>+Actuals!H296</f>
        <v>15889.454</v>
      </c>
      <c r="L32" s="133">
        <f>+Actuals!I296</f>
        <v>-4648</v>
      </c>
      <c r="M32" s="134">
        <f>+Actuals!J296</f>
        <v>-1552.5360000000001</v>
      </c>
      <c r="N32" s="133">
        <f>+Actuals!K296</f>
        <v>-1976</v>
      </c>
      <c r="O32" s="134">
        <f>+Actuals!L296</f>
        <v>-6533.0640000000003</v>
      </c>
      <c r="P32" s="133">
        <f>+Actuals!M296</f>
        <v>-3040</v>
      </c>
      <c r="Q32" s="134">
        <f>+Actuals!N296</f>
        <v>-26245.984</v>
      </c>
      <c r="R32" s="133">
        <f>+Actuals!O296</f>
        <v>0</v>
      </c>
      <c r="S32" s="134">
        <f>+Actuals!P296</f>
        <v>0</v>
      </c>
      <c r="T32" s="133">
        <f>+Actuals!Q296</f>
        <v>0</v>
      </c>
      <c r="U32" s="134">
        <f>+Actuals!R296</f>
        <v>-310.01600000000002</v>
      </c>
      <c r="V32" s="133">
        <f>+Actuals!S296</f>
        <v>0</v>
      </c>
      <c r="W32" s="134">
        <f>+Actuals!T296</f>
        <v>-32241.664000000001</v>
      </c>
      <c r="X32" s="133">
        <f>+Actuals!U296</f>
        <v>19786</v>
      </c>
      <c r="Y32" s="134">
        <f>+Actuals!V296</f>
        <v>60083.872000000003</v>
      </c>
      <c r="Z32" s="133">
        <f>+Actuals!W296</f>
        <v>0</v>
      </c>
      <c r="AA32" s="134">
        <f>+Actuals!X296-375717</f>
        <v>14603.492000000027</v>
      </c>
      <c r="AB32" s="133">
        <f>+Actuals!Y296</f>
        <v>0</v>
      </c>
      <c r="AC32" s="134">
        <f>+Actuals!Z296</f>
        <v>0</v>
      </c>
      <c r="AD32" s="133">
        <f>+Actuals!AA296</f>
        <v>0</v>
      </c>
      <c r="AE32" s="134">
        <f>+Actuals!AB296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-5884</v>
      </c>
      <c r="E33" s="38">
        <f t="shared" si="8"/>
        <v>-10269.33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-22</v>
      </c>
      <c r="K33" s="134">
        <f>+Actuals!H297</f>
        <v>-40.14</v>
      </c>
      <c r="L33" s="133">
        <f>+Actuals!I297</f>
        <v>-5862</v>
      </c>
      <c r="M33" s="134">
        <f>+Actuals!J297</f>
        <v>-10229.19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+Actuals!AA297</f>
        <v>0</v>
      </c>
      <c r="AE33" s="134">
        <f>+Actuals!AB297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17489</v>
      </c>
      <c r="E34" s="38">
        <f t="shared" si="8"/>
        <v>25213.51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14449</v>
      </c>
      <c r="M34" s="134">
        <f>+Actuals!J298</f>
        <v>25213.51</v>
      </c>
      <c r="N34" s="133">
        <f>+Actuals!K298</f>
        <v>0</v>
      </c>
      <c r="O34" s="134">
        <f>+Actuals!L298</f>
        <v>0</v>
      </c>
      <c r="P34" s="133">
        <f>+Actuals!M298</f>
        <v>3040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+Actuals!AA298</f>
        <v>0</v>
      </c>
      <c r="AE34" s="134">
        <f>+Actuals!AB298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-207464</v>
      </c>
      <c r="E35" s="38">
        <f t="shared" si="8"/>
        <v>1.0000000009313226E-2</v>
      </c>
      <c r="F35" s="81">
        <f>'TIE-OUT'!N35+RECLASS!N35</f>
        <v>0</v>
      </c>
      <c r="G35" s="82">
        <f>'TIE-OUT'!O35+RECLASS!O35</f>
        <v>0</v>
      </c>
      <c r="H35" s="133">
        <f>+Actuals!E299</f>
        <v>-194676</v>
      </c>
      <c r="I35" s="134">
        <f>+Actuals!F299</f>
        <v>0.01</v>
      </c>
      <c r="J35" s="133">
        <f>+Actuals!G299</f>
        <v>-12788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0</v>
      </c>
      <c r="T35" s="133">
        <f>+Actuals!Q299</f>
        <v>0</v>
      </c>
      <c r="U35" s="134">
        <f>+Actuals!R299</f>
        <v>0</v>
      </c>
      <c r="V35" s="133">
        <f>+Actuals!S299</f>
        <v>0</v>
      </c>
      <c r="W35" s="134">
        <f>+Actuals!T299</f>
        <v>-375717</v>
      </c>
      <c r="X35" s="133">
        <f>+Actuals!U299</f>
        <v>0</v>
      </c>
      <c r="Y35" s="134">
        <f>+Actuals!V299+375717</f>
        <v>375717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+Actuals!AA299</f>
        <v>0</v>
      </c>
      <c r="AE35" s="134">
        <f>+Actuals!AB299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-220361</v>
      </c>
      <c r="E36" s="39">
        <f t="shared" si="9"/>
        <v>-35039.165999999983</v>
      </c>
      <c r="F36" s="61">
        <f t="shared" si="9"/>
        <v>0</v>
      </c>
      <c r="G36" s="39">
        <f t="shared" si="9"/>
        <v>0</v>
      </c>
      <c r="H36" s="61">
        <f t="shared" si="9"/>
        <v>-235359</v>
      </c>
      <c r="I36" s="39">
        <f t="shared" si="9"/>
        <v>-73676.900000000009</v>
      </c>
      <c r="J36" s="61">
        <f t="shared" si="9"/>
        <v>-6751</v>
      </c>
      <c r="K36" s="39">
        <f t="shared" si="9"/>
        <v>15849.314</v>
      </c>
      <c r="L36" s="61">
        <f t="shared" si="9"/>
        <v>3939</v>
      </c>
      <c r="M36" s="39">
        <f t="shared" si="9"/>
        <v>13431.783999999998</v>
      </c>
      <c r="N36" s="61">
        <f t="shared" si="9"/>
        <v>-1976</v>
      </c>
      <c r="O36" s="39">
        <f t="shared" si="9"/>
        <v>-6533.0640000000003</v>
      </c>
      <c r="P36" s="61">
        <f t="shared" si="9"/>
        <v>0</v>
      </c>
      <c r="Q36" s="39">
        <f t="shared" si="9"/>
        <v>-26245.984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-310.01600000000002</v>
      </c>
      <c r="V36" s="61">
        <f t="shared" si="9"/>
        <v>0</v>
      </c>
      <c r="W36" s="39">
        <f t="shared" si="9"/>
        <v>-407958.66399999999</v>
      </c>
      <c r="X36" s="61">
        <f t="shared" si="9"/>
        <v>19786</v>
      </c>
      <c r="Y36" s="39">
        <f t="shared" si="9"/>
        <v>435800.87199999997</v>
      </c>
      <c r="Z36" s="61">
        <f t="shared" si="9"/>
        <v>0</v>
      </c>
      <c r="AA36" s="39">
        <f t="shared" si="9"/>
        <v>14603.492000000027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+Actuals!AA300</f>
        <v>0</v>
      </c>
      <c r="AE39" s="134">
        <f>+Actuals!AB300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-41853</v>
      </c>
      <c r="E40" s="38">
        <f t="shared" si="11"/>
        <v>-70000.87</v>
      </c>
      <c r="F40" s="60">
        <f>'TIE-OUT'!N40+RECLASS!N40</f>
        <v>0</v>
      </c>
      <c r="G40" s="38">
        <f>'TIE-OUT'!O40+RECLASS!O40</f>
        <v>0</v>
      </c>
      <c r="H40" s="133">
        <f>+Actuals!E301</f>
        <v>-19917</v>
      </c>
      <c r="I40" s="134">
        <f>+Actuals!F301</f>
        <v>-33281.31</v>
      </c>
      <c r="J40" s="133">
        <f>+Actuals!G301</f>
        <v>-21723</v>
      </c>
      <c r="K40" s="134">
        <f>+Actuals!H301</f>
        <v>-36299.129999999997</v>
      </c>
      <c r="L40" s="133">
        <f>+Actuals!I301</f>
        <v>-213</v>
      </c>
      <c r="M40" s="134">
        <f>+Actuals!J301</f>
        <v>-420.43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+Actuals!AA301</f>
        <v>0</v>
      </c>
      <c r="AE40" s="134">
        <f>+Actuals!AB301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+Actuals!AA302</f>
        <v>0</v>
      </c>
      <c r="AE41" s="134">
        <f>+Actuals!AB302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-41853</v>
      </c>
      <c r="E42" s="39">
        <f t="shared" si="12"/>
        <v>-70000.87</v>
      </c>
      <c r="F42" s="61">
        <f t="shared" si="12"/>
        <v>0</v>
      </c>
      <c r="G42" s="39">
        <f t="shared" si="12"/>
        <v>0</v>
      </c>
      <c r="H42" s="61">
        <f t="shared" si="12"/>
        <v>-19917</v>
      </c>
      <c r="I42" s="39">
        <f t="shared" si="12"/>
        <v>-33281.31</v>
      </c>
      <c r="J42" s="61">
        <f t="shared" si="12"/>
        <v>-21723</v>
      </c>
      <c r="K42" s="39">
        <f t="shared" si="12"/>
        <v>-36299.129999999997</v>
      </c>
      <c r="L42" s="61">
        <f t="shared" si="12"/>
        <v>-213</v>
      </c>
      <c r="M42" s="39">
        <f t="shared" si="12"/>
        <v>-420.43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-41853</v>
      </c>
      <c r="E43" s="39">
        <f t="shared" si="14"/>
        <v>-70000.87</v>
      </c>
      <c r="F43" s="61">
        <f t="shared" si="14"/>
        <v>0</v>
      </c>
      <c r="G43" s="39">
        <f t="shared" si="14"/>
        <v>0</v>
      </c>
      <c r="H43" s="61">
        <f t="shared" si="14"/>
        <v>-19917</v>
      </c>
      <c r="I43" s="39">
        <f t="shared" si="14"/>
        <v>-33281.31</v>
      </c>
      <c r="J43" s="61">
        <f t="shared" si="14"/>
        <v>-21723</v>
      </c>
      <c r="K43" s="39">
        <f t="shared" si="14"/>
        <v>-36299.129999999997</v>
      </c>
      <c r="L43" s="61">
        <f t="shared" si="14"/>
        <v>-213</v>
      </c>
      <c r="M43" s="39">
        <f t="shared" si="14"/>
        <v>-420.43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+Actuals!AA303</f>
        <v>0</v>
      </c>
      <c r="AE45" s="134">
        <f>+Actuals!AB303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+Actuals!AA304</f>
        <v>0</v>
      </c>
      <c r="AE47" s="134">
        <f>+Actuals!AB304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7952</v>
      </c>
      <c r="E49" s="38">
        <f>SUM(G49,I49,K49,M49,O49,Q49,S49,U49,W49,Y49,AA49,AC49,AE49,AG49,AI49,AK49,AM49)</f>
        <v>14400.652000000033</v>
      </c>
      <c r="F49" s="60">
        <f>'TIE-OUT'!N49+RECLASS!N49</f>
        <v>0</v>
      </c>
      <c r="G49" s="38">
        <f>'TIE-OUT'!O49+RECLASS!O49</f>
        <v>0</v>
      </c>
      <c r="H49" s="133">
        <f>+Actuals!E305</f>
        <v>702</v>
      </c>
      <c r="I49" s="134">
        <f>+Actuals!F305</f>
        <v>1271.3219999999999</v>
      </c>
      <c r="J49" s="133">
        <f>+Actuals!G305</f>
        <v>34955</v>
      </c>
      <c r="K49" s="134">
        <f>+Actuals!H305</f>
        <v>63303.504999999997</v>
      </c>
      <c r="L49" s="133">
        <f>+Actuals!I305</f>
        <v>-27704</v>
      </c>
      <c r="M49" s="134">
        <f>+Actuals!J305</f>
        <v>-50171.944000000003</v>
      </c>
      <c r="N49" s="133">
        <f>+Actuals!K305</f>
        <v>3053</v>
      </c>
      <c r="O49" s="134">
        <f>+Actuals!L305</f>
        <v>978278.56299999997</v>
      </c>
      <c r="P49" s="133">
        <f>+Actuals!M305</f>
        <v>-1976</v>
      </c>
      <c r="Q49" s="134">
        <f>+Actuals!N305</f>
        <v>-976328.53599999996</v>
      </c>
      <c r="R49" s="133">
        <f>+Actuals!O305</f>
        <v>0</v>
      </c>
      <c r="S49" s="134">
        <f>+Actuals!P305</f>
        <v>0</v>
      </c>
      <c r="T49" s="133">
        <f>+Actuals!Q305</f>
        <v>15000</v>
      </c>
      <c r="U49" s="134">
        <f>+Actuals!R305</f>
        <v>27165</v>
      </c>
      <c r="V49" s="133">
        <f>+Actuals!S305</f>
        <v>0</v>
      </c>
      <c r="W49" s="134">
        <f>+Actuals!T305</f>
        <v>0</v>
      </c>
      <c r="X49" s="133">
        <f>+Actuals!U305</f>
        <v>-15000</v>
      </c>
      <c r="Y49" s="134">
        <f>+Actuals!V305</f>
        <v>-27165</v>
      </c>
      <c r="Z49" s="133">
        <f>+Actuals!W305</f>
        <v>0</v>
      </c>
      <c r="AA49" s="134">
        <f>+Actuals!X305</f>
        <v>0</v>
      </c>
      <c r="AB49" s="133">
        <f>+Actuals!Y305</f>
        <v>0</v>
      </c>
      <c r="AC49" s="134">
        <f>+Actuals!Z305</f>
        <v>0</v>
      </c>
      <c r="AD49" s="133">
        <f>+Actuals!AA305</f>
        <v>-1078</v>
      </c>
      <c r="AE49" s="134">
        <f>+Actuals!AB305</f>
        <v>-1952.258</v>
      </c>
      <c r="AF49" s="133">
        <f>+Actuals!AC505</f>
        <v>1078</v>
      </c>
      <c r="AG49" s="134">
        <f>+Actuals!AD505</f>
        <v>1952.258</v>
      </c>
      <c r="AH49" s="133">
        <f>+Actuals!AE505</f>
        <v>0</v>
      </c>
      <c r="AI49" s="134">
        <f>+Actuals!AF505</f>
        <v>0</v>
      </c>
      <c r="AJ49" s="133">
        <f>+Actuals!AG505</f>
        <v>-1078</v>
      </c>
      <c r="AK49" s="134">
        <f>+Actuals!AH505</f>
        <v>-1952.258</v>
      </c>
      <c r="AL49" s="133">
        <f>+Actuals!AI505</f>
        <v>0</v>
      </c>
      <c r="AM49" s="134">
        <f>+Actuals!AJ505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-284811</v>
      </c>
      <c r="E51" s="38">
        <f>SUM(G51,I51,K51,M51,O51,Q51,S51,U51,W51,Y51,AA51,AC51,AE51,AG51,AI51,AK51,AM51)</f>
        <v>-515792.72100000002</v>
      </c>
      <c r="F51" s="60">
        <f>'TIE-OUT'!N51+RECLASS!N51</f>
        <v>0</v>
      </c>
      <c r="G51" s="38">
        <f>'TIE-OUT'!O51+RECLASS!O51</f>
        <v>0</v>
      </c>
      <c r="H51" s="133">
        <f>+Actuals!E306</f>
        <v>-279210</v>
      </c>
      <c r="I51" s="134">
        <f>+Actuals!F306</f>
        <v>-505649.31</v>
      </c>
      <c r="J51" s="133">
        <f>+Actuals!G306</f>
        <v>-5664</v>
      </c>
      <c r="K51" s="134">
        <f>+Actuals!H306</f>
        <v>-10257.504000000001</v>
      </c>
      <c r="L51" s="133">
        <f>+Actuals!I306</f>
        <v>63</v>
      </c>
      <c r="M51" s="134">
        <f>+Actuals!J306</f>
        <v>114.093</v>
      </c>
      <c r="N51" s="133">
        <f>+Actuals!K306</f>
        <v>0</v>
      </c>
      <c r="O51" s="134">
        <f>+Actuals!L306</f>
        <v>0</v>
      </c>
      <c r="P51" s="133">
        <f>+Actuals!M306</f>
        <v>0</v>
      </c>
      <c r="Q51" s="134">
        <f>+Actuals!N306</f>
        <v>0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+Actuals!AA306</f>
        <v>0</v>
      </c>
      <c r="AE51" s="134">
        <f>+Actuals!AB306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-11588511</v>
      </c>
      <c r="E54" s="38">
        <f>SUM(G54,I54,K54,M54,O54,Q54,S54,U54,W54,Y54,AA54,AC54,AE54,AG54,AI54,AK54,AM54)</f>
        <v>-121226.95000000001</v>
      </c>
      <c r="F54" s="64">
        <f>'TIE-OUT'!N54+RECLASS!N54</f>
        <v>0</v>
      </c>
      <c r="G54" s="68">
        <f>'TIE-OUT'!O54+RECLASS!O54</f>
        <v>0</v>
      </c>
      <c r="H54" s="133">
        <f>+Actuals!E307</f>
        <v>-10028135</v>
      </c>
      <c r="I54" s="134">
        <f>+Actuals!F307</f>
        <v>-43446.99</v>
      </c>
      <c r="J54" s="133">
        <f>+Actuals!G307</f>
        <v>-1557306</v>
      </c>
      <c r="K54" s="134">
        <f>+Actuals!H307</f>
        <v>-78686.69</v>
      </c>
      <c r="L54" s="133">
        <f>+Actuals!I307</f>
        <v>0</v>
      </c>
      <c r="M54" s="134">
        <f>+Actuals!J307</f>
        <v>-348.42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89.87</v>
      </c>
      <c r="R54" s="133">
        <f>+Actuals!O307</f>
        <v>0</v>
      </c>
      <c r="S54" s="134">
        <f>+Actuals!P307</f>
        <v>-83.58</v>
      </c>
      <c r="T54" s="133">
        <f>+Actuals!Q307</f>
        <v>-356</v>
      </c>
      <c r="U54" s="134">
        <f>+Actuals!R307</f>
        <v>1552.68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+Actuals!AA307</f>
        <v>0</v>
      </c>
      <c r="AE54" s="134">
        <f>+Actuals!AB307</f>
        <v>0</v>
      </c>
      <c r="AF54" s="133">
        <f>+Actuals!AC507</f>
        <v>0</v>
      </c>
      <c r="AG54" s="134">
        <f>+Actuals!AD507</f>
        <v>0</v>
      </c>
      <c r="AH54" s="133">
        <f>+Actuals!AE507</f>
        <v>-2714</v>
      </c>
      <c r="AI54" s="134">
        <f>+Actuals!AF507</f>
        <v>-303.82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-1935292.3299999998</v>
      </c>
      <c r="F55" s="81">
        <f>'TIE-OUT'!N55+RECLASS!N55</f>
        <v>0</v>
      </c>
      <c r="G55" s="82">
        <f>'TIE-OUT'!O55+RECLASS!O55</f>
        <v>805589.08</v>
      </c>
      <c r="H55" s="133">
        <f>+Actuals!E308</f>
        <v>0</v>
      </c>
      <c r="I55" s="134">
        <f>+Actuals!F308</f>
        <v>-2780044.42</v>
      </c>
      <c r="J55" s="133">
        <f>+Actuals!G308</f>
        <v>0</v>
      </c>
      <c r="K55" s="134">
        <f>+Actuals!H308</f>
        <v>44038.42</v>
      </c>
      <c r="L55" s="133">
        <f>+Actuals!I308</f>
        <v>0</v>
      </c>
      <c r="M55" s="134">
        <f>+Actuals!J308</f>
        <v>-1996.42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+Actuals!AA308</f>
        <v>0</v>
      </c>
      <c r="AE55" s="134">
        <f>+Actuals!AB308</f>
        <v>0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-2878.99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-11588511</v>
      </c>
      <c r="E56" s="39">
        <f t="shared" si="16"/>
        <v>-2056519.2799999998</v>
      </c>
      <c r="F56" s="61">
        <f t="shared" si="16"/>
        <v>0</v>
      </c>
      <c r="G56" s="39">
        <f t="shared" si="16"/>
        <v>805589.08</v>
      </c>
      <c r="H56" s="61">
        <f t="shared" si="16"/>
        <v>-10028135</v>
      </c>
      <c r="I56" s="39">
        <f t="shared" si="16"/>
        <v>-2823491.41</v>
      </c>
      <c r="J56" s="61">
        <f t="shared" si="16"/>
        <v>-1557306</v>
      </c>
      <c r="K56" s="39">
        <f t="shared" si="16"/>
        <v>-34648.270000000004</v>
      </c>
      <c r="L56" s="61">
        <f t="shared" si="16"/>
        <v>0</v>
      </c>
      <c r="M56" s="39">
        <f t="shared" si="16"/>
        <v>-2344.84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89.87</v>
      </c>
      <c r="R56" s="61">
        <f t="shared" si="16"/>
        <v>0</v>
      </c>
      <c r="S56" s="39">
        <f t="shared" si="16"/>
        <v>-83.58</v>
      </c>
      <c r="T56" s="61">
        <f t="shared" si="16"/>
        <v>-356</v>
      </c>
      <c r="U56" s="39">
        <f t="shared" si="16"/>
        <v>1552.68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ref="AH56:AM56" si="17">SUM(AH54:AH55)</f>
        <v>-2714</v>
      </c>
      <c r="AI56" s="39">
        <f t="shared" si="17"/>
        <v>-3182.81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+Actuals!AA309</f>
        <v>0</v>
      </c>
      <c r="AE59" s="134">
        <f>+Actuals!AB309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+Actuals!AA310</f>
        <v>0</v>
      </c>
      <c r="AE60" s="134">
        <f>+Actuals!AB310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+Actuals!AA311</f>
        <v>0</v>
      </c>
      <c r="AE64" s="134">
        <f>+Actuals!AB311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+Actuals!AA312</f>
        <v>0</v>
      </c>
      <c r="AE65" s="134">
        <f>+Actuals!AB312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-1858948</v>
      </c>
      <c r="F70" s="64">
        <f>'TIE-OUT'!N70+RECLASS!N70</f>
        <v>0</v>
      </c>
      <c r="G70" s="68">
        <f>'TIE-OUT'!O70+RECLASS!O70</f>
        <v>-1858948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+Actuals!AA313</f>
        <v>0</v>
      </c>
      <c r="AE70" s="134">
        <f>+Actuals!AB313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+Actuals!AA314</f>
        <v>0</v>
      </c>
      <c r="AE71" s="134">
        <f>+Actuals!AB314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-1858948</v>
      </c>
      <c r="F72" s="61">
        <f t="shared" si="22"/>
        <v>0</v>
      </c>
      <c r="G72" s="39">
        <f t="shared" si="22"/>
        <v>-1858948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+Actuals!AA315</f>
        <v>0</v>
      </c>
      <c r="AE73" s="134">
        <f>+Actuals!AB315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1799925</v>
      </c>
      <c r="F74" s="60">
        <f>'TIE-OUT'!N74+RECLASS!N74</f>
        <v>0</v>
      </c>
      <c r="G74" s="60">
        <f>'TIE-OUT'!O74+RECLASS!O74</f>
        <v>1799925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+Actuals!AA316</f>
        <v>0</v>
      </c>
      <c r="AE74" s="134">
        <f>+Actuals!AB316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4100</v>
      </c>
      <c r="F75" s="60">
        <f>'TIE-OUT'!N75+RECLASS!N75</f>
        <v>0</v>
      </c>
      <c r="G75" s="60">
        <f>'TIE-OUT'!O75+RECLASS!O75</f>
        <v>4100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+Actuals!AA317</f>
        <v>0</v>
      </c>
      <c r="AE75" s="134">
        <f>+Actuals!AB317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-13946.28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-13946.28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+Actuals!AA318</f>
        <v>0</v>
      </c>
      <c r="AE76" s="134">
        <f>+Actuals!AB318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+Actuals!AA319</f>
        <v>0</v>
      </c>
      <c r="AE77" s="134">
        <f>+Actuals!AB319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+Actuals!AA320</f>
        <v>0</v>
      </c>
      <c r="AE78" s="134">
        <f>+Actuals!AB320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+Actuals!AA321</f>
        <v>0</v>
      </c>
      <c r="AE79" s="134">
        <f>+Actuals!AB321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+Actuals!AA322</f>
        <v>0</v>
      </c>
      <c r="AE80" s="134">
        <f>+Actuals!AB322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59058.83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61397.86</v>
      </c>
      <c r="J81" s="133">
        <f>+Actuals!G323</f>
        <v>0</v>
      </c>
      <c r="K81" s="134">
        <f>+Actuals!H323</f>
        <v>-2339.0300000000002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+Actuals!AA323</f>
        <v>0</v>
      </c>
      <c r="AE81" s="134">
        <f>+Actuals!AB323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46776.745999997482</v>
      </c>
      <c r="F82" s="92">
        <f>F16+F24+F29+F36+F43+F45+F47+F49</f>
        <v>0</v>
      </c>
      <c r="G82" s="93">
        <f>SUM(G72:G81)+G16+G24+G29+G36+G43+G45+G47+G49+G51+G56+G61+G66</f>
        <v>-418107.06000000017</v>
      </c>
      <c r="H82" s="92">
        <f>H16+H24+H29+H36+H43+H45+H47+H49</f>
        <v>0</v>
      </c>
      <c r="I82" s="93">
        <f>SUM(I72:I81)+I16+I24+I29+I36+I43+I45+I47+I49+I51+I56+I61+I66</f>
        <v>77129.252000006847</v>
      </c>
      <c r="J82" s="92">
        <f>J16+J24+J29+J36+J43+J45+J47+J49</f>
        <v>0</v>
      </c>
      <c r="K82" s="166">
        <f>SUM(K72:K81)+K16+K24+K29+K36+K43+K45+K47+K49+K51+K56+K61+K66</f>
        <v>350683.739</v>
      </c>
      <c r="L82" s="92">
        <f>L16+L24+L29+L36+L43+L45+L47+L49</f>
        <v>0</v>
      </c>
      <c r="M82" s="93">
        <f>SUM(M72:M81)+M16+M24+M29+M36+M43+M45+M47+M49+M51+M56+M61+M66</f>
        <v>51178.429999999993</v>
      </c>
      <c r="N82" s="92">
        <f>N16+N24+N29+N36+N43+N45+N47+N49</f>
        <v>0</v>
      </c>
      <c r="O82" s="93">
        <f>SUM(O72:O81)+O16+O24+O29+O36+O43+O45+O47+O49+O51+O56+O61+O66</f>
        <v>1039622.209</v>
      </c>
      <c r="P82" s="92">
        <f>P16+P24+P29+P36+P43+P45+P47+P49</f>
        <v>0</v>
      </c>
      <c r="Q82" s="93">
        <f>SUM(Q72:Q81)+Q16+Q24+Q29+Q36+Q43+Q45+Q47+Q49+Q51+Q56+Q61+Q66</f>
        <v>-999085.92999999993</v>
      </c>
      <c r="R82" s="92">
        <f>R16+R24+R29+R36+R43+R45+R47+R49</f>
        <v>0</v>
      </c>
      <c r="S82" s="93">
        <f>SUM(S72:S81)+S16+S24+S29+S36+S43+S45+S47+S49+S51+S56+S61+S66</f>
        <v>-61324.700000000004</v>
      </c>
      <c r="T82" s="92">
        <f>T16+T24+T29+T36+T43+T45+T47+T49</f>
        <v>0</v>
      </c>
      <c r="U82" s="93">
        <f>SUM(U72:U81)+U16+U24+U29+U36+U43+U45+U47+U49+U51+U56+U61+U66</f>
        <v>2757.6640000000007</v>
      </c>
      <c r="V82" s="92">
        <f>V16+V24+V29+V36+V43+V45+V47+V49</f>
        <v>0</v>
      </c>
      <c r="W82" s="93">
        <f>SUM(W72:W81)+W16+W24+W29+W36+W43+W45+W47+W49+W51+W56+W61+W66</f>
        <v>-407958.66399999999</v>
      </c>
      <c r="X82" s="92">
        <f>X16+X24+X29+X36+X43+X45+X47+X49</f>
        <v>0</v>
      </c>
      <c r="Y82" s="93">
        <f>SUM(Y72:Y81)+Y16+Y24+Y29+Y36+Y43+Y45+Y47+Y49+Y51+Y56+Y61+Y66</f>
        <v>400338.38199999998</v>
      </c>
      <c r="Z82" s="92">
        <f>Z16+Z24+Z29+Z36+Z43+Z45+Z47+Z49</f>
        <v>0</v>
      </c>
      <c r="AA82" s="93">
        <f>SUM(AA72:AA81)+AA16+AA24+AA29+AA36+AA43+AA45+AA47+AA49+AA51+AA56+AA61+AA66</f>
        <v>14603.492000000027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122.74199999999996</v>
      </c>
      <c r="AF82" s="92">
        <f>AF16+AF24+AF29+AF36+AF43+AF45+AF47+AF49</f>
        <v>0</v>
      </c>
      <c r="AG82" s="93">
        <f>SUM(AG72:AG81)+AG16+AG24+AG29+AG36+AG43+AG45+AG47+AG49+AG51+AG56+AG61+AG66</f>
        <v>-122.74199999999996</v>
      </c>
      <c r="AH82" s="92">
        <f>AH16+AH24+AH29+AH36+AH43+AH45+AH47+AH49</f>
        <v>0</v>
      </c>
      <c r="AI82" s="93">
        <f>SUM(AI72:AI81)+AI16+AI24+AI29+AI36+AI43+AI45+AI47+AI49+AI51+AI56+AI61+AI66</f>
        <v>-3182.81</v>
      </c>
      <c r="AJ82" s="92">
        <f>AJ16+AJ24+AJ29+AJ36+AJ43+AJ45+AJ47+AJ49</f>
        <v>0</v>
      </c>
      <c r="AK82" s="93">
        <f>SUM(AK72:AK81)+AK16+AK24+AK29+AK36+AK43+AK45+AK47+AK49+AK51+AK56+AK61+AK66</f>
        <v>122.74199999999996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M187"/>
  <sheetViews>
    <sheetView zoomScale="75" workbookViewId="0">
      <pane xSplit="3" ySplit="9" topLeftCell="V42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  <col min="62" max="64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179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6206968</v>
      </c>
      <c r="E11" s="38">
        <f t="shared" si="0"/>
        <v>6335052.2700000014</v>
      </c>
      <c r="F11" s="60">
        <f>'TIE-OUT'!X11+RECLASS!X11</f>
        <v>0</v>
      </c>
      <c r="G11" s="38">
        <f>'TIE-OUT'!Y11+RECLASS!Y11</f>
        <v>0</v>
      </c>
      <c r="H11" s="136">
        <f>+Actuals!E84</f>
        <v>6206940</v>
      </c>
      <c r="I11" s="137">
        <f>+Actuals!F84</f>
        <v>6390265.7199999997</v>
      </c>
      <c r="J11" s="136">
        <f>+Actuals!G84</f>
        <v>0</v>
      </c>
      <c r="K11" s="153">
        <f>+Actuals!H84</f>
        <v>3848545.33</v>
      </c>
      <c r="L11" s="136">
        <f>+Actuals!I84</f>
        <v>28</v>
      </c>
      <c r="M11" s="137">
        <f>+Actuals!J84</f>
        <v>1.8</v>
      </c>
      <c r="N11" s="136">
        <f>+Actuals!K84</f>
        <v>0</v>
      </c>
      <c r="O11" s="137">
        <f>+Actuals!L84</f>
        <v>56424.42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-3960185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14078963</v>
      </c>
      <c r="E13" s="38">
        <f t="shared" si="0"/>
        <v>31390395</v>
      </c>
      <c r="F13" s="60">
        <f>'TIE-OUT'!X13+RECLASS!X13</f>
        <v>0</v>
      </c>
      <c r="G13" s="38">
        <f>'TIE-OUT'!Y13+RECLASS!Y13</f>
        <v>0</v>
      </c>
      <c r="H13" s="136">
        <f>+Actuals!E86</f>
        <v>14078963</v>
      </c>
      <c r="I13" s="137">
        <f>+Actuals!F86</f>
        <v>31390395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20285931</v>
      </c>
      <c r="E16" s="39">
        <f t="shared" si="1"/>
        <v>37725447.270000003</v>
      </c>
      <c r="F16" s="61">
        <f t="shared" si="1"/>
        <v>0</v>
      </c>
      <c r="G16" s="39">
        <f t="shared" si="1"/>
        <v>0</v>
      </c>
      <c r="H16" s="61">
        <f t="shared" si="1"/>
        <v>20285903</v>
      </c>
      <c r="I16" s="39">
        <f t="shared" si="1"/>
        <v>37780660.719999999</v>
      </c>
      <c r="J16" s="61">
        <f t="shared" si="1"/>
        <v>0</v>
      </c>
      <c r="K16" s="154">
        <f t="shared" si="1"/>
        <v>3848545.33</v>
      </c>
      <c r="L16" s="61">
        <f t="shared" si="1"/>
        <v>28</v>
      </c>
      <c r="M16" s="39">
        <f t="shared" si="1"/>
        <v>1.8</v>
      </c>
      <c r="N16" s="61">
        <f t="shared" si="1"/>
        <v>0</v>
      </c>
      <c r="O16" s="39">
        <f t="shared" si="1"/>
        <v>56424.42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-3960185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-2548538</v>
      </c>
      <c r="E19" s="38">
        <f t="shared" si="3"/>
        <v>-1384830.2</v>
      </c>
      <c r="F19" s="64">
        <f>'TIE-OUT'!X19+RECLASS!X19</f>
        <v>0</v>
      </c>
      <c r="G19" s="68">
        <f>'TIE-OUT'!Y19+RECLASS!Y19</f>
        <v>0</v>
      </c>
      <c r="H19" s="136">
        <f>+Actuals!E89</f>
        <v>-2548538</v>
      </c>
      <c r="I19" s="137">
        <f>+Actuals!F89</f>
        <v>-1384830.2</v>
      </c>
      <c r="J19" s="136">
        <f>+Actuals!G89</f>
        <v>0</v>
      </c>
      <c r="K19" s="153">
        <f>+Actuals!H89</f>
        <v>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-16482775</v>
      </c>
      <c r="E21" s="38">
        <f t="shared" si="3"/>
        <v>-35448137</v>
      </c>
      <c r="F21" s="60">
        <f>'TIE-OUT'!X21+RECLASS!X21</f>
        <v>0</v>
      </c>
      <c r="G21" s="38">
        <f>'TIE-OUT'!Y21+RECLASS!Y21</f>
        <v>0</v>
      </c>
      <c r="H21" s="136">
        <f>+Actuals!E91</f>
        <v>-16482775</v>
      </c>
      <c r="I21" s="137">
        <f>+Actuals!F91</f>
        <v>-35448137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-2.0000000000006679E-3</v>
      </c>
      <c r="F23" s="81">
        <f>'TIE-OUT'!X23+RECLASS!X23</f>
        <v>0</v>
      </c>
      <c r="G23" s="82">
        <f>'TIE-OUT'!Y23+RECLASS!Y23</f>
        <v>0</v>
      </c>
      <c r="H23" s="136">
        <f>+Actuals!E93</f>
        <v>6</v>
      </c>
      <c r="I23" s="137">
        <f>+Actuals!F93</f>
        <v>10.6</v>
      </c>
      <c r="J23" s="136">
        <f>+Actuals!G93</f>
        <v>-6</v>
      </c>
      <c r="K23" s="153">
        <f>+Actuals!H93</f>
        <v>-10.602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-19031313</v>
      </c>
      <c r="E24" s="39">
        <f t="shared" si="4"/>
        <v>-36832967.202</v>
      </c>
      <c r="F24" s="61">
        <f t="shared" si="4"/>
        <v>0</v>
      </c>
      <c r="G24" s="39">
        <f t="shared" si="4"/>
        <v>0</v>
      </c>
      <c r="H24" s="61">
        <f t="shared" si="4"/>
        <v>-19031307</v>
      </c>
      <c r="I24" s="39">
        <f t="shared" si="4"/>
        <v>-36832956.600000001</v>
      </c>
      <c r="J24" s="61">
        <f t="shared" si="4"/>
        <v>-6</v>
      </c>
      <c r="K24" s="154">
        <f t="shared" si="4"/>
        <v>-10.602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6</v>
      </c>
      <c r="E32" s="38">
        <f t="shared" si="8"/>
        <v>10.6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6</v>
      </c>
      <c r="K32" s="153">
        <f>+Actuals!H96</f>
        <v>10.6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-0.3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-0.3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6</v>
      </c>
      <c r="E36" s="39">
        <f t="shared" si="9"/>
        <v>10.299999999999999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6</v>
      </c>
      <c r="K36" s="154">
        <f t="shared" si="9"/>
        <v>10.299999999999999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-1700650</v>
      </c>
      <c r="E40" s="38">
        <f t="shared" si="11"/>
        <v>-0.05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0</v>
      </c>
      <c r="Y40" s="137">
        <f>+Actuals!V101</f>
        <v>0</v>
      </c>
      <c r="Z40" s="136">
        <f>+Actuals!W101</f>
        <v>-1700650</v>
      </c>
      <c r="AA40" s="137">
        <f>+Actuals!X101</f>
        <v>-0.05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-1700650</v>
      </c>
      <c r="E42" s="39">
        <f t="shared" si="12"/>
        <v>-0.05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-1700650</v>
      </c>
      <c r="AA42" s="39">
        <f t="shared" si="12"/>
        <v>-0.05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-1700650</v>
      </c>
      <c r="E43" s="39">
        <f t="shared" si="14"/>
        <v>-0.05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-1700650</v>
      </c>
      <c r="AA43" s="39">
        <f t="shared" si="14"/>
        <v>-0.05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446026</v>
      </c>
      <c r="E49" s="38">
        <f>SUM(G49,I49,K49,M49,O49,Q49,S49,U49,W49,Y49,AA49,AC49,AE49,AG49,AI49,AK49,AM49)</f>
        <v>787731.14199999999</v>
      </c>
      <c r="F49" s="60">
        <f>'TIE-OUT'!X49+RECLASS!X49</f>
        <v>0</v>
      </c>
      <c r="G49" s="38">
        <f>'TIE-OUT'!Y49+RECLASS!Y49</f>
        <v>0</v>
      </c>
      <c r="H49" s="136">
        <f>+Actuals!E105</f>
        <v>-1254596</v>
      </c>
      <c r="I49" s="137">
        <f>+Actuals!F105</f>
        <v>-2216871.1320000002</v>
      </c>
      <c r="J49" s="136">
        <f>+Actuals!G105</f>
        <v>0</v>
      </c>
      <c r="K49" s="153">
        <f>+Actuals!H105</f>
        <v>0</v>
      </c>
      <c r="L49" s="136">
        <f>+Actuals!I105</f>
        <v>-28</v>
      </c>
      <c r="M49" s="137">
        <f>+Actuals!J105</f>
        <v>-49.475999999999999</v>
      </c>
      <c r="N49" s="136">
        <f>+Actuals!K105</f>
        <v>0</v>
      </c>
      <c r="O49" s="137">
        <f>+Actuals!L105</f>
        <v>-4247535.8</v>
      </c>
      <c r="P49" s="136">
        <f>+Actuals!M105</f>
        <v>0</v>
      </c>
      <c r="Q49" s="137">
        <f>+Actuals!N105</f>
        <v>4247139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0</v>
      </c>
      <c r="Y49" s="137">
        <f>+Actuals!V105</f>
        <v>0</v>
      </c>
      <c r="Z49" s="136">
        <f>+Actuals!W105</f>
        <v>1700650</v>
      </c>
      <c r="AA49" s="137">
        <f>+Actuals!X105</f>
        <v>3005048.55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441422</v>
      </c>
      <c r="E51" s="38">
        <f>SUM(G51,I51,K51,M51,O51,Q51,S51,U51,W51,Y51,AA51,AC51,AE51,AG51,AI51,AK51,AM51)</f>
        <v>2.0000000000006679E-3</v>
      </c>
      <c r="F51" s="60">
        <f>'TIE-OUT'!X51+RECLASS!X51</f>
        <v>0</v>
      </c>
      <c r="G51" s="38">
        <f>'TIE-OUT'!Y51+RECLASS!Y51</f>
        <v>0</v>
      </c>
      <c r="H51" s="136">
        <f>+Actuals!E106</f>
        <v>-6</v>
      </c>
      <c r="I51" s="137">
        <f>+Actuals!F106</f>
        <v>-10.6</v>
      </c>
      <c r="J51" s="136">
        <f>+Actuals!G106</f>
        <v>6</v>
      </c>
      <c r="K51" s="153">
        <f>+Actuals!H106</f>
        <v>10.602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0</v>
      </c>
      <c r="Y51" s="137">
        <f>+Actuals!V106</f>
        <v>0</v>
      </c>
      <c r="Z51" s="136">
        <f>+Actuals!W106</f>
        <v>441422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-41356</v>
      </c>
      <c r="E54" s="38">
        <f>SUM(G54,I54,K54,M54,O54,Q54,S54,U54,W54,Y54,AA54,AC54,AE54,AG54,AI54,AK54,AM54)</f>
        <v>-732262.77</v>
      </c>
      <c r="F54" s="64">
        <f>'TIE-OUT'!X54+RECLASS!X54</f>
        <v>0</v>
      </c>
      <c r="G54" s="68">
        <f>'TIE-OUT'!Y54+RECLASS!Y54</f>
        <v>0</v>
      </c>
      <c r="H54" s="136">
        <f>+Actuals!E107</f>
        <v>-41356</v>
      </c>
      <c r="I54" s="137">
        <f>+Actuals!F107</f>
        <v>-613.44000000000005</v>
      </c>
      <c r="J54" s="136">
        <f>+Actuals!G107</f>
        <v>0</v>
      </c>
      <c r="K54" s="153">
        <f>+Actuals!H107</f>
        <v>-5.33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+Actuals!X107-731644</f>
        <v>-731644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-5506.48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0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-41356</v>
      </c>
      <c r="E56" s="39">
        <f t="shared" si="16"/>
        <v>-737769.25</v>
      </c>
      <c r="F56" s="61">
        <f t="shared" si="16"/>
        <v>0</v>
      </c>
      <c r="G56" s="39">
        <f t="shared" si="16"/>
        <v>0</v>
      </c>
      <c r="H56" s="61">
        <f t="shared" si="16"/>
        <v>-41356</v>
      </c>
      <c r="I56" s="39">
        <f t="shared" si="16"/>
        <v>-6119.92</v>
      </c>
      <c r="J56" s="61">
        <f t="shared" si="16"/>
        <v>0</v>
      </c>
      <c r="K56" s="154">
        <f t="shared" si="16"/>
        <v>-5.33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-731644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-154392</v>
      </c>
      <c r="F70" s="64">
        <f>'TIE-OUT'!X70+RECLASS!X70</f>
        <v>0</v>
      </c>
      <c r="G70" s="68">
        <f>'TIE-OUT'!Y70+RECLASS!Y70</f>
        <v>-154392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-154392</v>
      </c>
      <c r="F72" s="61">
        <f t="shared" si="22"/>
        <v>0</v>
      </c>
      <c r="G72" s="39">
        <f t="shared" si="22"/>
        <v>-154392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'TIE-OUT'!X74+RECLASS!X74</f>
        <v>0</v>
      </c>
      <c r="G74" s="60">
        <f>'TIE-OUT'!Y74+RECLASS!Y74</f>
        <v>0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788060.21200000378</v>
      </c>
      <c r="F82" s="92">
        <f>F16+F24+F29+F36+F43+F45+F47+F49</f>
        <v>0</v>
      </c>
      <c r="G82" s="93">
        <f>SUM(G72:G81)+G16+G24+G29+G36+G43+G45+G47+G49+G51+G56+G61+G66</f>
        <v>-154392</v>
      </c>
      <c r="H82" s="92">
        <f>H16+H24+H29+H36+H43+H45+H47+H49</f>
        <v>0</v>
      </c>
      <c r="I82" s="93">
        <f>SUM(I72:I81)+I16+I24+I29+I36+I43+I45+I47+I49+I51+I56+I61+I66</f>
        <v>-1275297.5320000029</v>
      </c>
      <c r="J82" s="92">
        <f>J16+J24+J29+J36+J43+J45+J47+J49</f>
        <v>0</v>
      </c>
      <c r="K82" s="166">
        <f>SUM(K72:K81)+K16+K24+K29+K36+K43+K45+K47+K49+K51+K56+K61+K66</f>
        <v>3848550.3</v>
      </c>
      <c r="L82" s="92">
        <f>L16+L24+L29+L36+L43+L45+L47+L49</f>
        <v>0</v>
      </c>
      <c r="M82" s="93">
        <f>SUM(M72:M81)+M16+M24+M29+M36+M43+M45+M47+M49+M51+M56+M61+M66</f>
        <v>-47.676000000000002</v>
      </c>
      <c r="N82" s="92">
        <f>N16+N24+N29+N36+N43+N45+N47+N49</f>
        <v>0</v>
      </c>
      <c r="O82" s="93">
        <f>SUM(O72:O81)+O16+O24+O29+O36+O43+O45+O47+O49+O51+O56+O61+O66</f>
        <v>-4191111.38</v>
      </c>
      <c r="P82" s="92">
        <f>P16+P24+P29+P36+P43+P45+P47+P49</f>
        <v>0</v>
      </c>
      <c r="Q82" s="93">
        <f>SUM(Q72:Q81)+Q16+Q24+Q29+Q36+Q43+Q45+Q47+Q49+Q51+Q56+Q61+Q66</f>
        <v>4247139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-1686780.5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STG_VAR!D11+TRNSPT_VAR!D11+'CE-VAR'!D11+'NE-VAR'!D11+'SE-EGM-VAR'!D11+'SE-LRC-VAR'!D11+'TX-EGM-VAR'!D11+'TX-HPL-VAR '!D11+'WE-VAR'!D11+BGC_VAR!D11</f>
        <v>248819111</v>
      </c>
      <c r="E11" s="65">
        <f>STG_VAR!E11+TRNSPT_VAR!E11+'CE-VAR'!E11+'NE-VAR'!E11+'SE-EGM-VAR'!E11+'SE-LRC-VAR'!E11+'TX-EGM-VAR'!E11+'TX-HPL-VAR '!E11+'WE-VAR'!E11+BGC_VAR!E11</f>
        <v>440726470</v>
      </c>
      <c r="F11" s="65">
        <f>STG_VAR!F11+TRNSPT_VAR!F11+'CE-VAR'!F11+'NE-VAR'!F11+'SE-EGM-VAR'!F11+'SE-LRC-VAR'!F11+'TX-EGM-VAR'!F11+'TX-HPL-VAR '!F11+'WE-VAR'!F11+BGC_VAR!F11</f>
        <v>256174365</v>
      </c>
      <c r="G11" s="65">
        <f>STG_VAR!G11+TRNSPT_VAR!G11+'CE-VAR'!G11+'NE-VAR'!G11+'SE-EGM-VAR'!G11+'SE-LRC-VAR'!G11+'TX-EGM-VAR'!G11+'TX-HPL-VAR '!G11+'WE-VAR'!G11+BGC_VAR!G11</f>
        <v>535877397.69999999</v>
      </c>
      <c r="H11" s="60">
        <f>F11-D11</f>
        <v>7355254</v>
      </c>
      <c r="I11" s="38">
        <f>G11-E11</f>
        <v>95150927.699999988</v>
      </c>
    </row>
    <row r="12" spans="1:22" x14ac:dyDescent="0.2">
      <c r="A12" s="9">
        <v>2</v>
      </c>
      <c r="B12" s="7"/>
      <c r="C12" s="18" t="s">
        <v>30</v>
      </c>
      <c r="D12" s="65">
        <f>STG_VAR!D12+TRNSPT_VAR!D12+'CE-VAR'!D12+'NE-VAR'!D12+'SE-EGM-VAR'!D12+'SE-LRC-VAR'!D12+'TX-EGM-VAR'!D12+'TX-HPL-VAR '!D12+'WE-VAR'!D12+BGC_VAR!D12</f>
        <v>0</v>
      </c>
      <c r="E12" s="65">
        <f>STG_VAR!E12+TRNSPT_VAR!E12+'CE-VAR'!E12+'NE-VAR'!E12+'SE-EGM-VAR'!E12+'SE-LRC-VAR'!E12+'TX-EGM-VAR'!E12+'TX-HPL-VAR '!E12+'WE-VAR'!E12+BGC_VAR!E12</f>
        <v>0</v>
      </c>
      <c r="F12" s="65">
        <f>STG_VAR!F12+TRNSPT_VAR!F12+'CE-VAR'!F12+'NE-VAR'!F12+'SE-EGM-VAR'!F12+'SE-LRC-VAR'!F12+'TX-EGM-VAR'!F12+'TX-HPL-VAR '!F12+'WE-VAR'!F12+BGC_VAR!F12</f>
        <v>0</v>
      </c>
      <c r="G12" s="65">
        <f>STG_VAR!G12+TRNSPT_VAR!G12+'CE-VAR'!G12+'NE-VAR'!G12+'SE-EGM-VAR'!G12+'SE-LRC-VAR'!G12+'TX-EGM-VAR'!G12+'TX-HPL-VAR '!G12+'WE-VAR'!G12+BGC_VAR!G12</f>
        <v>-45583259.909999996</v>
      </c>
      <c r="H12" s="60">
        <f>F12-D12</f>
        <v>0</v>
      </c>
      <c r="I12" s="38">
        <f>G12-E12</f>
        <v>-45583259.909999996</v>
      </c>
    </row>
    <row r="13" spans="1:22" x14ac:dyDescent="0.2">
      <c r="A13" s="9">
        <v>3</v>
      </c>
      <c r="B13" s="7"/>
      <c r="C13" s="18" t="s">
        <v>31</v>
      </c>
      <c r="D13" s="65">
        <f>STG_VAR!D13+TRNSPT_VAR!D13+'CE-VAR'!D13+'NE-VAR'!D13+'SE-EGM-VAR'!D13+'SE-LRC-VAR'!D13+'TX-EGM-VAR'!D13+'TX-HPL-VAR '!D13+'WE-VAR'!D13+BGC_VAR!D13</f>
        <v>137954541</v>
      </c>
      <c r="E13" s="65">
        <f>STG_VAR!E13+TRNSPT_VAR!E13+'CE-VAR'!E13+'NE-VAR'!E13+'SE-EGM-VAR'!E13+'SE-LRC-VAR'!E13+'TX-EGM-VAR'!E13+'TX-HPL-VAR '!E13+'WE-VAR'!E13+BGC_VAR!E13</f>
        <v>276317008</v>
      </c>
      <c r="F13" s="65">
        <f>STG_VAR!F13+TRNSPT_VAR!F13+'CE-VAR'!F13+'NE-VAR'!F13+'SE-EGM-VAR'!F13+'SE-LRC-VAR'!F13+'TX-EGM-VAR'!F13+'TX-HPL-VAR '!F13+'WE-VAR'!F13+BGC_VAR!F13</f>
        <v>119100068</v>
      </c>
      <c r="G13" s="65">
        <f>STG_VAR!G13+TRNSPT_VAR!G13+'CE-VAR'!G13+'NE-VAR'!G13+'SE-EGM-VAR'!G13+'SE-LRC-VAR'!G13+'TX-EGM-VAR'!G13+'TX-HPL-VAR '!G13+'WE-VAR'!G13+BGC_VAR!G13</f>
        <v>256076860</v>
      </c>
      <c r="H13" s="60">
        <f t="shared" ref="H13:I15" si="0">F13-D13</f>
        <v>-18854473</v>
      </c>
      <c r="I13" s="38">
        <f t="shared" si="0"/>
        <v>-20240148</v>
      </c>
    </row>
    <row r="14" spans="1:22" x14ac:dyDescent="0.2">
      <c r="A14" s="9">
        <v>4</v>
      </c>
      <c r="B14" s="7"/>
      <c r="C14" s="18" t="s">
        <v>32</v>
      </c>
      <c r="D14" s="65">
        <f>STG_VAR!D14+TRNSPT_VAR!D14+'CE-VAR'!D14+'NE-VAR'!D14+'SE-EGM-VAR'!D14+'SE-LRC-VAR'!D14+'TX-EGM-VAR'!D14+'TX-HPL-VAR '!D14+'WE-VAR'!D14+BGC_VAR!D14</f>
        <v>0</v>
      </c>
      <c r="E14" s="65">
        <f>STG_VAR!E14+TRNSPT_VAR!E14+'CE-VAR'!E14+'NE-VAR'!E14+'SE-EGM-VAR'!E14+'SE-LRC-VAR'!E14+'TX-EGM-VAR'!E14+'TX-HPL-VAR '!E14+'WE-VAR'!E14+BGC_VAR!E14</f>
        <v>9846</v>
      </c>
      <c r="F14" s="65">
        <f>STG_VAR!F14+TRNSPT_VAR!F14+'CE-VAR'!F14+'NE-VAR'!F14+'SE-EGM-VAR'!F14+'SE-LRC-VAR'!F14+'TX-EGM-VAR'!F14+'TX-HPL-VAR '!F14+'WE-VAR'!F14+BGC_VAR!F14</f>
        <v>0</v>
      </c>
      <c r="G14" s="65">
        <f>STG_VAR!G14+TRNSPT_VAR!G14+'CE-VAR'!G14+'NE-VAR'!G14+'SE-EGM-VAR'!G14+'SE-LRC-VAR'!G14+'TX-EGM-VAR'!G14+'TX-HPL-VAR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STG_VAR!D15+TRNSPT_VAR!D15+'CE-VAR'!D15+'NE-VAR'!D15+'SE-EGM-VAR'!D15+'SE-LRC-VAR'!D15+'TX-EGM-VAR'!D15+'TX-HPL-VAR '!D15+'WE-VAR'!D15+BGC_VAR!D15</f>
        <v>0</v>
      </c>
      <c r="E15" s="65">
        <f>STG_VAR!E15+TRNSPT_VAR!E15+'CE-VAR'!E15+'NE-VAR'!E15+'SE-EGM-VAR'!E15+'SE-LRC-VAR'!E15+'TX-EGM-VAR'!E15+'TX-HPL-VAR '!E15+'WE-VAR'!E15+BGC_VAR!E15</f>
        <v>120000</v>
      </c>
      <c r="F15" s="65">
        <f>STG_VAR!F15+TRNSPT_VAR!F15+'CE-VAR'!F15+'NE-VAR'!F15+'SE-EGM-VAR'!F15+'SE-LRC-VAR'!F15+'TX-EGM-VAR'!F15+'TX-HPL-VAR '!F15+'WE-VAR'!F15+BGC_VAR!F15</f>
        <v>0</v>
      </c>
      <c r="G15" s="65">
        <f>STG_VAR!G15+TRNSPT_VAR!G15+'CE-VAR'!G15+'NE-VAR'!G15+'SE-EGM-VAR'!G15+'SE-LRC-VAR'!G15+'TX-EGM-VAR'!G15+'TX-HPL-VAR '!G15+'WE-VAR'!G15+BGC_VAR!G15</f>
        <v>-3381153.9299999997</v>
      </c>
      <c r="H15" s="60">
        <f t="shared" si="0"/>
        <v>0</v>
      </c>
      <c r="I15" s="38">
        <f t="shared" si="0"/>
        <v>-3501153.9299999997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386773652</v>
      </c>
      <c r="E16" s="39">
        <f t="shared" si="1"/>
        <v>717173324</v>
      </c>
      <c r="F16" s="61">
        <f t="shared" si="1"/>
        <v>375274433</v>
      </c>
      <c r="G16" s="39">
        <f t="shared" si="1"/>
        <v>742989843.86000001</v>
      </c>
      <c r="H16" s="61">
        <f t="shared" si="1"/>
        <v>-11499219</v>
      </c>
      <c r="I16" s="39">
        <f t="shared" si="1"/>
        <v>25816519.859999992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STG_VAR!D19+TRNSPT_VAR!D19+'CE-VAR'!D19+'NE-VAR'!D19+'SE-EGM-VAR'!D19+'SE-LRC-VAR'!D19+'TX-EGM-VAR'!D19+'TX-HPL-VAR '!D19+'WE-VAR'!D19+BGC_VAR!D19</f>
        <v>-220010662</v>
      </c>
      <c r="E19" s="65">
        <f>STG_VAR!E19+TRNSPT_VAR!E19+'CE-VAR'!E19+'NE-VAR'!E19+'SE-EGM-VAR'!E19+'SE-LRC-VAR'!E19+'TX-EGM-VAR'!E19+'TX-HPL-VAR '!E19+'WE-VAR'!E19+BGC_VAR!E19</f>
        <v>-390502420</v>
      </c>
      <c r="F19" s="65">
        <f>STG_VAR!F19+TRNSPT_VAR!F19+'CE-VAR'!F19+'NE-VAR'!F19+'SE-EGM-VAR'!F19+'SE-LRC-VAR'!F19+'TX-EGM-VAR'!F19+'TX-HPL-VAR '!F19+'WE-VAR'!F19+BGC_VAR!F19</f>
        <v>-220164893</v>
      </c>
      <c r="G19" s="65">
        <f>STG_VAR!G19+TRNSPT_VAR!G19+'CE-VAR'!G19+'NE-VAR'!G19+'SE-EGM-VAR'!G19+'SE-LRC-VAR'!G19+'TX-EGM-VAR'!G19+'TX-HPL-VAR '!G19+'WE-VAR'!G19+BGC_VAR!G19</f>
        <v>-412012682.08999991</v>
      </c>
      <c r="H19" s="60">
        <f>F19-D19</f>
        <v>-154231</v>
      </c>
      <c r="I19" s="38">
        <f>G19-E19</f>
        <v>-21510262.089999914</v>
      </c>
    </row>
    <row r="20" spans="1:9" x14ac:dyDescent="0.2">
      <c r="A20" s="9">
        <v>7</v>
      </c>
      <c r="B20" s="7"/>
      <c r="C20" s="18" t="s">
        <v>30</v>
      </c>
      <c r="D20" s="65">
        <f>STG_VAR!D20+TRNSPT_VAR!D20+'CE-VAR'!D20+'NE-VAR'!D20+'SE-EGM-VAR'!D20+'SE-LRC-VAR'!D20+'TX-EGM-VAR'!D20+'TX-HPL-VAR '!D20+'WE-VAR'!D20+BGC_VAR!D20</f>
        <v>0</v>
      </c>
      <c r="E20" s="65">
        <f>STG_VAR!E20+TRNSPT_VAR!E20+'CE-VAR'!E20+'NE-VAR'!E20+'SE-EGM-VAR'!E20+'SE-LRC-VAR'!E20+'TX-EGM-VAR'!E20+'TX-HPL-VAR '!E20+'WE-VAR'!E20+BGC_VAR!E20</f>
        <v>0</v>
      </c>
      <c r="F20" s="65">
        <f>STG_VAR!F20+TRNSPT_VAR!F20+'CE-VAR'!F20+'NE-VAR'!F20+'SE-EGM-VAR'!F20+'SE-LRC-VAR'!F20+'TX-EGM-VAR'!F20+'TX-HPL-VAR '!F20+'WE-VAR'!F20+BGC_VAR!F20</f>
        <v>0</v>
      </c>
      <c r="G20" s="65">
        <f>STG_VAR!G20+TRNSPT_VAR!G20+'CE-VAR'!G20+'NE-VAR'!G20+'SE-EGM-VAR'!G20+'SE-LRC-VAR'!G20+'TX-EGM-VAR'!G20+'TX-HPL-VAR '!G20+'WE-VAR'!G20+BGC_VAR!G20</f>
        <v>10818083.189999999</v>
      </c>
      <c r="H20" s="60">
        <f>F20-D20</f>
        <v>0</v>
      </c>
      <c r="I20" s="38">
        <f>G20-E20</f>
        <v>10818083.189999999</v>
      </c>
    </row>
    <row r="21" spans="1:9" x14ac:dyDescent="0.2">
      <c r="A21" s="9">
        <v>8</v>
      </c>
      <c r="B21" s="7"/>
      <c r="C21" s="18" t="s">
        <v>31</v>
      </c>
      <c r="D21" s="65">
        <f>STG_VAR!D21+TRNSPT_VAR!D21+'CE-VAR'!D21+'NE-VAR'!D21+'SE-EGM-VAR'!D21+'SE-LRC-VAR'!D21+'TX-EGM-VAR'!D21+'TX-HPL-VAR '!D21+'WE-VAR'!D21+BGC_VAR!D21</f>
        <v>-147318124</v>
      </c>
      <c r="E21" s="65">
        <f>STG_VAR!E21+TRNSPT_VAR!E21+'CE-VAR'!E21+'NE-VAR'!E21+'SE-EGM-VAR'!E21+'SE-LRC-VAR'!E21+'TX-EGM-VAR'!E21+'TX-HPL-VAR '!E21+'WE-VAR'!E21+BGC_VAR!E21</f>
        <v>-294696681</v>
      </c>
      <c r="F21" s="65">
        <f>STG_VAR!F21+TRNSPT_VAR!F21+'CE-VAR'!F21+'NE-VAR'!F21+'SE-EGM-VAR'!F21+'SE-LRC-VAR'!F21+'TX-EGM-VAR'!F21+'TX-HPL-VAR '!F21+'WE-VAR'!F21+BGC_VAR!F21</f>
        <v>-119100068</v>
      </c>
      <c r="G21" s="65">
        <f>STG_VAR!G21+TRNSPT_VAR!G21+'CE-VAR'!G21+'NE-VAR'!G21+'SE-EGM-VAR'!G21+'SE-LRC-VAR'!G21+'TX-EGM-VAR'!G21+'TX-HPL-VAR '!G21+'WE-VAR'!G21+BGC_VAR!G21</f>
        <v>-242083366</v>
      </c>
      <c r="H21" s="60">
        <f t="shared" ref="H21:I23" si="2">F21-D21</f>
        <v>28218056</v>
      </c>
      <c r="I21" s="38">
        <f t="shared" si="2"/>
        <v>52613315</v>
      </c>
    </row>
    <row r="22" spans="1:9" x14ac:dyDescent="0.2">
      <c r="A22" s="9">
        <v>9</v>
      </c>
      <c r="B22" s="7"/>
      <c r="C22" s="18" t="s">
        <v>32</v>
      </c>
      <c r="D22" s="65">
        <f>STG_VAR!D22+TRNSPT_VAR!D22+'CE-VAR'!D22+'NE-VAR'!D22+'SE-EGM-VAR'!D22+'SE-LRC-VAR'!D22+'TX-EGM-VAR'!D22+'TX-HPL-VAR '!D22+'WE-VAR'!D22+BGC_VAR!D22</f>
        <v>0</v>
      </c>
      <c r="E22" s="65">
        <f>STG_VAR!E22+TRNSPT_VAR!E22+'CE-VAR'!E22+'NE-VAR'!E22+'SE-EGM-VAR'!E22+'SE-LRC-VAR'!E22+'TX-EGM-VAR'!E22+'TX-HPL-VAR '!E22+'WE-VAR'!E22+BGC_VAR!E22</f>
        <v>0</v>
      </c>
      <c r="F22" s="65">
        <f>STG_VAR!F22+TRNSPT_VAR!F22+'CE-VAR'!F22+'NE-VAR'!F22+'SE-EGM-VAR'!F22+'SE-LRC-VAR'!F22+'TX-EGM-VAR'!F22+'TX-HPL-VAR '!F22+'WE-VAR'!F22+BGC_VAR!F22</f>
        <v>0</v>
      </c>
      <c r="G22" s="65">
        <f>STG_VAR!G22+TRNSPT_VAR!G22+'CE-VAR'!G22+'NE-VAR'!G22+'SE-EGM-VAR'!G22+'SE-LRC-VAR'!G22+'TX-EGM-VAR'!G22+'TX-HPL-VAR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STG_VAR!D23+TRNSPT_VAR!D23+'CE-VAR'!D23+'NE-VAR'!D23+'SE-EGM-VAR'!D23+'SE-LRC-VAR'!D23+'TX-EGM-VAR'!D23+'TX-HPL-VAR '!D23+'WE-VAR'!D23+BGC_VAR!D23</f>
        <v>1956029</v>
      </c>
      <c r="E23" s="65">
        <f>STG_VAR!E23+TRNSPT_VAR!E23+'CE-VAR'!E23+'NE-VAR'!E23+'SE-EGM-VAR'!E23+'SE-LRC-VAR'!E23+'TX-EGM-VAR'!E23+'TX-HPL-VAR '!E23+'WE-VAR'!E23+BGC_VAR!E23</f>
        <v>3659864</v>
      </c>
      <c r="F23" s="65">
        <f>STG_VAR!F23+TRNSPT_VAR!F23+'CE-VAR'!F23+'NE-VAR'!F23+'SE-EGM-VAR'!F23+'SE-LRC-VAR'!F23+'TX-EGM-VAR'!F23+'TX-HPL-VAR '!F23+'WE-VAR'!F23+BGC_VAR!F23</f>
        <v>1807214</v>
      </c>
      <c r="G23" s="65">
        <f>STG_VAR!G23+TRNSPT_VAR!G23+'CE-VAR'!G23+'NE-VAR'!G23+'SE-EGM-VAR'!G23+'SE-LRC-VAR'!G23+'TX-EGM-VAR'!G23+'TX-HPL-VAR '!G23+'WE-VAR'!G23+BGC_VAR!G23</f>
        <v>3213718.3340000003</v>
      </c>
      <c r="H23" s="60">
        <f t="shared" si="2"/>
        <v>-148815</v>
      </c>
      <c r="I23" s="38">
        <f t="shared" si="2"/>
        <v>-446145.66599999974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-365372757</v>
      </c>
      <c r="E24" s="39">
        <f t="shared" si="3"/>
        <v>-681539237</v>
      </c>
      <c r="F24" s="61">
        <f t="shared" si="3"/>
        <v>-337457747</v>
      </c>
      <c r="G24" s="39">
        <f t="shared" si="3"/>
        <v>-640064246.56599987</v>
      </c>
      <c r="H24" s="61">
        <f t="shared" si="3"/>
        <v>27915010</v>
      </c>
      <c r="I24" s="39">
        <f t="shared" si="3"/>
        <v>41474990.434000082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STG_VAR!D27+TRNSPT_VAR!D27+'CE-VAR'!D27+'NE-VAR'!D27+'SE-EGM-VAR'!D27+'SE-LRC-VAR'!D27+'TX-EGM-VAR'!D27+'TX-HPL-VAR '!D27+'WE-VAR'!D27+BGC_VAR!D27</f>
        <v>34026976</v>
      </c>
      <c r="E27" s="65">
        <f>STG_VAR!E27+TRNSPT_VAR!E27+'CE-VAR'!E27+'NE-VAR'!E27+'SE-EGM-VAR'!E27+'SE-LRC-VAR'!E27+'TX-EGM-VAR'!E27+'TX-HPL-VAR '!E27+'WE-VAR'!E27+BGC_VAR!E27</f>
        <v>62195394</v>
      </c>
      <c r="F27" s="65">
        <f>STG_VAR!F27+TRNSPT_VAR!F27+'CE-VAR'!F27+'NE-VAR'!F27+'SE-EGM-VAR'!F27+'SE-LRC-VAR'!F27+'TX-EGM-VAR'!F27+'TX-HPL-VAR '!F27+'WE-VAR'!F27+BGC_VAR!F27</f>
        <v>18850689</v>
      </c>
      <c r="G27" s="65">
        <f>STG_VAR!G27+TRNSPT_VAR!G27+'CE-VAR'!G27+'NE-VAR'!G27+'SE-EGM-VAR'!G27+'SE-LRC-VAR'!G27+'TX-EGM-VAR'!G27+'TX-HPL-VAR '!G27+'WE-VAR'!G27+BGC_VAR!G27</f>
        <v>34114267.873300001</v>
      </c>
      <c r="H27" s="60">
        <f>F27-D27</f>
        <v>-15176287</v>
      </c>
      <c r="I27" s="38">
        <f>G27-E27</f>
        <v>-28081126.126699999</v>
      </c>
    </row>
    <row r="28" spans="1:9" x14ac:dyDescent="0.2">
      <c r="A28" s="9">
        <v>12</v>
      </c>
      <c r="B28" s="7"/>
      <c r="C28" s="18" t="s">
        <v>40</v>
      </c>
      <c r="D28" s="65">
        <f>STG_VAR!D28+TRNSPT_VAR!D28+'CE-VAR'!D28+'NE-VAR'!D28+'SE-EGM-VAR'!D28+'SE-LRC-VAR'!D28+'TX-EGM-VAR'!D28+'TX-HPL-VAR '!D28+'WE-VAR'!D28+BGC_VAR!D28</f>
        <v>-35431725</v>
      </c>
      <c r="E28" s="65">
        <f>STG_VAR!E28+TRNSPT_VAR!E28+'CE-VAR'!E28+'NE-VAR'!E28+'SE-EGM-VAR'!E28+'SE-LRC-VAR'!E28+'TX-EGM-VAR'!E28+'TX-HPL-VAR '!E28+'WE-VAR'!E28+BGC_VAR!E28</f>
        <v>-64714076</v>
      </c>
      <c r="F28" s="65">
        <f>STG_VAR!F28+TRNSPT_VAR!F28+'CE-VAR'!F28+'NE-VAR'!F28+'SE-EGM-VAR'!F28+'SE-LRC-VAR'!F28+'TX-EGM-VAR'!F28+'TX-HPL-VAR '!F28+'WE-VAR'!F28+BGC_VAR!F28</f>
        <v>-33641609</v>
      </c>
      <c r="G28" s="65">
        <f>STG_VAR!G28+TRNSPT_VAR!G28+'CE-VAR'!G28+'NE-VAR'!G28+'SE-EGM-VAR'!G28+'SE-LRC-VAR'!G28+'TX-EGM-VAR'!G28+'TX-HPL-VAR '!G28+'WE-VAR'!G28+BGC_VAR!G28</f>
        <v>-53548599.910900004</v>
      </c>
      <c r="H28" s="60">
        <f>F28-D28</f>
        <v>1790116</v>
      </c>
      <c r="I28" s="38">
        <f>G28-E28</f>
        <v>11165476.089099996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-14790920</v>
      </c>
      <c r="G29" s="70">
        <f t="shared" si="4"/>
        <v>-19434332.037600003</v>
      </c>
      <c r="H29" s="69">
        <f t="shared" si="4"/>
        <v>-13386171</v>
      </c>
      <c r="I29" s="70">
        <f t="shared" si="4"/>
        <v>-16915650.037600003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STG_VAR!D32+TRNSPT_VAR!D32+'CE-VAR'!D32+'NE-VAR'!D32+'SE-EGM-VAR'!D32+'SE-LRC-VAR'!D32+'TX-EGM-VAR'!D32+'TX-HPL-VAR '!D32+'WE-VAR'!D32+BGC_VAR!D32</f>
        <v>5480470</v>
      </c>
      <c r="E32" s="65">
        <f>STG_VAR!E32+TRNSPT_VAR!E32+'CE-VAR'!E32+'NE-VAR'!E32+'SE-EGM-VAR'!E32+'SE-LRC-VAR'!E32+'TX-EGM-VAR'!E32+'TX-HPL-VAR '!E32+'WE-VAR'!E32+BGC_VAR!E32</f>
        <v>10475002</v>
      </c>
      <c r="F32" s="65">
        <f>STG_VAR!F32+TRNSPT_VAR!F32+'CE-VAR'!F32+'NE-VAR'!F32+'SE-EGM-VAR'!F32+'SE-LRC-VAR'!F32+'TX-EGM-VAR'!F32+'TX-HPL-VAR '!F32+'WE-VAR'!F32+BGC_VAR!F32</f>
        <v>-156181</v>
      </c>
      <c r="G32" s="65">
        <f>STG_VAR!G32+TRNSPT_VAR!G32+'CE-VAR'!G32+'NE-VAR'!G32+'SE-EGM-VAR'!G32+'SE-LRC-VAR'!G32+'TX-EGM-VAR'!G32+'TX-HPL-VAR '!G32+'WE-VAR'!G32+BGC_VAR!G32</f>
        <v>-288497.45399999991</v>
      </c>
      <c r="H32" s="60">
        <f>F32-D32</f>
        <v>-5636651</v>
      </c>
      <c r="I32" s="38">
        <f>G32-E32</f>
        <v>-10763499.454</v>
      </c>
    </row>
    <row r="33" spans="1:9" x14ac:dyDescent="0.2">
      <c r="A33" s="9">
        <v>14</v>
      </c>
      <c r="B33" s="7"/>
      <c r="C33" s="18" t="s">
        <v>44</v>
      </c>
      <c r="D33" s="65">
        <f>STG_VAR!D33+TRNSPT_VAR!D33+'CE-VAR'!D33+'NE-VAR'!D33+'SE-EGM-VAR'!D33+'SE-LRC-VAR'!D33+'TX-EGM-VAR'!D33+'TX-HPL-VAR '!D33+'WE-VAR'!D33+BGC_VAR!D33</f>
        <v>-4379129</v>
      </c>
      <c r="E33" s="65">
        <f>STG_VAR!E33+TRNSPT_VAR!E33+'CE-VAR'!E33+'NE-VAR'!E33+'SE-EGM-VAR'!E33+'SE-LRC-VAR'!E33+'TX-EGM-VAR'!E33+'TX-HPL-VAR '!E33+'WE-VAR'!E33+BGC_VAR!E33</f>
        <v>-8513755.4356726203</v>
      </c>
      <c r="F33" s="65">
        <f>STG_VAR!F33+TRNSPT_VAR!F33+'CE-VAR'!F33+'NE-VAR'!F33+'SE-EGM-VAR'!F33+'SE-LRC-VAR'!F33+'TX-EGM-VAR'!F33+'TX-HPL-VAR '!F33+'WE-VAR'!F33+BGC_VAR!F33</f>
        <v>-110026</v>
      </c>
      <c r="G33" s="65">
        <f>STG_VAR!G33+TRNSPT_VAR!G33+'CE-VAR'!G33+'NE-VAR'!G33+'SE-EGM-VAR'!G33+'SE-LRC-VAR'!G33+'TX-EGM-VAR'!G33+'TX-HPL-VAR '!G33+'WE-VAR'!G33+BGC_VAR!G33</f>
        <v>-287829.45</v>
      </c>
      <c r="H33" s="60">
        <f t="shared" ref="H33:I35" si="5">F33-D33</f>
        <v>4269103</v>
      </c>
      <c r="I33" s="38">
        <f t="shared" si="5"/>
        <v>8225925.9856726201</v>
      </c>
    </row>
    <row r="34" spans="1:9" x14ac:dyDescent="0.2">
      <c r="A34" s="9">
        <v>15</v>
      </c>
      <c r="B34" s="7"/>
      <c r="C34" s="18" t="s">
        <v>45</v>
      </c>
      <c r="D34" s="65">
        <f>STG_VAR!D34+TRNSPT_VAR!D34+'CE-VAR'!D34+'NE-VAR'!D34+'SE-EGM-VAR'!D34+'SE-LRC-VAR'!D34+'TX-EGM-VAR'!D34+'TX-HPL-VAR '!D34+'WE-VAR'!D34+BGC_VAR!D34</f>
        <v>370827</v>
      </c>
      <c r="E34" s="65">
        <f>STG_VAR!E34+TRNSPT_VAR!E34+'CE-VAR'!E34+'NE-VAR'!E34+'SE-EGM-VAR'!E34+'SE-LRC-VAR'!E34+'TX-EGM-VAR'!E34+'TX-HPL-VAR '!E34+'WE-VAR'!E34+BGC_VAR!E34</f>
        <v>681979</v>
      </c>
      <c r="F34" s="65">
        <f>STG_VAR!F34+TRNSPT_VAR!F34+'CE-VAR'!F34+'NE-VAR'!F34+'SE-EGM-VAR'!F34+'SE-LRC-VAR'!F34+'TX-EGM-VAR'!F34+'TX-HPL-VAR '!F34+'WE-VAR'!F34+BGC_VAR!F34</f>
        <v>324172</v>
      </c>
      <c r="G34" s="65">
        <f>STG_VAR!G34+TRNSPT_VAR!G34+'CE-VAR'!G34+'NE-VAR'!G34+'SE-EGM-VAR'!G34+'SE-LRC-VAR'!G34+'TX-EGM-VAR'!G34+'TX-HPL-VAR '!G34+'WE-VAR'!G34+BGC_VAR!G34</f>
        <v>573917.5</v>
      </c>
      <c r="H34" s="60">
        <f t="shared" si="5"/>
        <v>-46655</v>
      </c>
      <c r="I34" s="38">
        <f t="shared" si="5"/>
        <v>-108061.5</v>
      </c>
    </row>
    <row r="35" spans="1:9" x14ac:dyDescent="0.2">
      <c r="A35" s="9">
        <v>16</v>
      </c>
      <c r="B35" s="7"/>
      <c r="C35" s="18" t="s">
        <v>46</v>
      </c>
      <c r="D35" s="65">
        <f>STG_VAR!D35+TRNSPT_VAR!D35+'CE-VAR'!D35+'NE-VAR'!D35+'SE-EGM-VAR'!D35+'SE-LRC-VAR'!D35+'TX-EGM-VAR'!D35+'TX-HPL-VAR '!D35+'WE-VAR'!D35+BGC_VAR!D35</f>
        <v>-296839</v>
      </c>
      <c r="E35" s="65">
        <f>STG_VAR!E35+TRNSPT_VAR!E35+'CE-VAR'!E35+'NE-VAR'!E35+'SE-EGM-VAR'!E35+'SE-LRC-VAR'!E35+'TX-EGM-VAR'!E35+'TX-HPL-VAR '!E35+'WE-VAR'!E35+BGC_VAR!E35</f>
        <v>-557042</v>
      </c>
      <c r="F35" s="65">
        <f>STG_VAR!F35+TRNSPT_VAR!F35+'CE-VAR'!F35+'NE-VAR'!F35+'SE-EGM-VAR'!F35+'SE-LRC-VAR'!F35+'TX-EGM-VAR'!F35+'TX-HPL-VAR '!F35+'WE-VAR'!F35+BGC_VAR!F35</f>
        <v>-331307</v>
      </c>
      <c r="G35" s="65">
        <f>STG_VAR!G35+TRNSPT_VAR!G35+'CE-VAR'!G35+'NE-VAR'!G35+'SE-EGM-VAR'!G35+'SE-LRC-VAR'!G35+'TX-EGM-VAR'!G35+'TX-HPL-VAR '!G35+'WE-VAR'!G35+BGC_VAR!G35</f>
        <v>-251896.65</v>
      </c>
      <c r="H35" s="60">
        <f t="shared" si="5"/>
        <v>-34468</v>
      </c>
      <c r="I35" s="38">
        <f t="shared" si="5"/>
        <v>305145.34999999998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1175329</v>
      </c>
      <c r="E36" s="39">
        <f t="shared" si="6"/>
        <v>2086183.5643273797</v>
      </c>
      <c r="F36" s="61">
        <f t="shared" si="6"/>
        <v>-273342</v>
      </c>
      <c r="G36" s="39">
        <f t="shared" si="6"/>
        <v>-254306.05399999986</v>
      </c>
      <c r="H36" s="61">
        <f t="shared" si="6"/>
        <v>-1448671</v>
      </c>
      <c r="I36" s="39">
        <f t="shared" si="6"/>
        <v>-2340489.6183273797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STG_VAR!D39+TRNSPT_VAR!D39+'CE-VAR'!D39+'NE-VAR'!D39+'SE-EGM-VAR'!D39+'SE-LRC-VAR'!D39+'TX-EGM-VAR'!D39+'TX-HPL-VAR '!D39+'WE-VAR'!D39+BGC_VAR!D39</f>
        <v>2079881</v>
      </c>
      <c r="E39" s="65">
        <f>STG_VAR!E39+TRNSPT_VAR!E39+'CE-VAR'!E39+'NE-VAR'!E39+'SE-EGM-VAR'!E39+'SE-LRC-VAR'!E39+'TX-EGM-VAR'!E39+'TX-HPL-VAR '!E39+'WE-VAR'!E39+BGC_VAR!E39</f>
        <v>3709189</v>
      </c>
      <c r="F39" s="65">
        <f>STG_VAR!F39+TRNSPT_VAR!F39+'CE-VAR'!F39+'NE-VAR'!F39+'SE-EGM-VAR'!F39+'SE-LRC-VAR'!F39+'TX-EGM-VAR'!F39+'TX-HPL-VAR '!F39+'WE-VAR'!F39+BGC_VAR!F39</f>
        <v>711551</v>
      </c>
      <c r="G39" s="65">
        <f>STG_VAR!G39+TRNSPT_VAR!G39+'CE-VAR'!G39+'NE-VAR'!G39+'SE-EGM-VAR'!G39+'SE-LRC-VAR'!G39+'TX-EGM-VAR'!G39+'TX-HPL-VAR '!G39+'WE-VAR'!G39+BGC_VAR!G39</f>
        <v>1363406.01</v>
      </c>
      <c r="H39" s="60">
        <f t="shared" ref="H39:I41" si="7">F39-D39</f>
        <v>-1368330</v>
      </c>
      <c r="I39" s="38">
        <f t="shared" si="7"/>
        <v>-2345782.9900000002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STG_VAR!D40+TRNSPT_VAR!D40+'CE-VAR'!D40+'NE-VAR'!D40+'SE-EGM-VAR'!D40+'SE-LRC-VAR'!D40+'TX-EGM-VAR'!D40+'TX-HPL-VAR '!D40+'WE-VAR'!D40+BGC_VAR!D40</f>
        <v>-23251356</v>
      </c>
      <c r="E40" s="65">
        <f>STG_VAR!E40+TRNSPT_VAR!E40+'CE-VAR'!E40+'NE-VAR'!E40+'SE-EGM-VAR'!E40+'SE-LRC-VAR'!E40+'TX-EGM-VAR'!E40+'TX-HPL-VAR '!E40+'WE-VAR'!E40+BGC_VAR!E40</f>
        <v>-28258998</v>
      </c>
      <c r="F40" s="65">
        <f>STG_VAR!F40+TRNSPT_VAR!F40+'CE-VAR'!F40+'NE-VAR'!F40+'SE-EGM-VAR'!F40+'SE-LRC-VAR'!F40+'TX-EGM-VAR'!F40+'TX-HPL-VAR '!F40+'WE-VAR'!F40+BGC_VAR!F40</f>
        <v>-23551131</v>
      </c>
      <c r="G40" s="65">
        <f>STG_VAR!G40+TRNSPT_VAR!G40+'CE-VAR'!G40+'NE-VAR'!G40+'SE-EGM-VAR'!G40+'SE-LRC-VAR'!G40+'TX-EGM-VAR'!G40+'TX-HPL-VAR '!G40+'WE-VAR'!G40+BGC_VAR!G40</f>
        <v>-46308636.04999999</v>
      </c>
      <c r="H40" s="60">
        <f t="shared" si="7"/>
        <v>-299775</v>
      </c>
      <c r="I40" s="38">
        <f t="shared" si="7"/>
        <v>-18049638.04999999</v>
      </c>
    </row>
    <row r="41" spans="1:9" x14ac:dyDescent="0.2">
      <c r="A41" s="9">
        <v>19</v>
      </c>
      <c r="B41" s="7"/>
      <c r="C41" s="18" t="s">
        <v>51</v>
      </c>
      <c r="D41" s="65">
        <f>STG_VAR!D41+TRNSPT_VAR!D41+'CE-VAR'!D41+'NE-VAR'!D41+'SE-EGM-VAR'!D41+'SE-LRC-VAR'!D41+'TX-EGM-VAR'!D41+'TX-HPL-VAR '!D41+'WE-VAR'!D41+BGC_VAR!D41</f>
        <v>0</v>
      </c>
      <c r="E41" s="65">
        <f>STG_VAR!E41+TRNSPT_VAR!E41+'CE-VAR'!E41+'NE-VAR'!E41+'SE-EGM-VAR'!E41+'SE-LRC-VAR'!E41+'TX-EGM-VAR'!E41+'TX-HPL-VAR '!E41+'WE-VAR'!E41+BGC_VAR!E41</f>
        <v>0</v>
      </c>
      <c r="F41" s="65">
        <f>STG_VAR!F41+TRNSPT_VAR!F41+'CE-VAR'!F41+'NE-VAR'!F41+'SE-EGM-VAR'!F41+'SE-LRC-VAR'!F41+'TX-EGM-VAR'!F41+'TX-HPL-VAR '!F41+'WE-VAR'!F41+BGC_VAR!F41</f>
        <v>0</v>
      </c>
      <c r="G41" s="65">
        <f>STG_VAR!G41+TRNSPT_VAR!G41+'CE-VAR'!G41+'NE-VAR'!G41+'SE-EGM-VAR'!G41+'SE-LRC-VAR'!G41+'TX-EGM-VAR'!G41+'TX-HPL-VAR '!G41+'WE-VAR'!G41+BGC_VAR!G41</f>
        <v>215412</v>
      </c>
      <c r="H41" s="60">
        <f t="shared" si="7"/>
        <v>0</v>
      </c>
      <c r="I41" s="38">
        <f t="shared" si="7"/>
        <v>215412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-23251356</v>
      </c>
      <c r="E42" s="70">
        <f t="shared" si="8"/>
        <v>-28258998</v>
      </c>
      <c r="F42" s="69">
        <f t="shared" si="8"/>
        <v>-23551131</v>
      </c>
      <c r="G42" s="70">
        <f t="shared" si="8"/>
        <v>-46093224.04999999</v>
      </c>
      <c r="H42" s="69">
        <f t="shared" si="8"/>
        <v>-299775</v>
      </c>
      <c r="I42" s="70">
        <f t="shared" si="8"/>
        <v>-17834226.04999999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-21171475</v>
      </c>
      <c r="E43" s="39">
        <f t="shared" si="9"/>
        <v>-24549809</v>
      </c>
      <c r="F43" s="61">
        <f t="shared" si="9"/>
        <v>-22839580</v>
      </c>
      <c r="G43" s="39">
        <f t="shared" si="9"/>
        <v>-44729818.039999992</v>
      </c>
      <c r="H43" s="61">
        <f t="shared" si="9"/>
        <v>-1668105</v>
      </c>
      <c r="I43" s="39">
        <f t="shared" si="9"/>
        <v>-20180009.039999992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STG_VAR!D45+TRNSPT_VAR!D45+'CE-VAR'!D45+'NE-VAR'!D45+'SE-EGM-VAR'!D45+'SE-LRC-VAR'!D45+'TX-EGM-VAR'!D45+'TX-HPL-VAR '!D45+'WE-VAR'!D45+BGC_VAR!D45</f>
        <v>0</v>
      </c>
      <c r="E45" s="65">
        <f>STG_VAR!E45+TRNSPT_VAR!E45+'CE-VAR'!E45+'NE-VAR'!E45+'SE-EGM-VAR'!E45+'SE-LRC-VAR'!E45+'TX-EGM-VAR'!E45+'TX-HPL-VAR '!E45+'WE-VAR'!E45+BGC_VAR!E45</f>
        <v>0</v>
      </c>
      <c r="F45" s="65">
        <f>STG_VAR!F45+TRNSPT_VAR!F45+'CE-VAR'!F45+'NE-VAR'!F45+'SE-EGM-VAR'!F45+'SE-LRC-VAR'!F45+'TX-EGM-VAR'!F45+'TX-HPL-VAR '!F45+'WE-VAR'!F45+BGC_VAR!F45</f>
        <v>8416</v>
      </c>
      <c r="G45" s="65">
        <f>STG_VAR!G45+TRNSPT_VAR!G45+'CE-VAR'!G45+'NE-VAR'!G45+'SE-EGM-VAR'!G45+'SE-LRC-VAR'!G45+'TX-EGM-VAR'!G45+'TX-HPL-VAR '!G45+'WE-VAR'!G45+BGC_VAR!G45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STG_VAR!D47+TRNSPT_VAR!D47+'CE-VAR'!D47+'NE-VAR'!D47+'SE-EGM-VAR'!D47+'SE-LRC-VAR'!D47+'TX-EGM-VAR'!D47+'TX-HPL-VAR '!D47+'WE-VAR'!D47+BGC_VAR!D47</f>
        <v>0</v>
      </c>
      <c r="E47" s="65">
        <f>STG_VAR!E47+TRNSPT_VAR!E47+'CE-VAR'!E47+'NE-VAR'!E47+'SE-EGM-VAR'!E47+'SE-LRC-VAR'!E47+'TX-EGM-VAR'!E47+'TX-HPL-VAR '!E47+'WE-VAR'!E47+BGC_VAR!E47</f>
        <v>0</v>
      </c>
      <c r="F47" s="65">
        <f>STG_VAR!F47+TRNSPT_VAR!F47+'CE-VAR'!F47+'NE-VAR'!F47+'SE-EGM-VAR'!F47+'SE-LRC-VAR'!F47+'TX-EGM-VAR'!F47+'TX-HPL-VAR '!F47+'WE-VAR'!F47+BGC_VAR!F47</f>
        <v>82416</v>
      </c>
      <c r="G47" s="65">
        <f>STG_VAR!G47+TRNSPT_VAR!G47+'CE-VAR'!G47+'NE-VAR'!G47+'SE-EGM-VAR'!G47+'SE-LRC-VAR'!G47+'TX-EGM-VAR'!G47+'TX-HPL-VAR '!G47+'WE-VAR'!G47+BGC_VAR!G47</f>
        <v>79311.13</v>
      </c>
      <c r="H47" s="60">
        <f>F47-D47</f>
        <v>82416</v>
      </c>
      <c r="I47" s="38">
        <f>G47-E47</f>
        <v>79311.13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STG_VAR!D49+TRNSPT_VAR!D49+'CE-VAR'!D49+'NE-VAR'!D49+'SE-EGM-VAR'!D49+'SE-LRC-VAR'!D49+'TX-EGM-VAR'!D49+'TX-HPL-VAR '!D49+'WE-VAR'!D49+BGC_VAR!D49</f>
        <v>0</v>
      </c>
      <c r="E49" s="65">
        <f>STG_VAR!E49+TRNSPT_VAR!E49+'CE-VAR'!E49+'NE-VAR'!E49+'SE-EGM-VAR'!E49+'SE-LRC-VAR'!E49+'TX-EGM-VAR'!E49+'TX-HPL-VAR '!E49+'WE-VAR'!E49+BGC_VAR!E49</f>
        <v>0</v>
      </c>
      <c r="F49" s="65">
        <f>STG_VAR!F49+TRNSPT_VAR!F49+'CE-VAR'!F49+'NE-VAR'!F49+'SE-EGM-VAR'!F49+'SE-LRC-VAR'!F49+'TX-EGM-VAR'!F49+'TX-HPL-VAR '!F49+'WE-VAR'!F49+BGC_VAR!F49</f>
        <v>-3676</v>
      </c>
      <c r="G49" s="65">
        <f>STG_VAR!G49+TRNSPT_VAR!G49+'CE-VAR'!G49+'NE-VAR'!G49+'SE-EGM-VAR'!G49+'SE-LRC-VAR'!G49+'TX-EGM-VAR'!G49+'TX-HPL-VAR '!G49+'WE-VAR'!G49+BGC_VAR!G49</f>
        <v>23781.125000000466</v>
      </c>
      <c r="H49" s="60">
        <f>F49-D49</f>
        <v>-3676</v>
      </c>
      <c r="I49" s="38">
        <f>G49-E49</f>
        <v>23781.125000000466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STG_VAR!D51+TRNSPT_VAR!D51+'CE-VAR'!D51+'NE-VAR'!D51+'SE-EGM-VAR'!D51+'SE-LRC-VAR'!D51+'TX-EGM-VAR'!D51+'TX-HPL-VAR '!D51+'WE-VAR'!D51+BGC_VAR!D51</f>
        <v>-1949287</v>
      </c>
      <c r="E51" s="65">
        <f>STG_VAR!E51+TRNSPT_VAR!E51+'CE-VAR'!E51+'NE-VAR'!E51+'SE-EGM-VAR'!E51+'SE-LRC-VAR'!E51+'TX-EGM-VAR'!E51+'TX-HPL-VAR '!E51+'WE-VAR'!E51+BGC_VAR!E51</f>
        <v>-3774213.704067613</v>
      </c>
      <c r="F51" s="65">
        <f>STG_VAR!F51+TRNSPT_VAR!F51+'CE-VAR'!F51+'NE-VAR'!F51+'SE-EGM-VAR'!F51+'SE-LRC-VAR'!F51+'TX-EGM-VAR'!F51+'TX-HPL-VAR '!F51+'WE-VAR'!F51+BGC_VAR!F51</f>
        <v>-1807214</v>
      </c>
      <c r="G51" s="65">
        <f>STG_VAR!G51+TRNSPT_VAR!G51+'CE-VAR'!G51+'NE-VAR'!G51+'SE-EGM-VAR'!G51+'SE-LRC-VAR'!G51+'TX-EGM-VAR'!G51+'TX-HPL-VAR '!G51+'WE-VAR'!G51+BGC_VAR!G51</f>
        <v>-3236345.3340000003</v>
      </c>
      <c r="H51" s="60">
        <f>F51-D51</f>
        <v>142073</v>
      </c>
      <c r="I51" s="38">
        <f>G51-E51</f>
        <v>537868.37006761273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STG_VAR!D54+TRNSPT_VAR!D54+'CE-VAR'!D54+'NE-VAR'!D54+'SE-EGM-VAR'!D54+'SE-LRC-VAR'!D54+'TX-EGM-VAR'!D54+'TX-HPL-VAR '!D54+'WE-VAR'!D54+BGC_VAR!D54</f>
        <v>0</v>
      </c>
      <c r="E54" s="65">
        <f>STG_VAR!E54+TRNSPT_VAR!E54+'CE-VAR'!E54+'NE-VAR'!E54+'SE-EGM-VAR'!E54+'SE-LRC-VAR'!E54+'TX-EGM-VAR'!E54+'TX-HPL-VAR '!E54+'WE-VAR'!E54+BGC_VAR!E54</f>
        <v>-4155556</v>
      </c>
      <c r="F54" s="65">
        <f>STG_VAR!F54+TRNSPT_VAR!F54+'CE-VAR'!F54+'NE-VAR'!F54+'SE-EGM-VAR'!F54+'SE-LRC-VAR'!F54+'TX-EGM-VAR'!F54+'TX-HPL-VAR '!F54+'WE-VAR'!F54+BGC_VAR!F54</f>
        <v>-136385689</v>
      </c>
      <c r="G54" s="65">
        <f>STG_VAR!G54+TRNSPT_VAR!G54+'CE-VAR'!G54+'NE-VAR'!G54+'SE-EGM-VAR'!G54+'SE-LRC-VAR'!G54+'TX-EGM-VAR'!G54+'TX-HPL-VAR '!G54+'WE-VAR'!G54+BGC_VAR!G54</f>
        <v>-3203264.33</v>
      </c>
      <c r="H54" s="60">
        <f>F54-D54</f>
        <v>-136385689</v>
      </c>
      <c r="I54" s="38">
        <f>G54-E54</f>
        <v>952291.66999999993</v>
      </c>
    </row>
    <row r="55" spans="1:9" x14ac:dyDescent="0.2">
      <c r="A55" s="9">
        <v>25</v>
      </c>
      <c r="B55" s="7"/>
      <c r="C55" s="18" t="s">
        <v>60</v>
      </c>
      <c r="D55" s="65">
        <f>STG_VAR!D55+TRNSPT_VAR!D55+'CE-VAR'!D55+'NE-VAR'!D55+'SE-EGM-VAR'!D55+'SE-LRC-VAR'!D55+'TX-EGM-VAR'!D55+'TX-HPL-VAR '!D55+'WE-VAR'!D55+BGC_VAR!D55</f>
        <v>0</v>
      </c>
      <c r="E55" s="65">
        <f>STG_VAR!E55+TRNSPT_VAR!E55+'CE-VAR'!E55+'NE-VAR'!E55+'SE-EGM-VAR'!E55+'SE-LRC-VAR'!E55+'TX-EGM-VAR'!E55+'TX-HPL-VAR '!E55+'WE-VAR'!E55+BGC_VAR!E55</f>
        <v>-22175476</v>
      </c>
      <c r="F55" s="65">
        <f>STG_VAR!F55+TRNSPT_VAR!F55+'CE-VAR'!F55+'NE-VAR'!F55+'SE-EGM-VAR'!F55+'SE-LRC-VAR'!F55+'TX-EGM-VAR'!F55+'TX-HPL-VAR '!F55+'WE-VAR'!F55+BGC_VAR!F55</f>
        <v>3992658</v>
      </c>
      <c r="G55" s="65">
        <f>STG_VAR!G55+TRNSPT_VAR!G55+'CE-VAR'!G55+'NE-VAR'!G55+'SE-EGM-VAR'!G55+'SE-LRC-VAR'!G55+'TX-EGM-VAR'!G55+'TX-HPL-VAR '!G55+'WE-VAR'!G55+BGC_VAR!G55</f>
        <v>-20151310.529999997</v>
      </c>
      <c r="H55" s="60">
        <f>F55-D55</f>
        <v>3992658</v>
      </c>
      <c r="I55" s="38">
        <f>G55-E55</f>
        <v>2024165.4700000025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-26331032</v>
      </c>
      <c r="F56" s="61">
        <f t="shared" si="10"/>
        <v>-132393031</v>
      </c>
      <c r="G56" s="39">
        <f t="shared" si="10"/>
        <v>-23354574.859999999</v>
      </c>
      <c r="H56" s="61">
        <f t="shared" si="10"/>
        <v>-132393031</v>
      </c>
      <c r="I56" s="39">
        <f t="shared" si="10"/>
        <v>2976457.1400000025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STG_VAR!D59+TRNSPT_VAR!D59+'CE-VAR'!D59+'NE-VAR'!D59+'SE-EGM-VAR'!D59+'SE-LRC-VAR'!D59+'TX-EGM-VAR'!D59+'TX-HPL-VAR '!D59+'WE-VAR'!D59+BGC_VAR!D59</f>
        <v>0</v>
      </c>
      <c r="E59" s="65">
        <f>STG_VAR!E59+TRNSPT_VAR!E59+'CE-VAR'!E59+'NE-VAR'!E59+'SE-EGM-VAR'!E59+'SE-LRC-VAR'!E59+'TX-EGM-VAR'!E59+'TX-HPL-VAR '!E59+'WE-VAR'!E59+BGC_VAR!E59</f>
        <v>0</v>
      </c>
      <c r="F59" s="65">
        <f>STG_VAR!F59+TRNSPT_VAR!F59+'CE-VAR'!F59+'NE-VAR'!F59+'SE-EGM-VAR'!F59+'SE-LRC-VAR'!F59+'TX-EGM-VAR'!F59+'TX-HPL-VAR '!F59+'WE-VAR'!F59+BGC_VAR!F59</f>
        <v>2728781</v>
      </c>
      <c r="G59" s="65">
        <f>STG_VAR!G59+TRNSPT_VAR!G59+'CE-VAR'!G59+'NE-VAR'!G59+'SE-EGM-VAR'!G59+'SE-LRC-VAR'!G59+'TX-EGM-VAR'!G59+'TX-HPL-VAR '!G59+'WE-VAR'!G59+BGC_VAR!G59</f>
        <v>148202.79</v>
      </c>
      <c r="H59" s="60">
        <f>F59-D59</f>
        <v>2728781</v>
      </c>
      <c r="I59" s="38">
        <f>G59-E59</f>
        <v>148202.79</v>
      </c>
    </row>
    <row r="60" spans="1:9" x14ac:dyDescent="0.2">
      <c r="A60" s="9">
        <v>27</v>
      </c>
      <c r="B60" s="11"/>
      <c r="C60" s="18" t="s">
        <v>64</v>
      </c>
      <c r="D60" s="65">
        <f>STG_VAR!D60+TRNSPT_VAR!D60+'CE-VAR'!D60+'NE-VAR'!D60+'SE-EGM-VAR'!D60+'SE-LRC-VAR'!D60+'TX-EGM-VAR'!D60+'TX-HPL-VAR '!D60+'WE-VAR'!D60+BGC_VAR!D60</f>
        <v>0</v>
      </c>
      <c r="E60" s="65">
        <f>STG_VAR!E60+TRNSPT_VAR!E60+'CE-VAR'!E60+'NE-VAR'!E60+'SE-EGM-VAR'!E60+'SE-LRC-VAR'!E60+'TX-EGM-VAR'!E60+'TX-HPL-VAR '!E60+'WE-VAR'!E60+BGC_VAR!E60</f>
        <v>0</v>
      </c>
      <c r="F60" s="65">
        <f>STG_VAR!F60+TRNSPT_VAR!F60+'CE-VAR'!F60+'NE-VAR'!F60+'SE-EGM-VAR'!F60+'SE-LRC-VAR'!F60+'TX-EGM-VAR'!F60+'TX-HPL-VAR '!F60+'WE-VAR'!F60+BGC_VAR!F60</f>
        <v>0</v>
      </c>
      <c r="G60" s="65">
        <f>STG_VAR!G60+TRNSPT_VAR!G60+'CE-VAR'!G60+'NE-VAR'!G60+'SE-EGM-VAR'!G60+'SE-LRC-VAR'!G60+'TX-EGM-VAR'!G60+'TX-HPL-VAR '!G60+'WE-VAR'!G60+BGC_VAR!G60</f>
        <v>4178799</v>
      </c>
      <c r="H60" s="60">
        <f>F60-D60</f>
        <v>0</v>
      </c>
      <c r="I60" s="38">
        <f>G60-E60</f>
        <v>4178799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4327001.79</v>
      </c>
      <c r="H61" s="69">
        <f t="shared" si="11"/>
        <v>2728781</v>
      </c>
      <c r="I61" s="70">
        <f t="shared" si="11"/>
        <v>4327001.79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STG_VAR!D64+TRNSPT_VAR!D64+'CE-VAR'!D64+'NE-VAR'!D64+'SE-EGM-VAR'!D64+'SE-LRC-VAR'!D64+'TX-EGM-VAR'!D64+'TX-HPL-VAR '!D64+'WE-VAR'!D64+BGC_VAR!D64</f>
        <v>0</v>
      </c>
      <c r="E64" s="65">
        <f>STG_VAR!E64+TRNSPT_VAR!E64+'CE-VAR'!E64+'NE-VAR'!E64+'SE-EGM-VAR'!E64+'SE-LRC-VAR'!E64+'TX-EGM-VAR'!E64+'TX-HPL-VAR '!E64+'WE-VAR'!E64+BGC_VAR!E64</f>
        <v>182067.92</v>
      </c>
      <c r="F64" s="65">
        <f>STG_VAR!F64+TRNSPT_VAR!F64+'CE-VAR'!F64+'NE-VAR'!F64+'SE-EGM-VAR'!F64+'SE-LRC-VAR'!F64+'TX-EGM-VAR'!F64+'TX-HPL-VAR '!F64+'WE-VAR'!F64+BGC_VAR!F64</f>
        <v>-33105776</v>
      </c>
      <c r="G64" s="65">
        <f>STG_VAR!G64+TRNSPT_VAR!G64+'CE-VAR'!G64+'NE-VAR'!G64+'SE-EGM-VAR'!G64+'SE-LRC-VAR'!G64+'TX-EGM-VAR'!G64+'TX-HPL-VAR '!G64+'WE-VAR'!G64+BGC_VAR!G64</f>
        <v>-4763050.9499999993</v>
      </c>
      <c r="H64" s="60">
        <f>F64-D64</f>
        <v>-33105776</v>
      </c>
      <c r="I64" s="38">
        <f>G64-E64</f>
        <v>-4945118.8699999992</v>
      </c>
    </row>
    <row r="65" spans="1:9" x14ac:dyDescent="0.2">
      <c r="A65" s="9">
        <v>29</v>
      </c>
      <c r="B65" s="11"/>
      <c r="C65" s="18" t="s">
        <v>67</v>
      </c>
      <c r="D65" s="65">
        <f>STG_VAR!D65+TRNSPT_VAR!D65+'CE-VAR'!D65+'NE-VAR'!D65+'SE-EGM-VAR'!D65+'SE-LRC-VAR'!D65+'TX-EGM-VAR'!D65+'TX-HPL-VAR '!D65+'WE-VAR'!D65+BGC_VAR!D65</f>
        <v>0</v>
      </c>
      <c r="E65" s="65">
        <f>STG_VAR!E65+TRNSPT_VAR!E65+'CE-VAR'!E65+'NE-VAR'!E65+'SE-EGM-VAR'!E65+'SE-LRC-VAR'!E65+'TX-EGM-VAR'!E65+'TX-HPL-VAR '!E65+'WE-VAR'!E65+BGC_VAR!E65</f>
        <v>0</v>
      </c>
      <c r="F65" s="65">
        <f>STG_VAR!F65+TRNSPT_VAR!F65+'CE-VAR'!F65+'NE-VAR'!F65+'SE-EGM-VAR'!F65+'SE-LRC-VAR'!F65+'TX-EGM-VAR'!F65+'TX-HPL-VAR '!F65+'WE-VAR'!F65+BGC_VAR!F65</f>
        <v>23625389</v>
      </c>
      <c r="G65" s="65">
        <f>STG_VAR!G65+TRNSPT_VAR!G65+'CE-VAR'!G65+'NE-VAR'!G65+'SE-EGM-VAR'!G65+'SE-LRC-VAR'!G65+'TX-EGM-VAR'!G65+'TX-HPL-VAR '!G65+'WE-VAR'!G65+BGC_VAR!G65</f>
        <v>962028.66999999993</v>
      </c>
      <c r="H65" s="60">
        <f>F65-D65</f>
        <v>23625389</v>
      </c>
      <c r="I65" s="38">
        <f>G65-E65</f>
        <v>962028.66999999993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-9480387</v>
      </c>
      <c r="G66" s="39">
        <f t="shared" si="12"/>
        <v>-3801022.2799999993</v>
      </c>
      <c r="H66" s="61">
        <f t="shared" si="12"/>
        <v>-9480387</v>
      </c>
      <c r="I66" s="39">
        <f t="shared" si="12"/>
        <v>-3983090.1999999993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STG_VAR!D70+TRNSPT_VAR!D70+'CE-VAR'!D70+'NE-VAR'!D70+'SE-EGM-VAR'!D70+'SE-LRC-VAR'!D70+'TX-EGM-VAR'!D70+'TX-HPL-VAR '!D70+'WE-VAR'!D70+BGC_VAR!D70</f>
        <v>0</v>
      </c>
      <c r="E70" s="65">
        <f>STG_VAR!E70+TRNSPT_VAR!E70+'CE-VAR'!E70+'NE-VAR'!E70+'SE-EGM-VAR'!E70+'SE-LRC-VAR'!E70+'TX-EGM-VAR'!E70+'TX-HPL-VAR '!E70+'WE-VAR'!E70+BGC_VAR!E70</f>
        <v>1976673.83</v>
      </c>
      <c r="F70" s="65">
        <f>STG_VAR!F70+TRNSPT_VAR!F70+'CE-VAR'!F70+'NE-VAR'!F70+'SE-EGM-VAR'!F70+'SE-LRC-VAR'!F70+'TX-EGM-VAR'!F70+'TX-HPL-VAR '!F70+'WE-VAR'!F70+BGC_VAR!F70</f>
        <v>0</v>
      </c>
      <c r="G70" s="65">
        <f>STG_VAR!G70+TRNSPT_VAR!G70+'CE-VAR'!G70+'NE-VAR'!G70+'SE-EGM-VAR'!G70+'SE-LRC-VAR'!G70+'TX-EGM-VAR'!G70+'TX-HPL-VAR '!G70+'WE-VAR'!G70+BGC_VAR!G70</f>
        <v>-24519879.290000003</v>
      </c>
      <c r="H70" s="60">
        <f>F70-D70</f>
        <v>0</v>
      </c>
      <c r="I70" s="38">
        <f>G70-E70</f>
        <v>-26496553.120000005</v>
      </c>
    </row>
    <row r="71" spans="1:9" x14ac:dyDescent="0.2">
      <c r="A71" s="9">
        <v>31</v>
      </c>
      <c r="B71" s="3"/>
      <c r="C71" s="10" t="s">
        <v>72</v>
      </c>
      <c r="D71" s="65">
        <f>STG_VAR!D71+TRNSPT_VAR!D71+'CE-VAR'!D71+'NE-VAR'!D71+'SE-EGM-VAR'!D71+'SE-LRC-VAR'!D71+'TX-EGM-VAR'!D71+'TX-HPL-VAR '!D71+'WE-VAR'!D71+BGC_VAR!D71</f>
        <v>0</v>
      </c>
      <c r="E71" s="65">
        <f>STG_VAR!E71+TRNSPT_VAR!E71+'CE-VAR'!E71+'NE-VAR'!E71+'SE-EGM-VAR'!E71+'SE-LRC-VAR'!E71+'TX-EGM-VAR'!E71+'TX-HPL-VAR '!E71+'WE-VAR'!E71+BGC_VAR!E71</f>
        <v>-10670629</v>
      </c>
      <c r="F71" s="65">
        <f>STG_VAR!F71+TRNSPT_VAR!F71+'CE-VAR'!F71+'NE-VAR'!F71+'SE-EGM-VAR'!F71+'SE-LRC-VAR'!F71+'TX-EGM-VAR'!F71+'TX-HPL-VAR '!F71+'WE-VAR'!F71+BGC_VAR!F71</f>
        <v>0</v>
      </c>
      <c r="G71" s="65">
        <f>STG_VAR!G71+TRNSPT_VAR!G71+'CE-VAR'!G71+'NE-VAR'!G71+'SE-EGM-VAR'!G71+'SE-LRC-VAR'!G71+'TX-EGM-VAR'!G71+'TX-HPL-VAR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10670629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-8693955.1699999999</v>
      </c>
      <c r="F72" s="69">
        <f t="shared" si="13"/>
        <v>0</v>
      </c>
      <c r="G72" s="70">
        <f t="shared" si="13"/>
        <v>-24519879.290000003</v>
      </c>
      <c r="H72" s="69">
        <f t="shared" si="13"/>
        <v>0</v>
      </c>
      <c r="I72" s="70">
        <f t="shared" si="13"/>
        <v>-15825924.120000005</v>
      </c>
    </row>
    <row r="73" spans="1:9" x14ac:dyDescent="0.2">
      <c r="A73" s="9">
        <v>32</v>
      </c>
      <c r="B73" s="3"/>
      <c r="C73" s="10" t="s">
        <v>74</v>
      </c>
      <c r="D73" s="65">
        <f>STG_VAR!D73+TRNSPT_VAR!D73+'CE-VAR'!D73+'NE-VAR'!D73+'SE-EGM-VAR'!D73+'SE-LRC-VAR'!D73+'TX-EGM-VAR'!D73+'TX-HPL-VAR '!D73+'WE-VAR'!D73+BGC_VAR!D73</f>
        <v>0</v>
      </c>
      <c r="E73" s="65">
        <f>STG_VAR!E73+TRNSPT_VAR!E73+'CE-VAR'!E73+'NE-VAR'!E73+'SE-EGM-VAR'!E73+'SE-LRC-VAR'!E73+'TX-EGM-VAR'!E73+'TX-HPL-VAR '!E73+'WE-VAR'!E73+BGC_VAR!E73</f>
        <v>0</v>
      </c>
      <c r="F73" s="65">
        <f>STG_VAR!F73+TRNSPT_VAR!F73+'CE-VAR'!F73+'NE-VAR'!F73+'SE-EGM-VAR'!F73+'SE-LRC-VAR'!F73+'TX-EGM-VAR'!F73+'TX-HPL-VAR '!F73+'WE-VAR'!F73+BGC_VAR!F73</f>
        <v>0</v>
      </c>
      <c r="G73" s="65">
        <f>STG_VAR!G73+TRNSPT_VAR!G73+'CE-VAR'!G73+'NE-VAR'!G73+'SE-EGM-VAR'!G73+'SE-LRC-VAR'!G73+'TX-EGM-VAR'!G73+'TX-HPL-VAR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STG_VAR!D74+TRNSPT_VAR!D74+'CE-VAR'!D74+'NE-VAR'!D74+'SE-EGM-VAR'!D74+'SE-LRC-VAR'!D74+'TX-EGM-VAR'!D74+'TX-HPL-VAR '!D74+'WE-VAR'!D74+BGC_VAR!D74</f>
        <v>0</v>
      </c>
      <c r="E74" s="65">
        <f>STG_VAR!E74+TRNSPT_VAR!E74+'CE-VAR'!E74+'NE-VAR'!E74+'SE-EGM-VAR'!E74+'SE-LRC-VAR'!E74+'TX-EGM-VAR'!E74+'TX-HPL-VAR '!E74+'WE-VAR'!E74+BGC_VAR!E74</f>
        <v>13052476.945882354</v>
      </c>
      <c r="F74" s="65">
        <f>STG_VAR!F74+TRNSPT_VAR!F74+'CE-VAR'!F74+'NE-VAR'!F74+'SE-EGM-VAR'!F74+'SE-LRC-VAR'!F74+'TX-EGM-VAR'!F74+'TX-HPL-VAR '!F74+'WE-VAR'!F74+BGC_VAR!F74</f>
        <v>0</v>
      </c>
      <c r="G74" s="65">
        <f>STG_VAR!G74+TRNSPT_VAR!G74+'CE-VAR'!G74+'NE-VAR'!G74+'SE-EGM-VAR'!G74+'SE-LRC-VAR'!G74+'TX-EGM-VAR'!G74+'TX-HPL-VAR '!G74+'WE-VAR'!G74+BGC_VAR!G74</f>
        <v>15884749.49</v>
      </c>
      <c r="H74" s="60">
        <f t="shared" ref="H74:I79" si="14">F74-D74</f>
        <v>0</v>
      </c>
      <c r="I74" s="38">
        <f t="shared" si="14"/>
        <v>2832272.5441176463</v>
      </c>
    </row>
    <row r="75" spans="1:9" x14ac:dyDescent="0.2">
      <c r="A75" s="9">
        <v>34</v>
      </c>
      <c r="B75" s="3"/>
      <c r="C75" s="10" t="s">
        <v>76</v>
      </c>
      <c r="D75" s="65">
        <f>STG_VAR!D75+TRNSPT_VAR!D75+'CE-VAR'!D75+'NE-VAR'!D75+'SE-EGM-VAR'!D75+'SE-LRC-VAR'!D75+'TX-EGM-VAR'!D75+'TX-HPL-VAR '!D75+'WE-VAR'!D75+BGC_VAR!D75</f>
        <v>0</v>
      </c>
      <c r="E75" s="65">
        <f>STG_VAR!E75+TRNSPT_VAR!E75+'CE-VAR'!E75+'NE-VAR'!E75+'SE-EGM-VAR'!E75+'SE-LRC-VAR'!E75+'TX-EGM-VAR'!E75+'TX-HPL-VAR '!E75+'WE-VAR'!E75+BGC_VAR!E75</f>
        <v>612672</v>
      </c>
      <c r="F75" s="65">
        <f>STG_VAR!F75+TRNSPT_VAR!F75+'CE-VAR'!F75+'NE-VAR'!F75+'SE-EGM-VAR'!F75+'SE-LRC-VAR'!F75+'TX-EGM-VAR'!F75+'TX-HPL-VAR '!F75+'WE-VAR'!F75+BGC_VAR!F75</f>
        <v>0</v>
      </c>
      <c r="G75" s="65">
        <f>STG_VAR!G75+TRNSPT_VAR!G75+'CE-VAR'!G75+'NE-VAR'!G75+'SE-EGM-VAR'!G75+'SE-LRC-VAR'!G75+'TX-EGM-VAR'!G75+'TX-HPL-VAR '!G75+'WE-VAR'!G75+BGC_VAR!G75</f>
        <v>612600</v>
      </c>
      <c r="H75" s="60">
        <f t="shared" si="14"/>
        <v>0</v>
      </c>
      <c r="I75" s="38">
        <f t="shared" si="14"/>
        <v>-72</v>
      </c>
    </row>
    <row r="76" spans="1:9" x14ac:dyDescent="0.2">
      <c r="A76" s="9">
        <v>35</v>
      </c>
      <c r="B76" s="3"/>
      <c r="C76" s="10" t="s">
        <v>77</v>
      </c>
      <c r="D76" s="65">
        <f>STG_VAR!D76+TRNSPT_VAR!D76+'CE-VAR'!D76+'NE-VAR'!D76+'SE-EGM-VAR'!D76+'SE-LRC-VAR'!D76+'TX-EGM-VAR'!D76+'TX-HPL-VAR '!D76+'WE-VAR'!D76+BGC_VAR!D76</f>
        <v>0</v>
      </c>
      <c r="E76" s="65">
        <f>STG_VAR!E76+TRNSPT_VAR!E76+'CE-VAR'!E76+'NE-VAR'!E76+'SE-EGM-VAR'!E76+'SE-LRC-VAR'!E76+'TX-EGM-VAR'!E76+'TX-HPL-VAR '!E76+'WE-VAR'!E76+BGC_VAR!E76</f>
        <v>-30470</v>
      </c>
      <c r="F76" s="65">
        <f>STG_VAR!F76+TRNSPT_VAR!F76+'CE-VAR'!F76+'NE-VAR'!F76+'SE-EGM-VAR'!F76+'SE-LRC-VAR'!F76+'TX-EGM-VAR'!F76+'TX-HPL-VAR '!F76+'WE-VAR'!F76+BGC_VAR!F76</f>
        <v>0</v>
      </c>
      <c r="G76" s="65">
        <f>STG_VAR!G76+TRNSPT_VAR!G76+'CE-VAR'!G76+'NE-VAR'!G76+'SE-EGM-VAR'!G76+'SE-LRC-VAR'!G76+'TX-EGM-VAR'!G76+'TX-HPL-VAR '!G76+'WE-VAR'!G76+BGC_VAR!G76</f>
        <v>-278736.77</v>
      </c>
      <c r="H76" s="60">
        <f t="shared" si="14"/>
        <v>0</v>
      </c>
      <c r="I76" s="38">
        <f t="shared" si="14"/>
        <v>-248266.77000000002</v>
      </c>
    </row>
    <row r="77" spans="1:9" x14ac:dyDescent="0.2">
      <c r="A77" s="9">
        <v>36</v>
      </c>
      <c r="B77" s="3"/>
      <c r="C77" s="10" t="s">
        <v>78</v>
      </c>
      <c r="D77" s="65">
        <f>STG_VAR!D77+TRNSPT_VAR!D77+'CE-VAR'!D77+'NE-VAR'!D77+'SE-EGM-VAR'!D77+'SE-LRC-VAR'!D77+'TX-EGM-VAR'!D77+'TX-HPL-VAR '!D77+'WE-VAR'!D77+BGC_VAR!D77</f>
        <v>0</v>
      </c>
      <c r="E77" s="65">
        <f>STG_VAR!E77+TRNSPT_VAR!E77+'CE-VAR'!E77+'NE-VAR'!E77+'SE-EGM-VAR'!E77+'SE-LRC-VAR'!E77+'TX-EGM-VAR'!E77+'TX-HPL-VAR '!E77+'WE-VAR'!E77+BGC_VAR!E77</f>
        <v>-1261726</v>
      </c>
      <c r="F77" s="65">
        <f>STG_VAR!F77+TRNSPT_VAR!F77+'CE-VAR'!F77+'NE-VAR'!F77+'SE-EGM-VAR'!F77+'SE-LRC-VAR'!F77+'TX-EGM-VAR'!F77+'TX-HPL-VAR '!F77+'WE-VAR'!F77+BGC_VAR!F77</f>
        <v>0</v>
      </c>
      <c r="G77" s="65">
        <f>STG_VAR!G77+TRNSPT_VAR!G77+'CE-VAR'!G77+'NE-VAR'!G77+'SE-EGM-VAR'!G77+'SE-LRC-VAR'!G77+'TX-EGM-VAR'!G77+'TX-HPL-VAR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STG_VAR!D78+TRNSPT_VAR!D78+'CE-VAR'!D78+'NE-VAR'!D78+'SE-EGM-VAR'!D78+'SE-LRC-VAR'!D78+'TX-EGM-VAR'!D78+'TX-HPL-VAR '!D78+'WE-VAR'!D78+BGC_VAR!D78</f>
        <v>0</v>
      </c>
      <c r="E78" s="65">
        <f>STG_VAR!E78+TRNSPT_VAR!E78+'CE-VAR'!E78+'NE-VAR'!E78+'SE-EGM-VAR'!E78+'SE-LRC-VAR'!E78+'TX-EGM-VAR'!E78+'TX-HPL-VAR '!E78+'WE-VAR'!E78+BGC_VAR!E78</f>
        <v>23732.945</v>
      </c>
      <c r="F78" s="65">
        <f>STG_VAR!F78+TRNSPT_VAR!F78+'CE-VAR'!F78+'NE-VAR'!F78+'SE-EGM-VAR'!F78+'SE-LRC-VAR'!F78+'TX-EGM-VAR'!F78+'TX-HPL-VAR '!F78+'WE-VAR'!F78+BGC_VAR!F78</f>
        <v>0</v>
      </c>
      <c r="G78" s="65">
        <f>STG_VAR!G78+TRNSPT_VAR!G78+'CE-VAR'!G78+'NE-VAR'!G78+'SE-EGM-VAR'!G78+'SE-LRC-VAR'!G78+'TX-EGM-VAR'!G78+'TX-HPL-VAR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STG_VAR!D79+TRNSPT_VAR!D79+'CE-VAR'!D79+'NE-VAR'!D79+'SE-EGM-VAR'!D79+'SE-LRC-VAR'!D79+'TX-EGM-VAR'!D79+'TX-HPL-VAR '!D79+'WE-VAR'!D79+BGC_VAR!D79</f>
        <v>0</v>
      </c>
      <c r="E79" s="65">
        <f>STG_VAR!E79+TRNSPT_VAR!E79+'CE-VAR'!E79+'NE-VAR'!E79+'SE-EGM-VAR'!E79+'SE-LRC-VAR'!E79+'TX-EGM-VAR'!E79+'TX-HPL-VAR '!E79+'WE-VAR'!E79+BGC_VAR!E79</f>
        <v>17843007</v>
      </c>
      <c r="F79" s="65">
        <f>STG_VAR!F79+TRNSPT_VAR!F79+'CE-VAR'!F79+'NE-VAR'!F79+'SE-EGM-VAR'!F79+'SE-LRC-VAR'!F79+'TX-EGM-VAR'!F79+'TX-HPL-VAR '!F79+'WE-VAR'!F79+BGC_VAR!F79</f>
        <v>0</v>
      </c>
      <c r="G79" s="65">
        <f>STG_VAR!G79+TRNSPT_VAR!G79+'CE-VAR'!G79+'NE-VAR'!G79+'SE-EGM-VAR'!G79+'SE-LRC-VAR'!G79+'TX-EGM-VAR'!G79+'TX-HPL-VAR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-17843007</v>
      </c>
    </row>
    <row r="80" spans="1:9" x14ac:dyDescent="0.2">
      <c r="A80" s="9">
        <v>39</v>
      </c>
      <c r="B80" s="3"/>
      <c r="C80" s="10" t="s">
        <v>81</v>
      </c>
      <c r="D80" s="65">
        <f>STG_VAR!D80+TRNSPT_VAR!D80+'CE-VAR'!D80+'NE-VAR'!D80+'SE-EGM-VAR'!D80+'SE-LRC-VAR'!D80+'TX-EGM-VAR'!D80+'TX-HPL-VAR '!D80+'WE-VAR'!D80+BGC_VAR!D80</f>
        <v>0</v>
      </c>
      <c r="E80" s="65">
        <f>STG_VAR!E80+TRNSPT_VAR!E80+'CE-VAR'!E80+'NE-VAR'!E80+'SE-EGM-VAR'!E80+'SE-LRC-VAR'!E80+'TX-EGM-VAR'!E80+'TX-HPL-VAR '!E80+'WE-VAR'!E80+BGC_VAR!E80</f>
        <v>152798.017028186</v>
      </c>
      <c r="F80" s="65">
        <f>STG_VAR!F80+TRNSPT_VAR!F80+'CE-VAR'!F80+'NE-VAR'!F80+'SE-EGM-VAR'!F80+'SE-LRC-VAR'!F80+'TX-EGM-VAR'!F80+'TX-HPL-VAR '!F80+'WE-VAR'!F80+BGC_VAR!F80</f>
        <v>0</v>
      </c>
      <c r="G80" s="65">
        <f>STG_VAR!G80+TRNSPT_VAR!G80+'CE-VAR'!G80+'NE-VAR'!G80+'SE-EGM-VAR'!G80+'SE-LRC-VAR'!G80+'TX-EGM-VAR'!G80+'TX-HPL-VAR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STG_VAR!D81+TRNSPT_VAR!D81+'CE-VAR'!D81+'NE-VAR'!D81+'SE-EGM-VAR'!D81+'SE-LRC-VAR'!D81+'TX-EGM-VAR'!D81+'TX-HPL-VAR '!D81+'WE-VAR'!D81+BGC_VAR!D81</f>
        <v>0</v>
      </c>
      <c r="E81" s="65">
        <f>STG_VAR!E81+TRNSPT_VAR!E81+'CE-VAR'!E81+'NE-VAR'!E81+'SE-EGM-VAR'!E81+'SE-LRC-VAR'!E81+'TX-EGM-VAR'!E81+'TX-HPL-VAR '!E81+'WE-VAR'!E81+BGC_VAR!E81</f>
        <v>-3787995</v>
      </c>
      <c r="F81" s="65">
        <f>STG_VAR!F81+TRNSPT_VAR!F81+'CE-VAR'!F81+'NE-VAR'!F81+'SE-EGM-VAR'!F81+'SE-LRC-VAR'!F81+'TX-EGM-VAR'!F81+'TX-HPL-VAR '!F81+'WE-VAR'!F81+BGC_VAR!F81</f>
        <v>0</v>
      </c>
      <c r="G81" s="65">
        <f>STG_VAR!G81+TRNSPT_VAR!G81+'CE-VAR'!G81+'NE-VAR'!G81+'SE-EGM-VAR'!G81+'SE-LRC-VAR'!G81+'TX-EGM-VAR'!G81+'TX-HPL-VAR '!G81+'WE-VAR'!G81+BGC_VAR!G81</f>
        <v>819562.86</v>
      </c>
      <c r="H81" s="60">
        <f>F81-D81</f>
        <v>0</v>
      </c>
      <c r="I81" s="38">
        <f>G81-E81</f>
        <v>4607557.8600000003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93">
        <f>SUM(E72:E81)+E16+E24+E29+E36+E43+E45+E47+E49+E51+E56+E61+E66</f>
        <v>-1360857.4818297233</v>
      </c>
      <c r="F82" s="92">
        <f>F16+F24+F29+F36+F43+F45+F47+F49</f>
        <v>0</v>
      </c>
      <c r="G82" s="93">
        <f>SUM(G72:G81)+G16+G24+G29+G36+G43+G45+G47+G49+G51+G56+G61+G66</f>
        <v>769439.90340010356</v>
      </c>
      <c r="H82" s="92">
        <f>H16+H24+H29+H36+H43+H45+H47+H49</f>
        <v>0</v>
      </c>
      <c r="I82" s="93">
        <f>SUM(I72:I81)+I16+I24+I29+I36+I43+I45+I47+I49+I51+I56+I61+I66</f>
        <v>2130297.3852297766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STG_VAR!D86+TRNSPT_VAR!D86+'CE-VAR'!D86+'NE-VAR'!D86+'SE-EGM-VAR'!D86+'SE-LRC-VAR'!D86+'TX-EGM-VAR'!D86+'TX-HPL-VAR '!D86+'WE-VAR'!D86+BGC_VAR!D86</f>
        <v>0</v>
      </c>
      <c r="E86" s="182">
        <f>STG_VAR!E86+TRNSPT_VAR!E86+'CE-VAR'!E86+'NE-VAR'!E86+'SE-EGM-VAR'!E86+'SE-LRC-VAR'!E86+'TX-EGM-VAR'!E86+'TX-HPL-VAR '!E86+'WE-VAR'!E86+BGC_VAR!E86</f>
        <v>212360</v>
      </c>
      <c r="F86" s="182">
        <f>STG_VAR!F86+TRNSPT_VAR!F86+'CE-VAR'!F86+'NE-VAR'!F86+'SE-EGM-VAR'!F86+'SE-LRC-VAR'!F86+'TX-EGM-VAR'!F86+'TX-HPL-VAR '!F86+'WE-VAR'!F86+BGC_VAR!F86</f>
        <v>0</v>
      </c>
      <c r="G86" s="182">
        <f>STG_VAR!G86+TRNSPT_VAR!G86+'CE-VAR'!G86+'NE-VAR'!G86+'SE-EGM-VAR'!G86+'SE-LRC-VAR'!G86+'TX-EGM-VAR'!G86+'TX-HPL-VAR '!G86+'WE-VAR'!G86+BGC_VAR!G86</f>
        <v>212361.29</v>
      </c>
      <c r="H86" s="182">
        <f t="shared" ref="H86:I88" si="15">F86-D86</f>
        <v>0</v>
      </c>
      <c r="I86" s="182">
        <f t="shared" si="15"/>
        <v>1.2900000000081491</v>
      </c>
    </row>
    <row r="87" spans="1:9" x14ac:dyDescent="0.2">
      <c r="A87" s="181"/>
      <c r="B87" s="3"/>
      <c r="C87" s="10" t="s">
        <v>75</v>
      </c>
      <c r="D87" s="183">
        <f>STG_VAR!D87+TRNSPT_VAR!D87+'CE-VAR'!D87+'NE-VAR'!D87+'SE-EGM-VAR'!D87+'SE-LRC-VAR'!D87+'TX-EGM-VAR'!D87+'TX-HPL-VAR '!D87+'WE-VAR'!D87+BGC_VAR!D87</f>
        <v>0</v>
      </c>
      <c r="E87" s="183">
        <f>STG_VAR!E87+TRNSPT_VAR!E87+'CE-VAR'!E87+'NE-VAR'!E87+'SE-EGM-VAR'!E87+'SE-LRC-VAR'!E87+'TX-EGM-VAR'!E87+'TX-HPL-VAR '!E87+'WE-VAR'!E87+BGC_VAR!E87</f>
        <v>0</v>
      </c>
      <c r="F87" s="183">
        <f>STG_VAR!F87+TRNSPT_VAR!F87+'CE-VAR'!F87+'NE-VAR'!F87+'SE-EGM-VAR'!F87+'SE-LRC-VAR'!F87+'TX-EGM-VAR'!F87+'TX-HPL-VAR '!F87+'WE-VAR'!F87+BGC_VAR!F87</f>
        <v>0</v>
      </c>
      <c r="G87" s="183">
        <f>STG_VAR!G87+TRNSPT_VAR!G87+'CE-VAR'!G87+'NE-VAR'!G87+'SE-EGM-VAR'!G87+'SE-LRC-VAR'!G87+'TX-EGM-VAR'!G87+'TX-HPL-VAR '!G87+'WE-VAR'!G87+BGC_VAR!G87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STG_VAR!D88+TRNSPT_VAR!D88+'CE-VAR'!D88+'NE-VAR'!D88+'SE-EGM-VAR'!D88+'SE-LRC-VAR'!D88+'TX-EGM-VAR'!D88+'TX-HPL-VAR '!D88+'WE-VAR'!D88+BGC_VAR!D88</f>
        <v>0</v>
      </c>
      <c r="E88" s="184">
        <f>STG_VAR!E88+TRNSPT_VAR!E88+'CE-VAR'!E88+'NE-VAR'!E88+'SE-EGM-VAR'!E88+'SE-LRC-VAR'!E88+'TX-EGM-VAR'!E88+'TX-HPL-VAR '!E88+'WE-VAR'!E88+BGC_VAR!E88</f>
        <v>-323423</v>
      </c>
      <c r="F88" s="184">
        <f>STG_VAR!F88+TRNSPT_VAR!F88+'CE-VAR'!F88+'NE-VAR'!F88+'SE-EGM-VAR'!F88+'SE-LRC-VAR'!F88+'TX-EGM-VAR'!F88+'TX-HPL-VAR '!F88+'WE-VAR'!F88+BGC_VAR!F88</f>
        <v>0</v>
      </c>
      <c r="G88" s="184">
        <f>STG_VAR!G88+TRNSPT_VAR!G88+'CE-VAR'!G88+'NE-VAR'!G88+'SE-EGM-VAR'!G88+'SE-LRC-VAR'!G88+'TX-EGM-VAR'!G88+'TX-HPL-VAR '!G88+'WE-VAR'!G88+BGC_VAR!G88</f>
        <v>-323600</v>
      </c>
      <c r="H88" s="184">
        <f t="shared" si="15"/>
        <v>0</v>
      </c>
      <c r="I88" s="184">
        <f t="shared" si="15"/>
        <v>-177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-111063</v>
      </c>
      <c r="F89" s="188">
        <f t="shared" si="16"/>
        <v>0</v>
      </c>
      <c r="G89" s="188">
        <f t="shared" si="16"/>
        <v>-111238.70999999999</v>
      </c>
      <c r="H89" s="188">
        <f t="shared" si="16"/>
        <v>0</v>
      </c>
      <c r="I89" s="188">
        <f t="shared" si="16"/>
        <v>-175.70999999999185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-1471920.4818297233</v>
      </c>
      <c r="F91" s="188">
        <f t="shared" si="17"/>
        <v>0</v>
      </c>
      <c r="G91" s="188">
        <f t="shared" si="17"/>
        <v>658201.1934001036</v>
      </c>
      <c r="H91" s="188">
        <f t="shared" si="17"/>
        <v>0</v>
      </c>
      <c r="I91" s="188">
        <f t="shared" si="17"/>
        <v>2130121.6752297767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M187"/>
  <sheetViews>
    <sheetView zoomScale="75" workbookViewId="0">
      <pane xSplit="3" ySplit="9" topLeftCell="AJ61" activePane="bottomRight" state="frozen"/>
      <selection activeCell="E66" sqref="E66"/>
      <selection pane="topRight" activeCell="E66" sqref="E66"/>
      <selection pane="bottomLeft" activeCell="E66" sqref="E66"/>
      <selection pane="bottomRight" activeCell="AL71" sqref="AL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>
        <v>20833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'TIE-OUT'!T12+RECLASS!T12</f>
        <v>0</v>
      </c>
      <c r="G12" s="38">
        <f>'TIE-OUT'!U12+RECLASS!U12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>
        <v>0</v>
      </c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13993494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>
        <v>14740609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>
        <v>-747115</v>
      </c>
      <c r="AL13" s="60"/>
      <c r="AM13" s="38"/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14014327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20833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14740609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-747115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-1434348</v>
      </c>
      <c r="F41" s="81">
        <f>'TIE-OUT'!T41+RECLASS!T41</f>
        <v>0</v>
      </c>
      <c r="G41" s="82">
        <f>'TIE-OUT'!U41+RECLASS!U41</f>
        <v>-1434348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-1434348</v>
      </c>
      <c r="F42" s="61">
        <f t="shared" ref="F42:AD42" si="16">SUM(F40:F41)</f>
        <v>0</v>
      </c>
      <c r="G42" s="39">
        <f t="shared" si="16"/>
        <v>-1434348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-1434348</v>
      </c>
      <c r="F43" s="61">
        <f t="shared" ref="F43:AD43" si="19">F42+F39</f>
        <v>0</v>
      </c>
      <c r="G43" s="39">
        <f t="shared" si="19"/>
        <v>-1434348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-22627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-17994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-4633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E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si="22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111883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>
        <f>111833+50</f>
        <v>111883</v>
      </c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111883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111883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-93300</v>
      </c>
      <c r="F64" s="64">
        <f>'TIE-OUT'!T64+RECLASS!T64</f>
        <v>0</v>
      </c>
      <c r="G64" s="68">
        <f>'TIE-OUT'!U64+RECLASS!U64</f>
        <v>-93300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170000</v>
      </c>
      <c r="F65" s="81">
        <f>'TIE-OUT'!T65+RECLASS!T65</f>
        <v>0</v>
      </c>
      <c r="G65" s="82">
        <f>'TIE-OUT'!U65+RECLASS!U65</f>
        <v>170000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76700</v>
      </c>
      <c r="F66" s="61">
        <f t="shared" ref="F66:AD66" si="28">SUM(F64:F65)</f>
        <v>0</v>
      </c>
      <c r="G66" s="39">
        <f t="shared" si="28"/>
        <v>76700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E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si="28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-10791402</v>
      </c>
      <c r="F70" s="64">
        <f>'TIE-OUT'!T70+RECLASS!T70</f>
        <v>0</v>
      </c>
      <c r="G70" s="68">
        <f>'TIE-OUT'!U70+RECLASS!U70</f>
        <v>-4207364</v>
      </c>
      <c r="H70" s="60"/>
      <c r="I70" s="38"/>
      <c r="J70" s="60"/>
      <c r="K70" s="153"/>
      <c r="L70" s="60"/>
      <c r="M70" s="38"/>
      <c r="N70" s="60"/>
      <c r="O70" s="38">
        <v>-1054468</v>
      </c>
      <c r="P70" s="60"/>
      <c r="Q70" s="38">
        <v>8916155</v>
      </c>
      <c r="R70" s="60"/>
      <c r="S70" s="38"/>
      <c r="T70" s="60"/>
      <c r="U70" s="38"/>
      <c r="V70" s="60"/>
      <c r="W70" s="38"/>
      <c r="X70" s="60"/>
      <c r="Y70" s="38"/>
      <c r="Z70" s="60"/>
      <c r="AA70" s="38">
        <f>-42683-14740609</f>
        <v>-14783292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>
        <v>337567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-10791402</v>
      </c>
      <c r="F72" s="61">
        <f t="shared" ref="F72:AD72" si="31">SUM(F70:F71)</f>
        <v>0</v>
      </c>
      <c r="G72" s="39">
        <f t="shared" si="31"/>
        <v>-4207364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-1054468</v>
      </c>
      <c r="P72" s="61">
        <f t="shared" si="31"/>
        <v>0</v>
      </c>
      <c r="Q72" s="39">
        <f t="shared" si="31"/>
        <v>8916155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-14783292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337567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232545</v>
      </c>
      <c r="F74" s="60">
        <f>'TIE-OUT'!T74+RECLASS!T74</f>
        <v>0</v>
      </c>
      <c r="G74" s="60">
        <f>'TIE-OUT'!U74+RECLASS!U74</f>
        <v>361195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172">
        <v>-128650</v>
      </c>
      <c r="AH74" s="60"/>
      <c r="AI74" s="172"/>
      <c r="AJ74" s="60"/>
      <c r="AK74" s="172"/>
      <c r="AL74" s="60"/>
      <c r="AM74" s="172"/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-26496</v>
      </c>
      <c r="F76" s="60">
        <f>'TIE-OUT'!T76+RECLASS!T76</f>
        <v>0</v>
      </c>
      <c r="G76" s="60">
        <f>'TIE-OUT'!U76+RECLASS!U76</f>
        <v>-26496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/>
      <c r="P77" s="60"/>
      <c r="Q77" s="38">
        <f>-376583+820000</f>
        <v>443417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-224615</v>
      </c>
      <c r="F81" s="60">
        <f>'TIE-OUT'!T81+RECLASS!T81</f>
        <v>0</v>
      </c>
      <c r="G81" s="60">
        <f>'TIE-OUT'!U81+RECLASS!U81</f>
        <v>-54411</v>
      </c>
      <c r="H81" s="60"/>
      <c r="I81" s="38"/>
      <c r="J81" s="60"/>
      <c r="K81" s="153"/>
      <c r="L81" s="60"/>
      <c r="M81" s="38"/>
      <c r="N81" s="60"/>
      <c r="O81" s="38"/>
      <c r="P81" s="60"/>
      <c r="Q81" s="38">
        <f>-125739-24900</f>
        <v>-150639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>
        <f>35744-55309</f>
        <v>-19565</v>
      </c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1722384</v>
      </c>
      <c r="F82" s="92">
        <f>F16+F24+F29+F36+F43+F45+F47+F49</f>
        <v>0</v>
      </c>
      <c r="G82" s="93">
        <f>SUM(G72:G81)+G16+G24+G29+G36+G43+G45+G47+G49+G51+G56+G61+G66</f>
        <v>-5941724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-1054468</v>
      </c>
      <c r="P82" s="92">
        <f>P16+P24+P29+P36+P43+P45+P47+P49</f>
        <v>0</v>
      </c>
      <c r="Q82" s="93">
        <f>SUM(Q72:Q81)+Q16+Q24+Q29+Q36+Q43+Q45+Q47+Q49+Q51+Q56+Q61+Q66</f>
        <v>9302822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20833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-42683</v>
      </c>
      <c r="AB82" s="92">
        <f>AB16+AB24+AB29+AB36+AB43+AB45+AB47+AB49</f>
        <v>0</v>
      </c>
      <c r="AC82" s="93">
        <f>SUM(AC72:AC81)+AC16+AC24+AC29+AC36+AC43+AC45+AC47+AC49+AC51+AC56+AC61+AC66</f>
        <v>-24198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-128650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-747115</v>
      </c>
      <c r="AL82" s="92">
        <f>AL16+AL24+AL29+AL36+AL43+AL45+AL47+AL49</f>
        <v>0</v>
      </c>
      <c r="AM82" s="93">
        <f>SUM(AM72:AM81)+AM16+AM24+AM29+AM36+AM43+AM45+AM47+AM49+AM51+AM56+AM61+AM66</f>
        <v>337567</v>
      </c>
    </row>
    <row r="83" spans="1:39" ht="13.5" thickTop="1" x14ac:dyDescent="0.2">
      <c r="A83" s="4"/>
      <c r="B83" s="3"/>
    </row>
    <row r="84" spans="1:39" x14ac:dyDescent="0.2">
      <c r="A84" s="4"/>
      <c r="B84" s="3"/>
      <c r="E84" s="31">
        <f>+E72+E12-G12</f>
        <v>-10791402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M187"/>
  <sheetViews>
    <sheetView zoomScale="75" workbookViewId="0">
      <pane xSplit="3" ySplit="9" topLeftCell="F7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  <col min="62" max="68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5" t="s">
        <v>101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E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si="22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E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si="28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'TIE-OUT'!V70+RECLASS!V70</f>
        <v>0</v>
      </c>
      <c r="G70" s="68">
        <f>'TIE-OUT'!W70+RECLASS!W70</f>
        <v>0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53" activePane="bottomRight" state="frozen"/>
      <selection activeCell="F64" sqref="F64"/>
      <selection pane="topRight" activeCell="F64" sqref="F64"/>
      <selection pane="bottomLeft" activeCell="F64" sqref="F64"/>
      <selection pane="bottomRight" activeCell="F64" sqref="F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50015649</v>
      </c>
      <c r="E11" s="66">
        <f>'CE-FLSH'!M11</f>
        <v>91648139</v>
      </c>
      <c r="F11" s="60">
        <f>CE_GL!D11</f>
        <v>50485195</v>
      </c>
      <c r="G11" s="38">
        <f>CE_GL!E11</f>
        <v>107967112.07000001</v>
      </c>
      <c r="H11" s="60">
        <f>F11-D11</f>
        <v>469546</v>
      </c>
      <c r="I11" s="38">
        <f>G11-E11</f>
        <v>16318973.070000008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-11949046.24</v>
      </c>
      <c r="H12" s="60">
        <f>F12-D12</f>
        <v>0</v>
      </c>
      <c r="I12" s="38">
        <f>G12-E12</f>
        <v>-11949046.24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15076907</v>
      </c>
      <c r="E13" s="66">
        <f>'CE-FLSH'!M13</f>
        <v>28472210</v>
      </c>
      <c r="F13" s="60">
        <f>CE_GL!D13</f>
        <v>14484736</v>
      </c>
      <c r="G13" s="38">
        <f>CE_GL!E13</f>
        <v>27371013</v>
      </c>
      <c r="H13" s="60">
        <f t="shared" ref="H13:I15" si="0">F13-D13</f>
        <v>-592171</v>
      </c>
      <c r="I13" s="38">
        <f t="shared" si="0"/>
        <v>-1101197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-3381153.9299999997</v>
      </c>
      <c r="H15" s="60">
        <f t="shared" si="0"/>
        <v>0</v>
      </c>
      <c r="I15" s="38">
        <f t="shared" si="0"/>
        <v>-3381153.9299999997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65092556</v>
      </c>
      <c r="E16" s="39">
        <f t="shared" si="1"/>
        <v>120120349</v>
      </c>
      <c r="F16" s="61">
        <f t="shared" si="1"/>
        <v>64969931</v>
      </c>
      <c r="G16" s="39">
        <f t="shared" si="1"/>
        <v>120007924.90000001</v>
      </c>
      <c r="H16" s="61">
        <f t="shared" si="1"/>
        <v>-122625</v>
      </c>
      <c r="I16" s="39">
        <f t="shared" si="1"/>
        <v>-112424.09999999218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-39890734</v>
      </c>
      <c r="E19" s="66">
        <f>'CE-FLSH'!M19</f>
        <v>-71917584</v>
      </c>
      <c r="F19" s="60">
        <f>CE_GL!D19</f>
        <v>-49727878</v>
      </c>
      <c r="G19" s="38">
        <f>CE_GL!E19</f>
        <v>-90522319.229999989</v>
      </c>
      <c r="H19" s="60">
        <f>F19-D19</f>
        <v>-9837144</v>
      </c>
      <c r="I19" s="38">
        <f>G19-E19</f>
        <v>-18604735.229999989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791038.4</v>
      </c>
      <c r="H20" s="60">
        <f>F20-D20</f>
        <v>0</v>
      </c>
      <c r="I20" s="38">
        <f>G20-E20</f>
        <v>791038.4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-25249410</v>
      </c>
      <c r="E21" s="66">
        <f>'CE-FLSH'!M21</f>
        <v>-46363228</v>
      </c>
      <c r="F21" s="60">
        <f>CE_GL!D21</f>
        <v>-15409724</v>
      </c>
      <c r="G21" s="38">
        <f>CE_GL!E21</f>
        <v>-29018019</v>
      </c>
      <c r="H21" s="60">
        <f t="shared" ref="H21:I23" si="2">F21-D21</f>
        <v>9839686</v>
      </c>
      <c r="I21" s="38">
        <f t="shared" si="2"/>
        <v>17345209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331134</v>
      </c>
      <c r="E23" s="66">
        <f>'CE-FLSH'!M23</f>
        <v>601001</v>
      </c>
      <c r="F23" s="60">
        <f>CE_GL!D23</f>
        <v>211720</v>
      </c>
      <c r="G23" s="38">
        <f>CE_GL!E23</f>
        <v>379825.68199999997</v>
      </c>
      <c r="H23" s="60">
        <f t="shared" si="2"/>
        <v>-119414</v>
      </c>
      <c r="I23" s="38">
        <f t="shared" si="2"/>
        <v>-221175.31800000003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-64809010</v>
      </c>
      <c r="E24" s="39">
        <f t="shared" si="3"/>
        <v>-117679811</v>
      </c>
      <c r="F24" s="61">
        <f t="shared" si="3"/>
        <v>-64925882</v>
      </c>
      <c r="G24" s="39">
        <f t="shared" si="3"/>
        <v>-118369474.14799999</v>
      </c>
      <c r="H24" s="61">
        <f t="shared" si="3"/>
        <v>-116872</v>
      </c>
      <c r="I24" s="39">
        <f t="shared" si="3"/>
        <v>-689663.14799999073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6328</v>
      </c>
      <c r="G27" s="38">
        <f>CE_GL!E27</f>
        <v>11327.12</v>
      </c>
      <c r="H27" s="60">
        <f>F27-D27</f>
        <v>6328</v>
      </c>
      <c r="I27" s="38">
        <f>G27-E27</f>
        <v>11327.12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-18440</v>
      </c>
      <c r="G28" s="38">
        <f>CE_GL!E28</f>
        <v>-33975.620000000003</v>
      </c>
      <c r="H28" s="60">
        <f>F28-D28</f>
        <v>-18440</v>
      </c>
      <c r="I28" s="38">
        <f>G28-E28</f>
        <v>-33975.620000000003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-12112</v>
      </c>
      <c r="G29" s="70">
        <f t="shared" si="4"/>
        <v>-22648.5</v>
      </c>
      <c r="H29" s="69">
        <f t="shared" si="4"/>
        <v>-12112</v>
      </c>
      <c r="I29" s="70">
        <f t="shared" si="4"/>
        <v>-22648.5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4931167</v>
      </c>
      <c r="E32" s="66">
        <f>'CE-FLSH'!M32</f>
        <v>9438269</v>
      </c>
      <c r="F32" s="60">
        <f>CE_GL!D32</f>
        <v>-14934</v>
      </c>
      <c r="G32" s="38">
        <f>CE_GL!E32</f>
        <v>-26792.264000000079</v>
      </c>
      <c r="H32" s="60">
        <f>F32-D32</f>
        <v>-4946101</v>
      </c>
      <c r="I32" s="38">
        <f>G32-E32</f>
        <v>-9465061.2640000004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-5214713</v>
      </c>
      <c r="E33" s="66">
        <f>'CE-FLSH'!M33</f>
        <v>-9872539.2115928493</v>
      </c>
      <c r="F33" s="60">
        <f>CE_GL!D33</f>
        <v>-22224</v>
      </c>
      <c r="G33" s="38">
        <f>CE_GL!E33</f>
        <v>-41250.43</v>
      </c>
      <c r="H33" s="60">
        <f t="shared" ref="H33:I35" si="5">F33-D33</f>
        <v>5192489</v>
      </c>
      <c r="I33" s="38">
        <f t="shared" si="5"/>
        <v>9831288.7815928496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26563</v>
      </c>
      <c r="G34" s="38">
        <f>CE_GL!E34</f>
        <v>34474.230000000003</v>
      </c>
      <c r="H34" s="60">
        <f t="shared" si="5"/>
        <v>26563</v>
      </c>
      <c r="I34" s="38">
        <f t="shared" si="5"/>
        <v>34474.230000000003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-90843</v>
      </c>
      <c r="G35" s="38">
        <f>CE_GL!E35</f>
        <v>-194965.66</v>
      </c>
      <c r="H35" s="60">
        <f t="shared" si="5"/>
        <v>-90843</v>
      </c>
      <c r="I35" s="38">
        <f t="shared" si="5"/>
        <v>-194965.66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-283546</v>
      </c>
      <c r="E36" s="39">
        <f t="shared" si="6"/>
        <v>-434270.21159284934</v>
      </c>
      <c r="F36" s="61">
        <f t="shared" si="6"/>
        <v>-101438</v>
      </c>
      <c r="G36" s="39">
        <f t="shared" si="6"/>
        <v>-228534.12400000007</v>
      </c>
      <c r="H36" s="61">
        <f t="shared" si="6"/>
        <v>182108</v>
      </c>
      <c r="I36" s="39">
        <f t="shared" si="6"/>
        <v>205736.08759284919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0</v>
      </c>
      <c r="E39" s="66">
        <f>'CE-FLSH'!M39</f>
        <v>0</v>
      </c>
      <c r="F39" s="60">
        <f>CE_GL!D39</f>
        <v>0</v>
      </c>
      <c r="G39" s="38">
        <f>CE_GL!E39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0</v>
      </c>
      <c r="E40" s="66">
        <f>'CE-FLSH'!M40</f>
        <v>0</v>
      </c>
      <c r="F40" s="60">
        <f>CE_GL!D40</f>
        <v>-272351</v>
      </c>
      <c r="G40" s="38">
        <f>CE_GL!E40</f>
        <v>-247669.69999999998</v>
      </c>
      <c r="H40" s="60">
        <f t="shared" si="7"/>
        <v>-272351</v>
      </c>
      <c r="I40" s="38">
        <f t="shared" si="7"/>
        <v>-247669.69999999998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-272351</v>
      </c>
      <c r="G42" s="70">
        <f t="shared" si="8"/>
        <v>-247669.69999999998</v>
      </c>
      <c r="H42" s="69">
        <f t="shared" si="8"/>
        <v>-272351</v>
      </c>
      <c r="I42" s="70">
        <f t="shared" si="8"/>
        <v>-247669.69999999998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-272351</v>
      </c>
      <c r="G43" s="39">
        <f t="shared" si="9"/>
        <v>-247669.69999999998</v>
      </c>
      <c r="H43" s="61">
        <f t="shared" si="9"/>
        <v>-272351</v>
      </c>
      <c r="I43" s="39">
        <f t="shared" si="9"/>
        <v>-247669.69999999998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341852</v>
      </c>
      <c r="G49" s="38">
        <f>CE_GL!E49</f>
        <v>612885.29800000007</v>
      </c>
      <c r="H49" s="60">
        <f>F49-D49</f>
        <v>341852</v>
      </c>
      <c r="I49" s="38">
        <f>G49-E49</f>
        <v>612885.29800000007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-331134</v>
      </c>
      <c r="E51" s="66">
        <f>'CE-FLSH'!M51</f>
        <v>-601001</v>
      </c>
      <c r="F51" s="60">
        <f>CE_GL!D51</f>
        <v>-211720</v>
      </c>
      <c r="G51" s="38">
        <f>CE_GL!E51</f>
        <v>-379825.68199999997</v>
      </c>
      <c r="H51" s="60">
        <f>F51-D51</f>
        <v>119414</v>
      </c>
      <c r="I51" s="38">
        <f>G51-E51</f>
        <v>221175.31800000003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-167761</v>
      </c>
      <c r="F54" s="60">
        <f>CE_GL!D54</f>
        <v>-13147260</v>
      </c>
      <c r="G54" s="38">
        <f>CE_GL!E54</f>
        <v>340035.57999999996</v>
      </c>
      <c r="H54" s="60">
        <f>F54-D54</f>
        <v>-13147260</v>
      </c>
      <c r="I54" s="38">
        <f>G54-E54</f>
        <v>507796.57999999996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-2222198</v>
      </c>
      <c r="F55" s="60">
        <f>CE_GL!D55</f>
        <v>0</v>
      </c>
      <c r="G55" s="38">
        <f>CE_GL!E55</f>
        <v>-2010129.1000000003</v>
      </c>
      <c r="H55" s="60">
        <f>F55-D55</f>
        <v>0</v>
      </c>
      <c r="I55" s="38">
        <f>G55-E55</f>
        <v>212068.89999999967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-2389959</v>
      </c>
      <c r="F56" s="61">
        <f t="shared" si="10"/>
        <v>-13147260</v>
      </c>
      <c r="G56" s="39">
        <f t="shared" si="10"/>
        <v>-1670093.5200000005</v>
      </c>
      <c r="H56" s="61">
        <f t="shared" si="10"/>
        <v>-13147260</v>
      </c>
      <c r="I56" s="39">
        <f t="shared" si="10"/>
        <v>719865.47999999963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1333277</v>
      </c>
      <c r="F70" s="60">
        <f>CE_GL!D70</f>
        <v>0</v>
      </c>
      <c r="G70" s="38">
        <f>CE_GL!E70</f>
        <v>-675834</v>
      </c>
      <c r="H70" s="60">
        <f>F70-D70</f>
        <v>0</v>
      </c>
      <c r="I70" s="38">
        <f>G70-E70</f>
        <v>-2009111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-2009111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2009111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-675834</v>
      </c>
      <c r="F72" s="69">
        <f t="shared" si="13"/>
        <v>0</v>
      </c>
      <c r="G72" s="70">
        <f t="shared" si="13"/>
        <v>-675834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734642.70588235301</v>
      </c>
      <c r="F74" s="60">
        <f>CE_GL!D74</f>
        <v>0</v>
      </c>
      <c r="G74" s="38">
        <f>CE_GL!E74</f>
        <v>343342.49</v>
      </c>
      <c r="H74" s="60">
        <f t="shared" ref="H74:I79" si="14">F74-D74</f>
        <v>0</v>
      </c>
      <c r="I74" s="38">
        <f t="shared" si="14"/>
        <v>-391300.21588235302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330670.5</v>
      </c>
      <c r="F75" s="60">
        <f>CE_GL!D75</f>
        <v>0</v>
      </c>
      <c r="G75" s="38">
        <f>CE_GL!E75</f>
        <v>330600</v>
      </c>
      <c r="H75" s="60">
        <f t="shared" si="14"/>
        <v>0</v>
      </c>
      <c r="I75" s="38">
        <f t="shared" si="14"/>
        <v>-70.5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-10268</v>
      </c>
      <c r="F76" s="60">
        <f>CE_GL!D76</f>
        <v>0</v>
      </c>
      <c r="G76" s="38">
        <f>CE_GL!E76</f>
        <v>-11539.400000000001</v>
      </c>
      <c r="H76" s="60">
        <f t="shared" si="14"/>
        <v>0</v>
      </c>
      <c r="I76" s="38">
        <f t="shared" si="14"/>
        <v>-1271.4000000000015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-126121</v>
      </c>
      <c r="F81" s="60">
        <f>CE_GL!D81</f>
        <v>0</v>
      </c>
      <c r="G81" s="38">
        <f>CE_GL!E81</f>
        <v>393315.7</v>
      </c>
      <c r="H81" s="60">
        <f>F81-D81</f>
        <v>0</v>
      </c>
      <c r="I81" s="38">
        <f>G81-E81</f>
        <v>519436.7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0</v>
      </c>
      <c r="E82" s="72">
        <f>SUM(E72:E81)+E16+E24+E29+E36+E43+E45+E47+E49+E51+E56+E61+E66</f>
        <v>-731602.00571049377</v>
      </c>
      <c r="F82" s="71">
        <f>F16+F24+F29+F36+F43+F45+F47+F49</f>
        <v>0</v>
      </c>
      <c r="G82" s="72">
        <f>SUM(G72:G81)+G16+G24+G29+G36+G43+G45+G47+G49+G51+G56+G61+G66</f>
        <v>82449.314000024926</v>
      </c>
      <c r="H82" s="71">
        <f>H16+H24+H29+H36+H43+H45+H47+H49</f>
        <v>0</v>
      </c>
      <c r="I82" s="72">
        <f>SUM(I72:I81)+I16+I24+I29+I36+I43+I45+I47+I49+I51+I56+I61+I66</f>
        <v>814051.31971051311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" sqref="C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115626241</v>
      </c>
      <c r="E11" s="66">
        <f>'NE-FLSH'!M11</f>
        <v>204484840</v>
      </c>
      <c r="F11" s="60">
        <f>NE_GL!D11</f>
        <v>124062383</v>
      </c>
      <c r="G11" s="38">
        <f>NE_GL!E11</f>
        <v>267904097.63000005</v>
      </c>
      <c r="H11" s="60">
        <f>F11-D11</f>
        <v>8436142</v>
      </c>
      <c r="I11" s="38">
        <f>G11-E11</f>
        <v>63419257.630000055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84822596</v>
      </c>
      <c r="E13" s="66">
        <f>'NE-FLSH'!M13</f>
        <v>172796928.76049489</v>
      </c>
      <c r="F13" s="60">
        <f>NE_GL!D13</f>
        <v>70923796</v>
      </c>
      <c r="G13" s="38">
        <f>NE_GL!E13</f>
        <v>147978095</v>
      </c>
      <c r="H13" s="60">
        <f t="shared" ref="H13:I15" si="0">F13-D13</f>
        <v>-13898800</v>
      </c>
      <c r="I13" s="38">
        <f t="shared" si="0"/>
        <v>-24818833.760494888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9846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200448837</v>
      </c>
      <c r="E16" s="39">
        <f t="shared" si="1"/>
        <v>377291614.76049489</v>
      </c>
      <c r="F16" s="61">
        <f t="shared" si="1"/>
        <v>194986179</v>
      </c>
      <c r="G16" s="39">
        <f t="shared" si="1"/>
        <v>399522010.20000005</v>
      </c>
      <c r="H16" s="61">
        <f t="shared" si="1"/>
        <v>-5462658</v>
      </c>
      <c r="I16" s="39">
        <f t="shared" si="1"/>
        <v>22230395.439505167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-114171418</v>
      </c>
      <c r="E19" s="66">
        <f>'NE-FLSH'!M19</f>
        <v>-205822962</v>
      </c>
      <c r="F19" s="60">
        <f>NE_GL!D19</f>
        <v>-119302634</v>
      </c>
      <c r="G19" s="38">
        <f>NE_GL!E19</f>
        <v>-226419489.44999999</v>
      </c>
      <c r="H19" s="60">
        <f>F19-D19</f>
        <v>-5131216</v>
      </c>
      <c r="I19" s="38">
        <f>G19-E19</f>
        <v>-20596527.449999988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8475325.2800000012</v>
      </c>
      <c r="H20" s="60">
        <f>F20-D20</f>
        <v>0</v>
      </c>
      <c r="I20" s="38">
        <f>G20-E20</f>
        <v>8475325.2800000012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-75996667</v>
      </c>
      <c r="E21" s="66">
        <f>'NE-FLSH'!M21</f>
        <v>-158370293</v>
      </c>
      <c r="F21" s="60">
        <f>NE_GL!D21</f>
        <v>-69466461</v>
      </c>
      <c r="G21" s="38">
        <f>NE_GL!E21</f>
        <v>-145653791</v>
      </c>
      <c r="H21" s="60">
        <f t="shared" ref="H21:I23" si="2">F21-D21</f>
        <v>6530206</v>
      </c>
      <c r="I21" s="38">
        <f t="shared" si="2"/>
        <v>12716502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894213</v>
      </c>
      <c r="E23" s="66">
        <f>'NE-FLSH'!M23</f>
        <v>1720010</v>
      </c>
      <c r="F23" s="60">
        <f>NE_GL!D23</f>
        <v>1259837</v>
      </c>
      <c r="G23" s="38">
        <f>NE_GL!E23</f>
        <v>2226131.9790000003</v>
      </c>
      <c r="H23" s="60">
        <f t="shared" si="2"/>
        <v>365624</v>
      </c>
      <c r="I23" s="38">
        <f t="shared" si="2"/>
        <v>506121.97900000028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-189273872</v>
      </c>
      <c r="E24" s="39">
        <f t="shared" si="3"/>
        <v>-362473245</v>
      </c>
      <c r="F24" s="61">
        <f t="shared" si="3"/>
        <v>-187509258</v>
      </c>
      <c r="G24" s="39">
        <f t="shared" si="3"/>
        <v>-361371823.19099998</v>
      </c>
      <c r="H24" s="61">
        <f t="shared" si="3"/>
        <v>1764614</v>
      </c>
      <c r="I24" s="39">
        <f t="shared" si="3"/>
        <v>1101421.8090000134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-978794</v>
      </c>
      <c r="E27" s="66">
        <f>'NE-FLSH'!M27</f>
        <v>-1772939</v>
      </c>
      <c r="F27" s="60">
        <f>NE_GL!D27</f>
        <v>9657096</v>
      </c>
      <c r="G27" s="38">
        <f>NE_GL!E27</f>
        <v>17557451.59</v>
      </c>
      <c r="H27" s="60">
        <f>F27-D27</f>
        <v>10635890</v>
      </c>
      <c r="I27" s="38">
        <f>G27-E27</f>
        <v>19330390.59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1476461</v>
      </c>
      <c r="E28" s="66">
        <f>'NE-FLSH'!M28</f>
        <v>2857245</v>
      </c>
      <c r="F28" s="60">
        <f>NE_GL!D28</f>
        <v>-4219301</v>
      </c>
      <c r="G28" s="38">
        <f>NE_GL!E28</f>
        <v>-7858592.4499999993</v>
      </c>
      <c r="H28" s="60">
        <f>F28-D28</f>
        <v>-5695762</v>
      </c>
      <c r="I28" s="38">
        <f>G28-E28</f>
        <v>-10715837.449999999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497667</v>
      </c>
      <c r="E29" s="70">
        <f t="shared" si="4"/>
        <v>1084306</v>
      </c>
      <c r="F29" s="69">
        <f t="shared" si="4"/>
        <v>5437795</v>
      </c>
      <c r="G29" s="70">
        <f t="shared" si="4"/>
        <v>9698859.1400000006</v>
      </c>
      <c r="H29" s="69">
        <f t="shared" si="4"/>
        <v>4940128</v>
      </c>
      <c r="I29" s="70">
        <f t="shared" si="4"/>
        <v>8614553.1400000006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160916</v>
      </c>
      <c r="E32" s="66">
        <f>'NE-FLSH'!M32</f>
        <v>310946</v>
      </c>
      <c r="F32" s="60">
        <f>NE_GL!D32</f>
        <v>-198384</v>
      </c>
      <c r="G32" s="38">
        <f>NE_GL!E32</f>
        <v>-350544.30399999983</v>
      </c>
      <c r="H32" s="60">
        <f>F32-D32</f>
        <v>-359300</v>
      </c>
      <c r="I32" s="38">
        <f>G32-E32</f>
        <v>-661490.30399999977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92358</v>
      </c>
      <c r="E33" s="66">
        <f>'NE-FLSH'!M33</f>
        <v>138835.47962299478</v>
      </c>
      <c r="F33" s="60">
        <f>NE_GL!D33</f>
        <v>-81918</v>
      </c>
      <c r="G33" s="38">
        <f>NE_GL!E33</f>
        <v>-236309.39</v>
      </c>
      <c r="H33" s="60">
        <f t="shared" ref="H33:I35" si="5">F33-D33</f>
        <v>-174276</v>
      </c>
      <c r="I33" s="38">
        <f t="shared" si="5"/>
        <v>-375144.8696229948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370827</v>
      </c>
      <c r="E34" s="66">
        <f>'NE-FLSH'!M34</f>
        <v>681979</v>
      </c>
      <c r="F34" s="60">
        <f>NE_GL!D34</f>
        <v>280120</v>
      </c>
      <c r="G34" s="38">
        <f>NE_GL!E34</f>
        <v>514229.76000000001</v>
      </c>
      <c r="H34" s="60">
        <f t="shared" si="5"/>
        <v>-90707</v>
      </c>
      <c r="I34" s="38">
        <f t="shared" si="5"/>
        <v>-167749.24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-296839</v>
      </c>
      <c r="E35" s="66">
        <f>'NE-FLSH'!M35</f>
        <v>-557042</v>
      </c>
      <c r="F35" s="60">
        <f>NE_GL!D35</f>
        <v>-33000</v>
      </c>
      <c r="G35" s="38">
        <f>NE_GL!E35</f>
        <v>-56931.01</v>
      </c>
      <c r="H35" s="60">
        <f t="shared" si="5"/>
        <v>263839</v>
      </c>
      <c r="I35" s="38">
        <f t="shared" si="5"/>
        <v>500110.99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327262</v>
      </c>
      <c r="E36" s="39">
        <f t="shared" si="6"/>
        <v>574718.47962299478</v>
      </c>
      <c r="F36" s="61">
        <f t="shared" si="6"/>
        <v>-33182</v>
      </c>
      <c r="G36" s="39">
        <f t="shared" si="6"/>
        <v>-129554.9439999999</v>
      </c>
      <c r="H36" s="61">
        <f t="shared" si="6"/>
        <v>-360444</v>
      </c>
      <c r="I36" s="39">
        <f t="shared" si="6"/>
        <v>-704273.42362299445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888159</v>
      </c>
      <c r="E39" s="66">
        <f>'NE-FLSH'!M39</f>
        <v>1591242</v>
      </c>
      <c r="F39" s="60">
        <f>NE_GL!D39</f>
        <v>-53792</v>
      </c>
      <c r="G39" s="38">
        <f>NE_GL!E39</f>
        <v>-159016.1</v>
      </c>
      <c r="H39" s="60">
        <f t="shared" ref="H39:I41" si="7">F39-D39</f>
        <v>-941951</v>
      </c>
      <c r="I39" s="38">
        <f t="shared" si="7"/>
        <v>-1750258.1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-13695957</v>
      </c>
      <c r="E40" s="66">
        <f>'NE-FLSH'!M40</f>
        <v>-14078658</v>
      </c>
      <c r="F40" s="60">
        <f>NE_GL!D40</f>
        <v>-12506825</v>
      </c>
      <c r="G40" s="38">
        <f>NE_GL!E40</f>
        <v>-28375508.440000005</v>
      </c>
      <c r="H40" s="60">
        <f t="shared" si="7"/>
        <v>1189132</v>
      </c>
      <c r="I40" s="38">
        <f t="shared" si="7"/>
        <v>-14296850.440000005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-13695957</v>
      </c>
      <c r="E42" s="70">
        <f t="shared" si="8"/>
        <v>-14078658</v>
      </c>
      <c r="F42" s="69">
        <f t="shared" si="8"/>
        <v>-12506825</v>
      </c>
      <c r="G42" s="70">
        <f t="shared" si="8"/>
        <v>-28096882.440000005</v>
      </c>
      <c r="H42" s="69">
        <f t="shared" si="8"/>
        <v>1189132</v>
      </c>
      <c r="I42" s="70">
        <f t="shared" si="8"/>
        <v>-14018224.440000005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-12807798</v>
      </c>
      <c r="E43" s="39">
        <f t="shared" si="9"/>
        <v>-12487416</v>
      </c>
      <c r="F43" s="61">
        <f t="shared" si="9"/>
        <v>-12560617</v>
      </c>
      <c r="G43" s="39">
        <f t="shared" si="9"/>
        <v>-28255898.540000007</v>
      </c>
      <c r="H43" s="61">
        <f t="shared" si="9"/>
        <v>247181</v>
      </c>
      <c r="I43" s="39">
        <f t="shared" si="9"/>
        <v>-15768482.540000005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927904</v>
      </c>
      <c r="E49" s="66">
        <f>'NE-FLSH'!M49</f>
        <v>1694569.7466751307</v>
      </c>
      <c r="F49" s="60">
        <f>NE_GL!D49</f>
        <v>-320917</v>
      </c>
      <c r="G49" s="38">
        <f>NE_GL!E49</f>
        <v>-567852.98899999971</v>
      </c>
      <c r="H49" s="60">
        <f>F49-D49</f>
        <v>-1248821</v>
      </c>
      <c r="I49" s="38">
        <f>G49-E49</f>
        <v>-2262422.7356751305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-894213</v>
      </c>
      <c r="E51" s="66">
        <f>'NE-FLSH'!M51</f>
        <v>-1831541.7040676132</v>
      </c>
      <c r="F51" s="60">
        <f>NE_GL!D51</f>
        <v>-1701259</v>
      </c>
      <c r="G51" s="38">
        <f>NE_GL!E51</f>
        <v>-2226131.9790000003</v>
      </c>
      <c r="H51" s="60">
        <f>F51-D51</f>
        <v>-807046</v>
      </c>
      <c r="I51" s="38">
        <f>G51-E51</f>
        <v>-394590.27493238705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-1952872</v>
      </c>
      <c r="F54" s="60">
        <f>NE_GL!D54</f>
        <v>-66624562</v>
      </c>
      <c r="G54" s="38">
        <f>NE_GL!E54</f>
        <v>-1623965.29</v>
      </c>
      <c r="H54" s="60">
        <f>F54-D54</f>
        <v>-66624562</v>
      </c>
      <c r="I54" s="38">
        <f>G54-E54</f>
        <v>328906.70999999996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-12941863</v>
      </c>
      <c r="F55" s="60">
        <f>NE_GL!D55</f>
        <v>0</v>
      </c>
      <c r="G55" s="38">
        <f>NE_GL!E55</f>
        <v>-15397685.619999999</v>
      </c>
      <c r="H55" s="60">
        <f>F55-D55</f>
        <v>0</v>
      </c>
      <c r="I55" s="38">
        <f>G55-E55</f>
        <v>-2455822.6199999992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-14894735</v>
      </c>
      <c r="F56" s="61">
        <f t="shared" si="10"/>
        <v>-66624562</v>
      </c>
      <c r="G56" s="39">
        <f t="shared" si="10"/>
        <v>-17021650.91</v>
      </c>
      <c r="H56" s="61">
        <f t="shared" si="10"/>
        <v>-66624562</v>
      </c>
      <c r="I56" s="39">
        <f t="shared" si="10"/>
        <v>-2126915.9099999992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-133947.92000000001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-133947.92000000001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133947.92000000001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182067.92</v>
      </c>
      <c r="F64" s="60">
        <f>NE_GL!D64</f>
        <v>0</v>
      </c>
      <c r="G64" s="38">
        <f>NE_GL!E64</f>
        <v>0</v>
      </c>
      <c r="H64" s="60">
        <f>F64-D64</f>
        <v>0</v>
      </c>
      <c r="I64" s="38">
        <f>G64-E64</f>
        <v>-182067.92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-182067.92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-3892111</v>
      </c>
      <c r="F70" s="60">
        <f>NE_GL!D70</f>
        <v>0</v>
      </c>
      <c r="G70" s="38">
        <f>NE_GL!E70</f>
        <v>-11762935.85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-7870825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-11762936</v>
      </c>
      <c r="F72" s="69">
        <f t="shared" si="13"/>
        <v>0</v>
      </c>
      <c r="G72" s="70">
        <f t="shared" si="13"/>
        <v>-11762935.85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10703637</v>
      </c>
      <c r="F74" s="60">
        <f>NE_GL!D74</f>
        <v>0</v>
      </c>
      <c r="G74" s="38">
        <f>NE_GL!E74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191499.5</v>
      </c>
      <c r="F75" s="60">
        <f>NE_GL!D75</f>
        <v>0</v>
      </c>
      <c r="G75" s="38">
        <f>NE_GL!E75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12201070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-12201070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152798.017028186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-1568146</v>
      </c>
      <c r="F81" s="60">
        <f>NE_GL!D81</f>
        <v>0</v>
      </c>
      <c r="G81" s="38">
        <f>NE_GL!E81</f>
        <v>646621.32999999996</v>
      </c>
      <c r="H81" s="60">
        <f>F81-D81</f>
        <v>0</v>
      </c>
      <c r="I81" s="38">
        <f>G81-E81</f>
        <v>2214767.33</v>
      </c>
    </row>
    <row r="82" spans="1:9" s="149" customFormat="1" ht="20.25" customHeight="1" thickBot="1" x14ac:dyDescent="0.25">
      <c r="A82" s="195"/>
      <c r="B82" s="196"/>
      <c r="C82" s="197" t="s">
        <v>83</v>
      </c>
      <c r="D82" s="117">
        <f>D16+D24+D29+D36+D43+D45+D47+D49</f>
        <v>120000</v>
      </c>
      <c r="E82" s="118">
        <f>SUM(E72:E81)+E16+E24+E29+E36+E43+E45+E47+E49+E51+E56+E61+E66</f>
        <v>686320.74475360289</v>
      </c>
      <c r="F82" s="117">
        <f>F16+F24+F29+F36+F43+F45+F47+F49</f>
        <v>0</v>
      </c>
      <c r="G82" s="118">
        <f>SUM(G72:G81)+G16+G24+G29+G36+G43+G45+G47+G49+G51+G56+G61+G66</f>
        <v>-1736842.2729999442</v>
      </c>
      <c r="H82" s="117">
        <f>H16+H24+H29+H36+H43+H45+H47+H49</f>
        <v>-120000</v>
      </c>
      <c r="I82" s="118">
        <f>SUM(I72:I81)+I16+I24+I29+I36+I43+I45+I47+I49+I51+I56+I61+I66</f>
        <v>-2423163.0177535191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'NE-FLSH'!L86</f>
        <v>0</v>
      </c>
      <c r="E86" s="182">
        <f>'NE-FLSH'!M86</f>
        <v>97571</v>
      </c>
      <c r="F86" s="182">
        <f>NE_GL!D86</f>
        <v>0</v>
      </c>
      <c r="G86" s="182">
        <f>NE_GL!E86</f>
        <v>97571.85</v>
      </c>
      <c r="H86" s="182">
        <f t="shared" ref="H86:I88" si="15">F86-D86</f>
        <v>0</v>
      </c>
      <c r="I86" s="182">
        <f t="shared" si="15"/>
        <v>0.85000000000582077</v>
      </c>
    </row>
    <row r="87" spans="1:9" x14ac:dyDescent="0.2">
      <c r="A87" s="181"/>
      <c r="B87" s="3"/>
      <c r="C87" s="10" t="s">
        <v>75</v>
      </c>
      <c r="D87" s="183">
        <f>'NE-FLSH'!L87</f>
        <v>0</v>
      </c>
      <c r="E87" s="183">
        <f>'NE-FLSH'!M87</f>
        <v>0</v>
      </c>
      <c r="F87" s="183">
        <f>NE_GL!D87</f>
        <v>0</v>
      </c>
      <c r="G87" s="183">
        <f>NE_GL!E87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'NE-FLSH'!L88</f>
        <v>0</v>
      </c>
      <c r="E88" s="184">
        <f>'NE-FLSH'!M88</f>
        <v>-201905</v>
      </c>
      <c r="F88" s="184">
        <f>NE_GL!D88</f>
        <v>0</v>
      </c>
      <c r="G88" s="184">
        <f>NE_GL!E88</f>
        <v>-202000</v>
      </c>
      <c r="H88" s="184">
        <f t="shared" si="15"/>
        <v>0</v>
      </c>
      <c r="I88" s="184">
        <f t="shared" si="15"/>
        <v>-95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-104334</v>
      </c>
      <c r="F89" s="188">
        <f t="shared" si="16"/>
        <v>0</v>
      </c>
      <c r="G89" s="188">
        <f t="shared" si="16"/>
        <v>-104428.15</v>
      </c>
      <c r="H89" s="188">
        <f t="shared" si="16"/>
        <v>0</v>
      </c>
      <c r="I89" s="188">
        <f t="shared" si="16"/>
        <v>-94.149999999994179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120000</v>
      </c>
      <c r="E91" s="188">
        <f t="shared" si="17"/>
        <v>581986.74475360289</v>
      </c>
      <c r="F91" s="188">
        <f t="shared" si="17"/>
        <v>0</v>
      </c>
      <c r="G91" s="188">
        <f t="shared" si="17"/>
        <v>-1841270.4229999441</v>
      </c>
      <c r="H91" s="188">
        <f t="shared" si="17"/>
        <v>-120000</v>
      </c>
      <c r="I91" s="188">
        <f t="shared" si="17"/>
        <v>-2423257.167753519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9140188</v>
      </c>
      <c r="E11" s="66">
        <f>'SE-LRC-FLSH'!M11</f>
        <v>16844935</v>
      </c>
      <c r="F11" s="60">
        <f>'SE-LRC-GL'!D11</f>
        <v>8760907</v>
      </c>
      <c r="G11" s="38">
        <f>'SE-LRC-GL'!E11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4217731</v>
      </c>
      <c r="E13" s="66">
        <f>'SE-LRC-FLSH'!M13</f>
        <v>7863361.2395051038</v>
      </c>
      <c r="F13" s="60">
        <f>'SE-LRC-GL'!D13</f>
        <v>0</v>
      </c>
      <c r="G13" s="38">
        <f>'SE-LRC-GL'!E13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-2320411</v>
      </c>
      <c r="E19" s="66">
        <f>'SE-LRC-FLSH'!M19</f>
        <v>-4147235</v>
      </c>
      <c r="F19" s="60">
        <f>'SE-LRC-GL'!D19</f>
        <v>-2123880</v>
      </c>
      <c r="G19" s="38">
        <f>'SE-LRC-GL'!E19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-9663424</v>
      </c>
      <c r="E21" s="66">
        <f>'SE-LRC-FLSH'!M21</f>
        <v>-17568887</v>
      </c>
      <c r="F21" s="60">
        <f>'SE-LRC-GL'!D21</f>
        <v>0</v>
      </c>
      <c r="G21" s="38">
        <f>'SE-LRC-GL'!E21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41815</v>
      </c>
      <c r="G23" s="38">
        <f>'SE-LRC-GL'!E23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978794</v>
      </c>
      <c r="E27" s="66">
        <f>'SE-LRC-FLSH'!M27</f>
        <v>1772939</v>
      </c>
      <c r="F27" s="60">
        <f>'SE-LRC-GL'!D27</f>
        <v>4176979</v>
      </c>
      <c r="G27" s="38">
        <f>'SE-LRC-GL'!E27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-1476461</v>
      </c>
      <c r="E28" s="66">
        <f>'SE-LRC-FLSH'!M28</f>
        <v>-2857245</v>
      </c>
      <c r="F28" s="60">
        <f>'SE-LRC-GL'!D28</f>
        <v>-9713655</v>
      </c>
      <c r="G28" s="38">
        <f>'SE-LRC-GL'!E28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372334</v>
      </c>
      <c r="E32" s="66">
        <f>'SE-LRC-FLSH'!M32</f>
        <v>689049</v>
      </c>
      <c r="F32" s="60">
        <f>'SE-LRC-GL'!D32</f>
        <v>-39120</v>
      </c>
      <c r="G32" s="38">
        <f>'SE-LRC-GL'!E32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-440847</v>
      </c>
      <c r="E33" s="66">
        <f>'SE-LRC-FLSH'!M33</f>
        <v>-812591</v>
      </c>
      <c r="F33" s="60">
        <f>'SE-LRC-GL'!D33</f>
        <v>0</v>
      </c>
      <c r="G33" s="38">
        <f>'SE-LRC-GL'!E33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0</v>
      </c>
      <c r="E39" s="66">
        <f>'SE-LRC-FLSH'!M39</f>
        <v>0</v>
      </c>
      <c r="F39" s="60">
        <f>'SE-LRC-GL'!D39</f>
        <v>784843</v>
      </c>
      <c r="G39" s="38">
        <f>'SE-LRC-GL'!E39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0</v>
      </c>
      <c r="E40" s="66">
        <f>'SE-LRC-FLSH'!M40</f>
        <v>0</v>
      </c>
      <c r="F40" s="60">
        <f>'SE-LRC-GL'!D40</f>
        <v>-2004147</v>
      </c>
      <c r="G40" s="38">
        <f>'SE-LRC-GL'!E40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8416</v>
      </c>
      <c r="G45" s="38">
        <f>'SE-LRC-GL'!E45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82416</v>
      </c>
      <c r="G47" s="38">
        <f>'SE-LRC-GL'!E47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-927904</v>
      </c>
      <c r="E49" s="66">
        <f>'SE-LRC-FLSH'!M49</f>
        <v>-1694569.7466751307</v>
      </c>
      <c r="F49" s="60">
        <f>'SE-LRC-GL'!D49</f>
        <v>25426</v>
      </c>
      <c r="G49" s="38">
        <f>'SE-LRC-GL'!E49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-41815</v>
      </c>
      <c r="G51" s="38">
        <f>'SE-LRC-GL'!E51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-43765</v>
      </c>
      <c r="G54" s="38">
        <f>'SE-LRC-GL'!E54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2728781</v>
      </c>
      <c r="G59" s="38">
        <f>'SE-LRC-GL'!E59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133947.92000000001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-24844693</v>
      </c>
      <c r="G64" s="38">
        <f>'SE-LRC-GL'!E64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23625389</v>
      </c>
      <c r="G65" s="38">
        <f>'SE-LRC-GL'!E65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-120000</v>
      </c>
      <c r="E82" s="72">
        <f>SUM(E72:E81)+E16+E24+E29+E36+E43+E45+E47+E49+E51+E56+E61+E66</f>
        <v>-2776295.5871700263</v>
      </c>
      <c r="F82" s="71">
        <f>F16+F24+F29+F36+F43+F45+F47+F49</f>
        <v>0</v>
      </c>
      <c r="G82" s="72">
        <f>SUM(G72:G81)+G16+G24+G29+G36+G43+G45+G47+G49+G51+G56+G61+G66</f>
        <v>209708.18199999374</v>
      </c>
      <c r="H82" s="71">
        <f>H16+H24+H29+H36+H43+H45+H47+H49</f>
        <v>120000</v>
      </c>
      <c r="I82" s="72">
        <f>SUM(I72:I81)+I16+I24+I29+I36+I43+I45+I47+I49+I51+I56+I61+I66</f>
        <v>2986003.7691700207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9140188</v>
      </c>
      <c r="E11" s="66">
        <f>'SE-CON-FLSH'!M11</f>
        <v>16844935</v>
      </c>
      <c r="F11" s="60">
        <f>'SE-CON-GL '!D11</f>
        <v>8760907</v>
      </c>
      <c r="G11" s="38">
        <f>'SE-CON-GL 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4217731</v>
      </c>
      <c r="E13" s="66">
        <f>'SE-CON-FLSH'!M13</f>
        <v>7863361.2395051038</v>
      </c>
      <c r="F13" s="60">
        <f>'SE-CON-GL '!D13</f>
        <v>0</v>
      </c>
      <c r="G13" s="38">
        <f>'SE-CON-GL 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-2320411</v>
      </c>
      <c r="E19" s="66">
        <f>'SE-CON-FLSH'!M19</f>
        <v>-4147235</v>
      </c>
      <c r="F19" s="60">
        <f>'SE-CON-GL '!D19</f>
        <v>-2123880</v>
      </c>
      <c r="G19" s="38">
        <f>'SE-CON-GL 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-9663424</v>
      </c>
      <c r="E21" s="66">
        <f>'SE-CON-FLSH'!M21</f>
        <v>-17568887</v>
      </c>
      <c r="F21" s="60">
        <f>'SE-CON-GL '!D21</f>
        <v>0</v>
      </c>
      <c r="G21" s="38">
        <f>'SE-CON-GL 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41815</v>
      </c>
      <c r="G23" s="38">
        <f>'SE-CON-GL 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978794</v>
      </c>
      <c r="E27" s="66">
        <f>'SE-CON-FLSH'!M27</f>
        <v>1772939</v>
      </c>
      <c r="F27" s="60">
        <f>'SE-CON-GL '!D27</f>
        <v>4176979</v>
      </c>
      <c r="G27" s="38">
        <f>'SE-CON-GL 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-1476461</v>
      </c>
      <c r="E28" s="66">
        <f>'SE-CON-FLSH'!M28</f>
        <v>-2857245</v>
      </c>
      <c r="F28" s="60">
        <f>'SE-CON-GL '!D28</f>
        <v>-9713655</v>
      </c>
      <c r="G28" s="38">
        <f>'SE-CON-GL 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372334</v>
      </c>
      <c r="E32" s="66">
        <f>'SE-CON-FLSH'!M32</f>
        <v>689049</v>
      </c>
      <c r="F32" s="60">
        <f>'SE-CON-GL '!D32</f>
        <v>-39120</v>
      </c>
      <c r="G32" s="38">
        <f>'SE-CON-GL 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-440847</v>
      </c>
      <c r="E33" s="66">
        <f>'SE-CON-FLSH'!M33</f>
        <v>-812591</v>
      </c>
      <c r="F33" s="60">
        <f>'SE-CON-GL '!D33</f>
        <v>0</v>
      </c>
      <c r="G33" s="38">
        <f>'SE-CON-GL 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0</v>
      </c>
      <c r="E39" s="66">
        <f>'SE-CON-FLSH'!M39</f>
        <v>0</v>
      </c>
      <c r="F39" s="60">
        <f>'SE-CON-GL '!D39</f>
        <v>784843</v>
      </c>
      <c r="G39" s="38">
        <f>'SE-CON-GL 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0</v>
      </c>
      <c r="E40" s="66">
        <f>'SE-CON-FLSH'!M40</f>
        <v>0</v>
      </c>
      <c r="F40" s="60">
        <f>'SE-CON-GL '!D40</f>
        <v>-2004147</v>
      </c>
      <c r="G40" s="38">
        <f>'SE-CON-GL 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8416</v>
      </c>
      <c r="G45" s="38">
        <f>'SE-CON-GL 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82416</v>
      </c>
      <c r="G47" s="38">
        <f>'SE-CON-GL 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-927904</v>
      </c>
      <c r="E49" s="66">
        <f>'SE-CON-FLSH'!M49</f>
        <v>-1694569.7466751307</v>
      </c>
      <c r="F49" s="60">
        <f>'SE-CON-GL '!D49</f>
        <v>25426</v>
      </c>
      <c r="G49" s="38">
        <f>'SE-CON-GL 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-41815</v>
      </c>
      <c r="G51" s="38">
        <f>'SE-CON-GL 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-43765</v>
      </c>
      <c r="G54" s="38">
        <f>'SE-CON-GL 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2728781</v>
      </c>
      <c r="G59" s="38">
        <f>'SE-CON-GL 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133947.92000000001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-24844693</v>
      </c>
      <c r="G64" s="38">
        <f>'SE-CON-GL 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23625389</v>
      </c>
      <c r="G65" s="38">
        <f>'SE-CON-GL 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-120000</v>
      </c>
      <c r="E82" s="118">
        <f>SUM(E72:E81)+E16+E24+E29+E36+E43+E45+E47+E49+E51+E56+E61+E66</f>
        <v>-2776295.5871700263</v>
      </c>
      <c r="F82" s="117">
        <f>F16+F24+F29+F36+F43+F45+F47+F49</f>
        <v>0</v>
      </c>
      <c r="G82" s="118">
        <f>SUM(G72:G81)+G16+G24+G29+G36+G43+G45+G47+G49+G51+G56+G61+G66</f>
        <v>209708.18199999374</v>
      </c>
      <c r="H82" s="117">
        <f>H16+H24+H29+H36+H43+H45+H47+H49</f>
        <v>120000</v>
      </c>
      <c r="I82" s="118">
        <f>SUM(I72:I81)+I16+I24+I29+I36+I43+I45+I47+I49+I51+I56+I61+I66</f>
        <v>2986003.7691700207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E89" sqref="E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130973369</v>
      </c>
      <c r="E11" s="66">
        <f>+'EAST-CON-FLSH'!E11</f>
        <v>227720275</v>
      </c>
      <c r="F11" s="60">
        <f>+'EAST-CON-GL'!D11</f>
        <v>140637945</v>
      </c>
      <c r="G11" s="38">
        <f>+'EAST-CON-GL'!E11</f>
        <v>296133441.90999997</v>
      </c>
      <c r="H11" s="60">
        <f>F11-D11</f>
        <v>9664576</v>
      </c>
      <c r="I11" s="38">
        <f>G11-E11</f>
        <v>68413166.909999967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103119290</v>
      </c>
      <c r="E13" s="66">
        <f>+'EAST-CON-FLSH'!E13</f>
        <v>212064159</v>
      </c>
      <c r="F13" s="60">
        <f>+'EAST-CON-GL'!D13</f>
        <v>85005030</v>
      </c>
      <c r="G13" s="38">
        <f>+'EAST-CON-GL'!E13</f>
        <v>179372400</v>
      </c>
      <c r="H13" s="60">
        <f t="shared" ref="H13:I15" si="0">F13-D13</f>
        <v>-18114260</v>
      </c>
      <c r="I13" s="38">
        <f t="shared" si="0"/>
        <v>-32691759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9846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234092659</v>
      </c>
      <c r="E16" s="39">
        <f t="shared" si="1"/>
        <v>439794280</v>
      </c>
      <c r="F16" s="61">
        <f t="shared" si="1"/>
        <v>225642975</v>
      </c>
      <c r="G16" s="39">
        <f t="shared" si="1"/>
        <v>459145659.47999996</v>
      </c>
      <c r="H16" s="61">
        <f t="shared" si="1"/>
        <v>-8449684</v>
      </c>
      <c r="I16" s="39">
        <f t="shared" si="1"/>
        <v>19351379.479999967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-119040367</v>
      </c>
      <c r="E19" s="66">
        <f>+'EAST-CON-FLSH'!E19</f>
        <v>-211355016</v>
      </c>
      <c r="F19" s="60">
        <f>+'EAST-CON-GL'!D19</f>
        <v>-125522967</v>
      </c>
      <c r="G19" s="38">
        <f>+'EAST-CON-GL'!E19</f>
        <v>-234152048.22999996</v>
      </c>
      <c r="H19" s="60">
        <f>F19-D19</f>
        <v>-6482600</v>
      </c>
      <c r="I19" s="38">
        <f>G19-E19</f>
        <v>-22797032.229999959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7080782.96</v>
      </c>
      <c r="H20" s="60">
        <f>F20-D20</f>
        <v>0</v>
      </c>
      <c r="I20" s="38">
        <f>G20-E20</f>
        <v>7080782.96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-102142866</v>
      </c>
      <c r="E21" s="66">
        <f>+'EAST-CON-FLSH'!E21</f>
        <v>-211403649</v>
      </c>
      <c r="F21" s="60">
        <f>+'EAST-CON-GL'!D21</f>
        <v>-85489248</v>
      </c>
      <c r="G21" s="38">
        <f>+'EAST-CON-GL'!E21</f>
        <v>-180295150</v>
      </c>
      <c r="H21" s="60">
        <f t="shared" ref="H21:I23" si="2">F21-D21</f>
        <v>16653618</v>
      </c>
      <c r="I21" s="38">
        <f t="shared" si="2"/>
        <v>31108499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1335635</v>
      </c>
      <c r="E23" s="66">
        <f>+'EAST-CON-FLSH'!E23</f>
        <v>2560690</v>
      </c>
      <c r="F23" s="60">
        <f>+'EAST-CON-GL'!D23</f>
        <v>1301700</v>
      </c>
      <c r="G23" s="38">
        <f>+'EAST-CON-GL'!E23</f>
        <v>2302692.6630000002</v>
      </c>
      <c r="H23" s="60">
        <f t="shared" si="2"/>
        <v>-33935</v>
      </c>
      <c r="I23" s="38">
        <f t="shared" si="2"/>
        <v>-257997.33699999982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-219847598</v>
      </c>
      <c r="E24" s="39">
        <f t="shared" si="3"/>
        <v>-420197975</v>
      </c>
      <c r="F24" s="61">
        <f t="shared" si="3"/>
        <v>-209710515</v>
      </c>
      <c r="G24" s="39">
        <f t="shared" si="3"/>
        <v>-405063722.60699999</v>
      </c>
      <c r="H24" s="61">
        <f t="shared" si="3"/>
        <v>10137083</v>
      </c>
      <c r="I24" s="39">
        <f t="shared" si="3"/>
        <v>15134252.393000042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13834075</v>
      </c>
      <c r="G27" s="38">
        <f>+'EAST-CON-GL'!E27</f>
        <v>25347374.919999998</v>
      </c>
      <c r="H27" s="60">
        <f>F27-D27</f>
        <v>13834075</v>
      </c>
      <c r="I27" s="38">
        <f>G27-E27</f>
        <v>25347374.919999998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-13932956</v>
      </c>
      <c r="G28" s="38">
        <f>+'EAST-CON-GL'!E28</f>
        <v>-25520089.82</v>
      </c>
      <c r="H28" s="60">
        <f>F28-D28</f>
        <v>-13932956</v>
      </c>
      <c r="I28" s="38">
        <f>G28-E28</f>
        <v>-25520089.82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-98881</v>
      </c>
      <c r="G29" s="70">
        <f t="shared" si="4"/>
        <v>-172714.90000000224</v>
      </c>
      <c r="H29" s="69">
        <f t="shared" si="4"/>
        <v>-98881</v>
      </c>
      <c r="I29" s="70">
        <f t="shared" si="4"/>
        <v>-172714.90000000224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547746</v>
      </c>
      <c r="E32" s="66">
        <f>+'EAST-CON-FLSH'!E32</f>
        <v>1034025</v>
      </c>
      <c r="F32" s="60">
        <f>+'EAST-CON-GL'!D32</f>
        <v>-1430014</v>
      </c>
      <c r="G32" s="38">
        <f>+'EAST-CON-GL'!E32</f>
        <v>-2599041.8519999995</v>
      </c>
      <c r="H32" s="60">
        <f>F32-D32</f>
        <v>-1977760</v>
      </c>
      <c r="I32" s="38">
        <f>G32-E32</f>
        <v>-3633066.8519999995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-363186</v>
      </c>
      <c r="E33" s="66">
        <f>+'EAST-CON-FLSH'!E33</f>
        <v>-707041.52037700522</v>
      </c>
      <c r="F33" s="60">
        <f>+'EAST-CON-GL'!D33</f>
        <v>-80671</v>
      </c>
      <c r="G33" s="38">
        <f>+'EAST-CON-GL'!E33</f>
        <v>-234014.49</v>
      </c>
      <c r="H33" s="60">
        <f t="shared" ref="H33:I35" si="5">F33-D33</f>
        <v>282515</v>
      </c>
      <c r="I33" s="38">
        <f t="shared" si="5"/>
        <v>473027.03037700523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370827</v>
      </c>
      <c r="E34" s="66">
        <f>+'EAST-CON-FLSH'!E34</f>
        <v>681979</v>
      </c>
      <c r="F34" s="60">
        <f>+'EAST-CON-GL'!D34</f>
        <v>277215</v>
      </c>
      <c r="G34" s="38">
        <f>+'EAST-CON-GL'!E34</f>
        <v>508952.2</v>
      </c>
      <c r="H34" s="60">
        <f t="shared" si="5"/>
        <v>-93612</v>
      </c>
      <c r="I34" s="38">
        <f t="shared" si="5"/>
        <v>-173026.8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-296839</v>
      </c>
      <c r="E35" s="66">
        <f>+'EAST-CON-FLSH'!E35</f>
        <v>-557042</v>
      </c>
      <c r="F35" s="60">
        <f>+'EAST-CON-GL'!D35</f>
        <v>329575</v>
      </c>
      <c r="G35" s="38">
        <f>+'EAST-CON-GL'!E35</f>
        <v>-0.01</v>
      </c>
      <c r="H35" s="60">
        <f t="shared" si="5"/>
        <v>626414</v>
      </c>
      <c r="I35" s="38">
        <f t="shared" si="5"/>
        <v>557041.99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258548</v>
      </c>
      <c r="E36" s="39">
        <f t="shared" si="6"/>
        <v>451920.47962299478</v>
      </c>
      <c r="F36" s="61">
        <f t="shared" si="6"/>
        <v>-903895</v>
      </c>
      <c r="G36" s="39">
        <f t="shared" si="6"/>
        <v>-2324104.1519999988</v>
      </c>
      <c r="H36" s="61">
        <f t="shared" si="6"/>
        <v>-1162443</v>
      </c>
      <c r="I36" s="39">
        <f t="shared" si="6"/>
        <v>-2776024.6316229943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918123</v>
      </c>
      <c r="E39" s="66">
        <f>+'EAST-CON-FLSH'!E39</f>
        <v>1649672</v>
      </c>
      <c r="F39" s="60">
        <f>+'EAST-CON-GL'!D39</f>
        <v>845883</v>
      </c>
      <c r="G39" s="38">
        <f>+'EAST-CON-GL'!E39</f>
        <v>1663948.51</v>
      </c>
      <c r="H39" s="60">
        <f t="shared" ref="H39:I41" si="7">F39-D39</f>
        <v>-72240</v>
      </c>
      <c r="I39" s="38">
        <f t="shared" si="7"/>
        <v>14276.510000000009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-15421732</v>
      </c>
      <c r="E40" s="66">
        <f>+'EAST-CON-FLSH'!E40</f>
        <v>-14328999</v>
      </c>
      <c r="F40" s="60">
        <f>+'EAST-CON-GL'!D40</f>
        <v>-15620028</v>
      </c>
      <c r="G40" s="38">
        <f>+'EAST-CON-GL'!E40</f>
        <v>-34935753.039999999</v>
      </c>
      <c r="H40" s="60">
        <f t="shared" si="7"/>
        <v>-198296</v>
      </c>
      <c r="I40" s="38">
        <f t="shared" si="7"/>
        <v>-20606754.039999999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-15421732</v>
      </c>
      <c r="E42" s="70">
        <f t="shared" si="8"/>
        <v>-14328999</v>
      </c>
      <c r="F42" s="69">
        <f t="shared" si="8"/>
        <v>-15620028</v>
      </c>
      <c r="G42" s="70">
        <f t="shared" si="8"/>
        <v>-34657127.039999999</v>
      </c>
      <c r="H42" s="69">
        <f t="shared" si="8"/>
        <v>-198296</v>
      </c>
      <c r="I42" s="70">
        <f t="shared" si="8"/>
        <v>-20328128.039999999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-14503609</v>
      </c>
      <c r="E43" s="39">
        <f t="shared" si="9"/>
        <v>-12679327</v>
      </c>
      <c r="F43" s="61">
        <f t="shared" si="9"/>
        <v>-14774145</v>
      </c>
      <c r="G43" s="39">
        <f t="shared" si="9"/>
        <v>-32993178.529999997</v>
      </c>
      <c r="H43" s="61">
        <f t="shared" si="9"/>
        <v>-270536</v>
      </c>
      <c r="I43" s="39">
        <f t="shared" si="9"/>
        <v>-20313851.529999997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8416</v>
      </c>
      <c r="G45" s="38">
        <f>+'EAST-CON-GL'!E45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82416</v>
      </c>
      <c r="G47" s="38">
        <f>+'EAST-CON-GL'!E47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-246371</v>
      </c>
      <c r="G49" s="38">
        <f>+'EAST-CON-GL'!E49</f>
        <v>-1469833.007</v>
      </c>
      <c r="H49" s="60">
        <f>F49-D49</f>
        <v>-246371</v>
      </c>
      <c r="I49" s="38">
        <f>G49-E49</f>
        <v>-1469833.007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-1335635</v>
      </c>
      <c r="E51" s="66">
        <f>+'EAST-CON-FLSH'!E51</f>
        <v>-2672221.704067613</v>
      </c>
      <c r="F51" s="60">
        <f>+'EAST-CON-GL'!D51</f>
        <v>-1301700</v>
      </c>
      <c r="G51" s="38">
        <f>+'EAST-CON-GL'!E51</f>
        <v>-2302692.6630000002</v>
      </c>
      <c r="H51" s="60">
        <f>F51-D51</f>
        <v>33935</v>
      </c>
      <c r="I51" s="38">
        <f>G51-E51</f>
        <v>369529.04106761282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-2631543</v>
      </c>
      <c r="F54" s="60">
        <f>+'EAST-CON-GL'!D54</f>
        <v>-66722296</v>
      </c>
      <c r="G54" s="38">
        <f>+'EAST-CON-GL'!E54</f>
        <v>-2439993.7600000002</v>
      </c>
      <c r="H54" s="60">
        <f>F54-D54</f>
        <v>-66722296</v>
      </c>
      <c r="I54" s="38">
        <f>G54-E54</f>
        <v>191549.23999999976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-16962294</v>
      </c>
      <c r="F55" s="60">
        <f>+'EAST-CON-GL'!D55</f>
        <v>0</v>
      </c>
      <c r="G55" s="38">
        <f>+'EAST-CON-GL'!E55</f>
        <v>-15407791.84</v>
      </c>
      <c r="H55" s="60">
        <f>F55-D55</f>
        <v>0</v>
      </c>
      <c r="I55" s="38">
        <f>G55-E55</f>
        <v>1554502.1600000001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-19593837</v>
      </c>
      <c r="F56" s="61">
        <f t="shared" si="10"/>
        <v>-66722296</v>
      </c>
      <c r="G56" s="39">
        <f t="shared" si="10"/>
        <v>-17847785.600000001</v>
      </c>
      <c r="H56" s="61">
        <f t="shared" si="10"/>
        <v>-66722296</v>
      </c>
      <c r="I56" s="39">
        <f t="shared" si="10"/>
        <v>1746051.4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2728781</v>
      </c>
      <c r="G59" s="38">
        <f>+'EAST-CON-GL'!E59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139056.47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182067.92</v>
      </c>
      <c r="F64" s="60">
        <f>+'EAST-CON-GL'!D64</f>
        <v>-24844693</v>
      </c>
      <c r="G64" s="38">
        <f>+'EAST-CON-GL'!E64</f>
        <v>-2382164.67</v>
      </c>
      <c r="H64" s="60">
        <f>F64-D64</f>
        <v>-24844693</v>
      </c>
      <c r="I64" s="38">
        <f>G64-E64</f>
        <v>-2564232.59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23625389</v>
      </c>
      <c r="G65" s="38">
        <f>+'EAST-CON-GL'!E65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-182067.91999999993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-4046503</v>
      </c>
      <c r="F70" s="60">
        <f>+'EAST-CON-GL'!D70</f>
        <v>0</v>
      </c>
      <c r="G70" s="38">
        <f>+'EAST-CON-GL'!E70</f>
        <v>-11917327.85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-7870825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-11917328</v>
      </c>
      <c r="F72" s="69">
        <f t="shared" si="13"/>
        <v>0</v>
      </c>
      <c r="G72" s="70">
        <f t="shared" si="13"/>
        <v>-11917327.85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10703637</v>
      </c>
      <c r="F74" s="60">
        <f>+'EAST-CON-GL'!D74</f>
        <v>0</v>
      </c>
      <c r="G74" s="38">
        <f>+'EAST-CON-GL'!E74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191499.5</v>
      </c>
      <c r="F75" s="60">
        <f>+'EAST-CON-GL'!D75</f>
        <v>0</v>
      </c>
      <c r="G75" s="38">
        <f>+'EAST-CON-GL'!E75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16221501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-16221501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152798.017028186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-152798.017028186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-1540614</v>
      </c>
      <c r="F81" s="60">
        <f>+'EAST-CON-GL'!D81</f>
        <v>0</v>
      </c>
      <c r="G81" s="38">
        <f>+'EAST-CON-GL'!E81</f>
        <v>646621.32999999996</v>
      </c>
      <c r="H81" s="60">
        <f>F81-D81</f>
        <v>0</v>
      </c>
      <c r="I81" s="38">
        <f>G81-E81</f>
        <v>2187235.33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-2141591.842416415</v>
      </c>
      <c r="F82" s="117">
        <f>F16+F24+F29+F36+F43+F45+F47+F49</f>
        <v>0</v>
      </c>
      <c r="G82" s="118">
        <f>SUM(G72:G81)+G16+G24+G29+G36+G43+G45+G47+G49+G51+G56+G61+G66</f>
        <v>-4263914.5590000385</v>
      </c>
      <c r="H82" s="117">
        <f>H16+H24+H29+H36+H43+H45+H47+H49</f>
        <v>0</v>
      </c>
      <c r="I82" s="118">
        <f>SUM(I72:I81)+I16+I24+I29+I36+I43+I45+I47+I49+I51+I56+I61+I66</f>
        <v>-2122322.7165835584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-2141591.8424164234</v>
      </c>
      <c r="F84" s="31">
        <f>+'SE-EGM-VAR'!F82+'NE-VAR'!F82+'SE-LRC-VAR'!F82+BGC_VAR!F82</f>
        <v>0</v>
      </c>
      <c r="G84" s="31">
        <f>+'SE-EGM-VAR'!G82+'NE-VAR'!G82+'SE-LRC-VAR'!G82+BGC_VAR!G82</f>
        <v>-739073.87899994664</v>
      </c>
      <c r="H84" s="31">
        <f>+'SE-EGM-VAR'!H82+'NE-VAR'!H82+'SE-LRC-VAR'!H82+BGC_VAR!H82</f>
        <v>0</v>
      </c>
      <c r="I84" s="31">
        <f>+'SE-EGM-VAR'!I82+'NE-VAR'!I82+'SE-LRC-VAR'!I82+BGC_VAR!I82</f>
        <v>1402517.9634165033</v>
      </c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C89" sqref="C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17098949</v>
      </c>
      <c r="E11" s="66">
        <f>'TX-EGM-FLSH'!M11</f>
        <v>28555697</v>
      </c>
      <c r="F11" s="60">
        <f>'TX-EGM-GL'!D11</f>
        <v>21629865</v>
      </c>
      <c r="G11" s="38">
        <f>'TX-EGM-GL'!E11</f>
        <v>49223532.759999998</v>
      </c>
      <c r="H11" s="60">
        <f>F11-D11</f>
        <v>4530916</v>
      </c>
      <c r="I11" s="38">
        <f>G11-E11</f>
        <v>20667835.759999998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-13286761.860000001</v>
      </c>
      <c r="H12" s="60">
        <f>F12-D12</f>
        <v>0</v>
      </c>
      <c r="I12" s="38">
        <f>G12-E12</f>
        <v>-13286761.860000001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4617416</v>
      </c>
      <c r="E13" s="66">
        <f>'TX-EGM-FLSH'!M13</f>
        <v>8229331</v>
      </c>
      <c r="F13" s="60">
        <f>'TX-EGM-GL'!D13</f>
        <v>5503413</v>
      </c>
      <c r="G13" s="38">
        <f>'TX-EGM-GL'!E13</f>
        <v>9717449</v>
      </c>
      <c r="H13" s="60">
        <f t="shared" ref="H13:I15" si="0">F13-D13</f>
        <v>885997</v>
      </c>
      <c r="I13" s="38">
        <f t="shared" si="0"/>
        <v>1488118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21716365</v>
      </c>
      <c r="E16" s="39">
        <f t="shared" si="1"/>
        <v>36785028</v>
      </c>
      <c r="F16" s="61">
        <f t="shared" si="1"/>
        <v>27133278</v>
      </c>
      <c r="G16" s="39">
        <f t="shared" si="1"/>
        <v>45654219.899999999</v>
      </c>
      <c r="H16" s="61">
        <f t="shared" si="1"/>
        <v>5416913</v>
      </c>
      <c r="I16" s="39">
        <f t="shared" si="1"/>
        <v>8869191.8999999966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-29406560</v>
      </c>
      <c r="E19" s="66">
        <f>'TX-EGM-FLSH'!M19</f>
        <v>-50801150</v>
      </c>
      <c r="F19" s="60">
        <f>'TX-EGM-GL'!D19</f>
        <v>-21107005</v>
      </c>
      <c r="G19" s="38">
        <f>'TX-EGM-GL'!E19</f>
        <v>-44022337.370000005</v>
      </c>
      <c r="H19" s="60">
        <f>F19-D19</f>
        <v>8299555</v>
      </c>
      <c r="I19" s="38">
        <f>G19-E19</f>
        <v>6778812.6299999952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2318937.2800000003</v>
      </c>
      <c r="H20" s="60">
        <f>F20-D20</f>
        <v>0</v>
      </c>
      <c r="I20" s="38">
        <f>G20-E20</f>
        <v>2318937.2800000003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-3397073</v>
      </c>
      <c r="E21" s="66">
        <f>'TX-EGM-FLSH'!M21</f>
        <v>-6031878</v>
      </c>
      <c r="F21" s="60">
        <f>'TX-EGM-GL'!D21</f>
        <v>-4169082</v>
      </c>
      <c r="G21" s="38">
        <f>'TX-EGM-GL'!E21</f>
        <v>-7317489</v>
      </c>
      <c r="H21" s="60">
        <f t="shared" ref="H21:I23" si="2">F21-D21</f>
        <v>-772009</v>
      </c>
      <c r="I21" s="38">
        <f t="shared" si="2"/>
        <v>-1285611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9031</v>
      </c>
      <c r="G23" s="38">
        <f>'TX-EGM-GL'!E23</f>
        <v>15492.084000000001</v>
      </c>
      <c r="H23" s="60">
        <f t="shared" si="2"/>
        <v>9031</v>
      </c>
      <c r="I23" s="38">
        <f t="shared" si="2"/>
        <v>15492.084000000001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-32803633</v>
      </c>
      <c r="E24" s="39">
        <f t="shared" si="3"/>
        <v>-56833028</v>
      </c>
      <c r="F24" s="61">
        <f t="shared" si="3"/>
        <v>-25267056</v>
      </c>
      <c r="G24" s="39">
        <f t="shared" si="3"/>
        <v>-49005397.006000005</v>
      </c>
      <c r="H24" s="61">
        <f t="shared" si="3"/>
        <v>7536577</v>
      </c>
      <c r="I24" s="39">
        <f t="shared" si="3"/>
        <v>7827630.9939999962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33846277</v>
      </c>
      <c r="E27" s="66">
        <f>'TX-EGM-FLSH'!M27</f>
        <v>61884856</v>
      </c>
      <c r="F27" s="60">
        <f>'TX-EGM-GL'!D27</f>
        <v>8657001</v>
      </c>
      <c r="G27" s="38">
        <f>'TX-EGM-GL'!E27</f>
        <v>15409461.42</v>
      </c>
      <c r="H27" s="60">
        <f>F27-D27</f>
        <v>-25189276</v>
      </c>
      <c r="I27" s="38">
        <f>G27-E27</f>
        <v>-46475394.579999998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-33798215</v>
      </c>
      <c r="E28" s="66">
        <f>'TX-EGM-FLSH'!M28</f>
        <v>-61817533</v>
      </c>
      <c r="F28" s="60">
        <f>'TX-EGM-GL'!D28</f>
        <v>-3153510</v>
      </c>
      <c r="G28" s="38">
        <f>'TX-EGM-GL'!E28</f>
        <v>1334245.2999999998</v>
      </c>
      <c r="H28" s="60">
        <f>F28-D28</f>
        <v>30644705</v>
      </c>
      <c r="I28" s="38">
        <f>G28-E28</f>
        <v>63151778.299999997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48062</v>
      </c>
      <c r="E29" s="70">
        <f t="shared" si="4"/>
        <v>67323</v>
      </c>
      <c r="F29" s="69">
        <f t="shared" si="4"/>
        <v>5503491</v>
      </c>
      <c r="G29" s="70">
        <f t="shared" si="4"/>
        <v>16743706.719999999</v>
      </c>
      <c r="H29" s="69">
        <f t="shared" si="4"/>
        <v>5455429</v>
      </c>
      <c r="I29" s="70">
        <f t="shared" si="4"/>
        <v>16676383.719999999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179107</v>
      </c>
      <c r="G32" s="38">
        <f>'TX-EGM-GL'!E32</f>
        <v>308422.49600000004</v>
      </c>
      <c r="H32" s="60">
        <f>F32-D32</f>
        <v>179107</v>
      </c>
      <c r="I32" s="38">
        <f>G32-E32</f>
        <v>308422.49600000004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12160655</v>
      </c>
      <c r="E33" s="66">
        <f>'TX-EGM-FLSH'!M33</f>
        <v>20874411.530985225</v>
      </c>
      <c r="F33" s="60">
        <f>'TX-EGM-GL'!D33</f>
        <v>0</v>
      </c>
      <c r="G33" s="38">
        <f>'TX-EGM-GL'!E33</f>
        <v>0</v>
      </c>
      <c r="H33" s="60">
        <f t="shared" ref="H33:I35" si="5">F33-D33</f>
        <v>-12160655</v>
      </c>
      <c r="I33" s="38">
        <f t="shared" si="5"/>
        <v>-20874411.530985225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12160655</v>
      </c>
      <c r="E36" s="39">
        <f t="shared" si="6"/>
        <v>20874411.530985225</v>
      </c>
      <c r="F36" s="61">
        <f t="shared" si="6"/>
        <v>179107</v>
      </c>
      <c r="G36" s="39">
        <f t="shared" si="6"/>
        <v>308422.50600000005</v>
      </c>
      <c r="H36" s="61">
        <f t="shared" si="6"/>
        <v>-11981548</v>
      </c>
      <c r="I36" s="39">
        <f t="shared" si="6"/>
        <v>-20565989.024985224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6618683</v>
      </c>
      <c r="E39" s="66">
        <f>'TX-EGM-FLSH'!M39</f>
        <v>11778510</v>
      </c>
      <c r="F39" s="60">
        <f>'TX-EGM-GL'!D39</f>
        <v>-19500</v>
      </c>
      <c r="G39" s="38">
        <f>'TX-EGM-GL'!E39</f>
        <v>-34706.400000000001</v>
      </c>
      <c r="H39" s="60">
        <f t="shared" ref="H39:I41" si="7">F39-D39</f>
        <v>-6638183</v>
      </c>
      <c r="I39" s="38">
        <f t="shared" si="7"/>
        <v>-11813216.4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-7740132</v>
      </c>
      <c r="E40" s="66">
        <f>'TX-EGM-FLSH'!M40</f>
        <v>-13774329</v>
      </c>
      <c r="F40" s="60">
        <f>'TX-EGM-GL'!D40</f>
        <v>-7025305</v>
      </c>
      <c r="G40" s="38">
        <f>'TX-EGM-GL'!E40</f>
        <v>-13639229.249999998</v>
      </c>
      <c r="H40" s="60">
        <f t="shared" si="7"/>
        <v>714827</v>
      </c>
      <c r="I40" s="38">
        <f t="shared" si="7"/>
        <v>135099.75000000186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1371134</v>
      </c>
      <c r="H41" s="60">
        <f t="shared" si="7"/>
        <v>0</v>
      </c>
      <c r="I41" s="38">
        <f t="shared" si="7"/>
        <v>1371134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-13774329</v>
      </c>
      <c r="F42" s="69">
        <f t="shared" si="8"/>
        <v>-7025305</v>
      </c>
      <c r="G42" s="70">
        <f t="shared" si="8"/>
        <v>-12268095.249999998</v>
      </c>
      <c r="H42" s="69">
        <f t="shared" si="8"/>
        <v>714827</v>
      </c>
      <c r="I42" s="70">
        <f t="shared" si="8"/>
        <v>1506233.7500000019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-1121449</v>
      </c>
      <c r="E43" s="39">
        <f t="shared" si="9"/>
        <v>-1995819</v>
      </c>
      <c r="F43" s="61">
        <f t="shared" si="9"/>
        <v>-7044805</v>
      </c>
      <c r="G43" s="39">
        <f t="shared" si="9"/>
        <v>-12302801.649999999</v>
      </c>
      <c r="H43" s="61">
        <f t="shared" si="9"/>
        <v>-5923356</v>
      </c>
      <c r="I43" s="39">
        <f t="shared" si="9"/>
        <v>-10306982.649999999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-504015</v>
      </c>
      <c r="G49" s="38">
        <f>'TX-EGM-GL'!E49</f>
        <v>-868310.71999999986</v>
      </c>
      <c r="H49" s="60">
        <f>F49-D49</f>
        <v>-504015</v>
      </c>
      <c r="I49" s="38">
        <f>G49-E49</f>
        <v>-868310.71999999986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-39560</v>
      </c>
      <c r="F51" s="60">
        <f>'TX-EGM-GL'!D51</f>
        <v>-9031</v>
      </c>
      <c r="G51" s="38">
        <f>'TX-EGM-GL'!E51</f>
        <v>-15492.084000000001</v>
      </c>
      <c r="H51" s="60">
        <f>F51-D51</f>
        <v>-9031</v>
      </c>
      <c r="I51" s="38">
        <f>G51-E51</f>
        <v>24067.915999999997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-152502</v>
      </c>
      <c r="F54" s="60">
        <f>'TX-EGM-GL'!D54</f>
        <v>-44930736</v>
      </c>
      <c r="G54" s="38">
        <f>'TX-EGM-GL'!E54</f>
        <v>-1107536.24</v>
      </c>
      <c r="H54" s="60">
        <f>F54-D54</f>
        <v>-44930736</v>
      </c>
      <c r="I54" s="38">
        <f>G54-E54</f>
        <v>-955034.24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-155300</v>
      </c>
      <c r="F55" s="60">
        <f>'TX-EGM-GL'!D55</f>
        <v>3992658</v>
      </c>
      <c r="G55" s="38">
        <f>'TX-EGM-GL'!E55</f>
        <v>109928</v>
      </c>
      <c r="H55" s="60">
        <f>F55-D55</f>
        <v>3992658</v>
      </c>
      <c r="I55" s="38">
        <f>G55-E55</f>
        <v>265228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-307802</v>
      </c>
      <c r="F56" s="61">
        <f t="shared" si="10"/>
        <v>-40938078</v>
      </c>
      <c r="G56" s="39">
        <f t="shared" si="10"/>
        <v>-997608.24</v>
      </c>
      <c r="H56" s="61">
        <f t="shared" si="10"/>
        <v>-40938078</v>
      </c>
      <c r="I56" s="39">
        <f t="shared" si="10"/>
        <v>-689806.24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-970.66</v>
      </c>
      <c r="H59" s="60">
        <f>F59-D59</f>
        <v>0</v>
      </c>
      <c r="I59" s="38">
        <f>G59-E59</f>
        <v>-970.66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-970.66</v>
      </c>
      <c r="H61" s="69">
        <f t="shared" si="11"/>
        <v>0</v>
      </c>
      <c r="I61" s="70">
        <f t="shared" si="11"/>
        <v>-970.66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11674882</v>
      </c>
      <c r="G64" s="38">
        <f>'TX-EGM-GL'!E64</f>
        <v>95407.530000000173</v>
      </c>
      <c r="H64" s="60">
        <f>F64-D64</f>
        <v>11674882</v>
      </c>
      <c r="I64" s="38">
        <f>G64-E64</f>
        <v>95407.530000000173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130474</v>
      </c>
      <c r="H65" s="60">
        <f>F65-D65</f>
        <v>0</v>
      </c>
      <c r="I65" s="38">
        <f>G65-E65</f>
        <v>130474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11674882</v>
      </c>
      <c r="G66" s="39">
        <f t="shared" si="12"/>
        <v>225881.53000000017</v>
      </c>
      <c r="H66" s="61">
        <f t="shared" si="12"/>
        <v>11674882</v>
      </c>
      <c r="I66" s="39">
        <f t="shared" si="12"/>
        <v>225881.53000000017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278126</v>
      </c>
      <c r="F70" s="60">
        <f>'TX-EGM-GL'!D70</f>
        <v>0</v>
      </c>
      <c r="G70" s="38">
        <f>'TX-EGM-GL'!E70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1825706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-975946</v>
      </c>
      <c r="F74" s="60">
        <f>'TX-EGM-GL'!D74</f>
        <v>0</v>
      </c>
      <c r="G74" s="38">
        <f>'TX-EGM-GL'!E74</f>
        <v>219645</v>
      </c>
      <c r="H74" s="60">
        <f t="shared" ref="H74:I79" si="14">F74-D74</f>
        <v>0</v>
      </c>
      <c r="I74" s="38">
        <f t="shared" si="14"/>
        <v>1195591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86397</v>
      </c>
      <c r="F75" s="60">
        <f>'TX-EGM-GL'!D75</f>
        <v>0</v>
      </c>
      <c r="G75" s="38">
        <f>'TX-EGM-GL'!E75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-9088</v>
      </c>
      <c r="F76" s="60">
        <f>'TX-EGM-GL'!D76</f>
        <v>0</v>
      </c>
      <c r="G76" s="38">
        <f>'TX-EGM-GL'!E76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-6827</v>
      </c>
      <c r="F81" s="60">
        <f>'TX-EGM-GL'!D81</f>
        <v>0</v>
      </c>
      <c r="G81" s="38">
        <f>'TX-EGM-GL'!E81</f>
        <v>-59718</v>
      </c>
      <c r="H81" s="60">
        <f>F81-D81</f>
        <v>0</v>
      </c>
      <c r="I81" s="38">
        <f>G81-E81</f>
        <v>-52891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-251078.46901477501</v>
      </c>
      <c r="F82" s="117">
        <f>F16+F24+F29+F36+F43+F45+F47+F49</f>
        <v>0</v>
      </c>
      <c r="G82" s="118">
        <f>SUM(G72:G81)+G16+G24+G29+G36+G43+G45+G47+G49+G51+G56+G61+G66</f>
        <v>702522.30599999346</v>
      </c>
      <c r="H82" s="117">
        <f>H16+H24+H29+H36+H43+H45+H47+H49</f>
        <v>0</v>
      </c>
      <c r="I82" s="118">
        <f>SUM(I72:I81)+I16+I24+I29+I36+I43+I45+I47+I49+I51+I56+I61+I66</f>
        <v>953600.77501476835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194</v>
      </c>
      <c r="B85" s="3"/>
      <c r="F85" s="31"/>
      <c r="G85" s="31"/>
      <c r="H85" s="31"/>
      <c r="I85" s="31"/>
    </row>
    <row r="86" spans="1:63" x14ac:dyDescent="0.2">
      <c r="A86" s="181"/>
      <c r="B86" s="3"/>
      <c r="C86" s="10" t="s">
        <v>189</v>
      </c>
      <c r="D86" s="182">
        <f>'TX-EGM-FLSH'!L86</f>
        <v>0</v>
      </c>
      <c r="E86" s="182">
        <f>'TX-EGM-FLSH'!M86</f>
        <v>114789</v>
      </c>
      <c r="F86" s="182">
        <f>'TX-EGM-GL'!D86</f>
        <v>0</v>
      </c>
      <c r="G86" s="182">
        <f>'TX-EGM-GL'!E86</f>
        <v>114789.44</v>
      </c>
      <c r="H86" s="182">
        <f t="shared" ref="H86:I88" si="15">F86-D86</f>
        <v>0</v>
      </c>
      <c r="I86" s="182">
        <f t="shared" si="15"/>
        <v>0.44000000000232831</v>
      </c>
    </row>
    <row r="87" spans="1:63" x14ac:dyDescent="0.2">
      <c r="A87" s="181"/>
      <c r="B87" s="3"/>
      <c r="C87" s="10" t="s">
        <v>75</v>
      </c>
      <c r="D87" s="183">
        <f>'TX-EGM-FLSH'!L87</f>
        <v>0</v>
      </c>
      <c r="E87" s="183">
        <f>'TX-EGM-FLSH'!M87</f>
        <v>0</v>
      </c>
      <c r="F87" s="183">
        <f>'TX-EGM-GL'!D87</f>
        <v>0</v>
      </c>
      <c r="G87" s="183">
        <f>'TX-EGM-GL'!E87</f>
        <v>0</v>
      </c>
      <c r="H87" s="183">
        <f t="shared" si="15"/>
        <v>0</v>
      </c>
      <c r="I87" s="183">
        <f t="shared" si="15"/>
        <v>0</v>
      </c>
    </row>
    <row r="88" spans="1:63" x14ac:dyDescent="0.2">
      <c r="A88" s="181"/>
      <c r="B88" s="3"/>
      <c r="C88" s="10" t="s">
        <v>76</v>
      </c>
      <c r="D88" s="184">
        <f>'TX-EGM-FLSH'!L88</f>
        <v>0</v>
      </c>
      <c r="E88" s="184">
        <f>'TX-EGM-FLSH'!M88</f>
        <v>-121518</v>
      </c>
      <c r="F88" s="184">
        <f>'TX-EGM-GL'!D88</f>
        <v>0</v>
      </c>
      <c r="G88" s="184">
        <f>'TX-EGM-GL'!E88</f>
        <v>-121600</v>
      </c>
      <c r="H88" s="184">
        <f t="shared" si="15"/>
        <v>0</v>
      </c>
      <c r="I88" s="184">
        <f t="shared" si="15"/>
        <v>-82</v>
      </c>
    </row>
    <row r="89" spans="1:63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-6729</v>
      </c>
      <c r="F89" s="188">
        <f t="shared" si="16"/>
        <v>0</v>
      </c>
      <c r="G89" s="188">
        <f t="shared" si="16"/>
        <v>-6810.5599999999977</v>
      </c>
      <c r="H89" s="188">
        <f t="shared" si="16"/>
        <v>0</v>
      </c>
      <c r="I89" s="188">
        <f t="shared" si="16"/>
        <v>-81.559999999997672</v>
      </c>
    </row>
    <row r="90" spans="1:63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63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-257807.46901477501</v>
      </c>
      <c r="F91" s="188">
        <f t="shared" si="17"/>
        <v>0</v>
      </c>
      <c r="G91" s="188">
        <f t="shared" si="17"/>
        <v>695711.74599999352</v>
      </c>
      <c r="H91" s="188">
        <f t="shared" si="17"/>
        <v>0</v>
      </c>
      <c r="I91" s="188">
        <f t="shared" si="17"/>
        <v>953519.2150147683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30964203</v>
      </c>
      <c r="E11" s="66">
        <f>'TX-HPL-FLSH'!M11</f>
        <v>55045695</v>
      </c>
      <c r="F11" s="60">
        <f>'TX-HPL-GL '!D11</f>
        <v>25379879</v>
      </c>
      <c r="G11" s="38">
        <f>'TX-HPL-GL '!E11</f>
        <v>47481128.520000003</v>
      </c>
      <c r="H11" s="60">
        <f>F11-D11</f>
        <v>-5584324</v>
      </c>
      <c r="I11" s="38">
        <f>G11-E11</f>
        <v>-7564566.4799999967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-2899134.3</v>
      </c>
      <c r="H12" s="60">
        <f>F12-D12</f>
        <v>0</v>
      </c>
      <c r="I12" s="38">
        <f>G12-E12</f>
        <v>-2899134.3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885997</v>
      </c>
      <c r="E13" s="66">
        <f>'TX-HPL-FLSH'!M13</f>
        <v>1488118</v>
      </c>
      <c r="F13" s="60">
        <f>'TX-HPL-GL '!D13</f>
        <v>0</v>
      </c>
      <c r="G13" s="38">
        <f>'TX-HPL-GL '!E13</f>
        <v>0</v>
      </c>
      <c r="H13" s="60">
        <f t="shared" ref="H13:I15" si="0">F13-D13</f>
        <v>-885997</v>
      </c>
      <c r="I13" s="38">
        <f t="shared" si="0"/>
        <v>-1488118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31850200</v>
      </c>
      <c r="E16" s="39">
        <f t="shared" si="1"/>
        <v>56653813</v>
      </c>
      <c r="F16" s="61">
        <f t="shared" si="1"/>
        <v>25379879</v>
      </c>
      <c r="G16" s="39">
        <f t="shared" si="1"/>
        <v>44581994.220000006</v>
      </c>
      <c r="H16" s="61">
        <f t="shared" si="1"/>
        <v>-6470321</v>
      </c>
      <c r="I16" s="39">
        <f t="shared" si="1"/>
        <v>-12071818.779999997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-14599039</v>
      </c>
      <c r="E19" s="66">
        <f>'TX-HPL-FLSH'!M19</f>
        <v>-25887807</v>
      </c>
      <c r="F19" s="60">
        <f>'TX-HPL-GL '!D19</f>
        <v>-5138107</v>
      </c>
      <c r="G19" s="38">
        <f>'TX-HPL-GL '!E19</f>
        <v>-8832406.839999998</v>
      </c>
      <c r="H19" s="60">
        <f>F19-D19</f>
        <v>9460932</v>
      </c>
      <c r="I19" s="38">
        <f>G19-E19</f>
        <v>17055400.160000004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813484.61</v>
      </c>
      <c r="H20" s="60">
        <f>F20-D20</f>
        <v>0</v>
      </c>
      <c r="I20" s="38">
        <f>G20-E20</f>
        <v>813484.61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632740</v>
      </c>
      <c r="E21" s="66">
        <f>'TX-HPL-FLSH'!M21</f>
        <v>1233071</v>
      </c>
      <c r="F21" s="60">
        <f>'TX-HPL-GL '!D21</f>
        <v>0</v>
      </c>
      <c r="G21" s="38">
        <f>'TX-HPL-GL '!E21</f>
        <v>0</v>
      </c>
      <c r="H21" s="60">
        <f t="shared" ref="H21:I23" si="2">F21-D21</f>
        <v>-632740</v>
      </c>
      <c r="I21" s="38">
        <f t="shared" si="2"/>
        <v>-1233071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6742</v>
      </c>
      <c r="E23" s="66">
        <f>'TX-HPL-FLSH'!M23</f>
        <v>11742</v>
      </c>
      <c r="F23" s="60">
        <f>'TX-HPL-GL '!D23</f>
        <v>0</v>
      </c>
      <c r="G23" s="38">
        <f>'TX-HPL-GL '!E23</f>
        <v>0</v>
      </c>
      <c r="H23" s="60">
        <f t="shared" si="2"/>
        <v>-6742</v>
      </c>
      <c r="I23" s="38">
        <f t="shared" si="2"/>
        <v>-11742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-13959557</v>
      </c>
      <c r="E24" s="39">
        <f t="shared" si="3"/>
        <v>-24642994</v>
      </c>
      <c r="F24" s="61">
        <f t="shared" si="3"/>
        <v>-5138107</v>
      </c>
      <c r="G24" s="39">
        <f t="shared" si="3"/>
        <v>-8018922.2299999977</v>
      </c>
      <c r="H24" s="61">
        <f t="shared" si="3"/>
        <v>8821450</v>
      </c>
      <c r="I24" s="39">
        <f t="shared" si="3"/>
        <v>16624071.770000003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180699</v>
      </c>
      <c r="E27" s="66">
        <f>'TX-HPL-FLSH'!M27</f>
        <v>310538</v>
      </c>
      <c r="F27" s="60">
        <f>'TX-HPL-GL '!D27</f>
        <v>-3646715</v>
      </c>
      <c r="G27" s="38">
        <f>'TX-HPL-GL '!E27</f>
        <v>-6653895.5866999999</v>
      </c>
      <c r="H27" s="60">
        <f>F27-D27</f>
        <v>-3827414</v>
      </c>
      <c r="I27" s="38">
        <f>G27-E27</f>
        <v>-6964433.5866999999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-1633510</v>
      </c>
      <c r="E28" s="66">
        <f>'TX-HPL-FLSH'!M28</f>
        <v>-2896543</v>
      </c>
      <c r="F28" s="60">
        <f>'TX-HPL-GL '!D28</f>
        <v>-16536703</v>
      </c>
      <c r="G28" s="38">
        <f>'TX-HPL-GL '!E28</f>
        <v>-29328779.770900004</v>
      </c>
      <c r="H28" s="60">
        <f>F28-D28</f>
        <v>-14903193</v>
      </c>
      <c r="I28" s="38">
        <f>G28-E28</f>
        <v>-26432236.770900004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-1452811</v>
      </c>
      <c r="E29" s="70">
        <f t="shared" si="4"/>
        <v>-2586005</v>
      </c>
      <c r="F29" s="69">
        <f t="shared" si="4"/>
        <v>-20183418</v>
      </c>
      <c r="G29" s="70">
        <f t="shared" si="4"/>
        <v>-35982675.357600003</v>
      </c>
      <c r="H29" s="69">
        <f t="shared" si="4"/>
        <v>-18730607</v>
      </c>
      <c r="I29" s="70">
        <f t="shared" si="4"/>
        <v>-33396670.357600003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-58354</v>
      </c>
      <c r="G32" s="38">
        <f>'TX-HPL-GL '!E32</f>
        <v>-100485.58600000001</v>
      </c>
      <c r="H32" s="60">
        <f>F32-D32</f>
        <v>-58354</v>
      </c>
      <c r="I32" s="38">
        <f>G32-E32</f>
        <v>-100485.58600000001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-10940598</v>
      </c>
      <c r="E33" s="66">
        <f>'TX-HPL-FLSH'!M33</f>
        <v>-18773748.215697929</v>
      </c>
      <c r="F33" s="60">
        <f>'TX-HPL-GL '!D33</f>
        <v>0</v>
      </c>
      <c r="G33" s="38">
        <f>'TX-HPL-GL '!E33</f>
        <v>0</v>
      </c>
      <c r="H33" s="60">
        <f t="shared" ref="H33:I35" si="5">F33-D33</f>
        <v>10940598</v>
      </c>
      <c r="I33" s="38">
        <f t="shared" si="5"/>
        <v>18773748.215697929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-10940598</v>
      </c>
      <c r="E36" s="39">
        <f t="shared" si="6"/>
        <v>-18773748.215697929</v>
      </c>
      <c r="F36" s="61">
        <f t="shared" si="6"/>
        <v>-58354</v>
      </c>
      <c r="G36" s="39">
        <f t="shared" si="6"/>
        <v>-100485.58600000001</v>
      </c>
      <c r="H36" s="61">
        <f t="shared" si="6"/>
        <v>10882244</v>
      </c>
      <c r="I36" s="39">
        <f t="shared" si="6"/>
        <v>18673262.62969793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-5497234</v>
      </c>
      <c r="E39" s="66">
        <f>'TX-HPL-FLSH'!M39</f>
        <v>-9782691</v>
      </c>
      <c r="F39" s="60">
        <f>'TX-HPL-GL '!D39</f>
        <v>0</v>
      </c>
      <c r="G39" s="38">
        <f>'TX-HPL-GL '!E39</f>
        <v>0</v>
      </c>
      <c r="H39" s="60">
        <f t="shared" ref="H39:I41" si="7">F39-D39</f>
        <v>5497234</v>
      </c>
      <c r="I39" s="38">
        <f t="shared" si="7"/>
        <v>9782691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-2</v>
      </c>
      <c r="F40" s="60">
        <f>'TX-HPL-GL '!D40</f>
        <v>0</v>
      </c>
      <c r="G40" s="38">
        <f>'TX-HPL-GL '!E40</f>
        <v>-8.9999999850988388E-2</v>
      </c>
      <c r="H40" s="60">
        <f t="shared" si="7"/>
        <v>0</v>
      </c>
      <c r="I40" s="38">
        <f t="shared" si="7"/>
        <v>1.9100000001490116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-2</v>
      </c>
      <c r="F42" s="69">
        <f t="shared" si="8"/>
        <v>0</v>
      </c>
      <c r="G42" s="70">
        <f t="shared" si="8"/>
        <v>-8.9999999850988388E-2</v>
      </c>
      <c r="H42" s="69">
        <f t="shared" si="8"/>
        <v>0</v>
      </c>
      <c r="I42" s="70">
        <f t="shared" si="8"/>
        <v>1.9100000001490116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-5497234</v>
      </c>
      <c r="E43" s="39">
        <f t="shared" si="9"/>
        <v>-9782693</v>
      </c>
      <c r="F43" s="61">
        <f t="shared" si="9"/>
        <v>0</v>
      </c>
      <c r="G43" s="39">
        <f t="shared" si="9"/>
        <v>-8.9999999850988388E-2</v>
      </c>
      <c r="H43" s="61">
        <f t="shared" si="9"/>
        <v>5497234</v>
      </c>
      <c r="I43" s="39">
        <f t="shared" si="9"/>
        <v>9782692.9100000001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-914459</v>
      </c>
      <c r="F54" s="60">
        <f>'TX-HPL-GL '!D54</f>
        <v>-9499</v>
      </c>
      <c r="G54" s="38">
        <f>'TX-HPL-GL '!E54</f>
        <v>43004.29</v>
      </c>
      <c r="H54" s="60">
        <f>F54-D54</f>
        <v>-9499</v>
      </c>
      <c r="I54" s="38">
        <f>G54-E54</f>
        <v>957463.29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-912625</v>
      </c>
      <c r="H55" s="60">
        <f>F55-D55</f>
        <v>0</v>
      </c>
      <c r="I55" s="38">
        <f>G55-E55</f>
        <v>-912625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-914459</v>
      </c>
      <c r="F56" s="61">
        <f t="shared" si="10"/>
        <v>-9499</v>
      </c>
      <c r="G56" s="39">
        <f t="shared" si="10"/>
        <v>-869620.71</v>
      </c>
      <c r="H56" s="61">
        <f t="shared" si="10"/>
        <v>-9499</v>
      </c>
      <c r="I56" s="39">
        <f t="shared" si="10"/>
        <v>44838.290000000037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10116.98</v>
      </c>
      <c r="H59" s="60">
        <f>F59-D59</f>
        <v>0</v>
      </c>
      <c r="I59" s="38">
        <f>G59-E59</f>
        <v>10116.98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4077032.98</v>
      </c>
      <c r="H61" s="69">
        <f t="shared" si="11"/>
        <v>0</v>
      </c>
      <c r="I61" s="70">
        <f t="shared" si="11"/>
        <v>4077032.98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-19935965</v>
      </c>
      <c r="G64" s="38">
        <f>'TX-HPL-GL '!E64</f>
        <v>-2382993.8099999996</v>
      </c>
      <c r="H64" s="60">
        <f>F64-D64</f>
        <v>-19935965</v>
      </c>
      <c r="I64" s="38">
        <f>G64-E64</f>
        <v>-2382993.8099999996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-1720610</v>
      </c>
      <c r="H65" s="60">
        <f>F65-D65</f>
        <v>0</v>
      </c>
      <c r="I65" s="38">
        <f>G65-E65</f>
        <v>-1720610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-19935965</v>
      </c>
      <c r="G66" s="39">
        <f t="shared" si="12"/>
        <v>-4103603.8099999996</v>
      </c>
      <c r="H66" s="61">
        <f t="shared" si="12"/>
        <v>-19935965</v>
      </c>
      <c r="I66" s="39">
        <f t="shared" si="12"/>
        <v>-4103603.8099999996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254800</v>
      </c>
      <c r="H74" s="60">
        <f t="shared" ref="H74:I79" si="14">F74-D74</f>
        <v>0</v>
      </c>
      <c r="I74" s="38">
        <f t="shared" si="14"/>
        <v>254800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4900</v>
      </c>
      <c r="H81" s="60">
        <f>F81-D81</f>
        <v>0</v>
      </c>
      <c r="I81" s="38">
        <f>G81-E81</f>
        <v>4900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-21086.215697929263</v>
      </c>
      <c r="F82" s="117">
        <f>F16+F24+F29+F36+F43+F45+F47+F49</f>
        <v>0</v>
      </c>
      <c r="G82" s="118">
        <f>SUM(G72:G81)+G16+G24+G29+G36+G43+G45+G47+G49+G51+G56+G61+G66</f>
        <v>-1045618.5835999935</v>
      </c>
      <c r="H82" s="117">
        <f>H16+H24+H29+H36+H43+H45+H47+H49</f>
        <v>0</v>
      </c>
      <c r="I82" s="118">
        <f>SUM(I72:I81)+I16+I24+I29+I36+I43+I45+I47+I49+I51+I56+I61+I66</f>
        <v>-1024532.367902067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E29" activePane="bottomRight" state="frozen"/>
      <selection activeCell="D10" sqref="D10"/>
      <selection pane="topRight" activeCell="D10" sqref="D10"/>
      <selection pane="bottomLeft" activeCell="D10" sqref="D10"/>
      <selection pane="bottomRight" activeCell="K41" sqref="K4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124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574371</v>
      </c>
      <c r="F11" s="60"/>
      <c r="G11" s="38">
        <v>574371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0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-3380477.0999999996</v>
      </c>
      <c r="F15" s="60"/>
      <c r="G15" s="38">
        <f>-1362171.91-805589.08-638345.11-574371</f>
        <v>-3380477.0999999996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-2806106.0999999996</v>
      </c>
      <c r="F16" s="61">
        <f t="shared" si="1"/>
        <v>0</v>
      </c>
      <c r="G16" s="39">
        <f t="shared" si="1"/>
        <v>-2806106.0999999996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f>-14396</f>
        <v>-14396</v>
      </c>
      <c r="H19" s="60"/>
      <c r="I19" s="38">
        <f>14396-112497</f>
        <v>-98101</v>
      </c>
      <c r="J19" s="60"/>
      <c r="K19" s="38"/>
      <c r="L19" s="60"/>
      <c r="M19" s="38"/>
      <c r="N19" s="60"/>
      <c r="O19" s="38">
        <v>112497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-14396</v>
      </c>
      <c r="H24" s="61">
        <f t="shared" si="4"/>
        <v>0</v>
      </c>
      <c r="I24" s="39">
        <f t="shared" si="4"/>
        <v>-98101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112497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f>79030+199596</f>
        <v>278626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f>964202+191520</f>
        <v>1155722</v>
      </c>
      <c r="T41" s="60"/>
      <c r="U41" s="38">
        <f>-1434348</f>
        <v>-1434348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278626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1155722</v>
      </c>
      <c r="T42" s="61">
        <f t="shared" si="13"/>
        <v>0</v>
      </c>
      <c r="U42" s="39">
        <f t="shared" si="13"/>
        <v>-1434348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278626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1155722</v>
      </c>
      <c r="T43" s="61">
        <f t="shared" si="15"/>
        <v>0</v>
      </c>
      <c r="U43" s="39">
        <f t="shared" si="15"/>
        <v>-1434348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2903167.1</v>
      </c>
      <c r="F55" s="60"/>
      <c r="G55" s="38">
        <f>1362171.91+97061</f>
        <v>1459232.91</v>
      </c>
      <c r="H55" s="60"/>
      <c r="I55" s="38">
        <v>638345.11</v>
      </c>
      <c r="J55" s="60"/>
      <c r="K55" s="38"/>
      <c r="L55" s="60"/>
      <c r="M55" s="38"/>
      <c r="N55" s="60"/>
      <c r="O55" s="38">
        <v>805589.08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2903167.1</v>
      </c>
      <c r="F56" s="61">
        <f t="shared" si="16"/>
        <v>0</v>
      </c>
      <c r="G56" s="39">
        <f t="shared" si="16"/>
        <v>1459232.91</v>
      </c>
      <c r="H56" s="61">
        <f t="shared" si="16"/>
        <v>0</v>
      </c>
      <c r="I56" s="39">
        <f t="shared" si="16"/>
        <v>638345.11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805589.08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v>-93300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>
        <v>-170000</v>
      </c>
      <c r="L65" s="60"/>
      <c r="M65" s="38"/>
      <c r="N65" s="60"/>
      <c r="O65" s="38"/>
      <c r="P65" s="60"/>
      <c r="Q65" s="38"/>
      <c r="R65" s="60"/>
      <c r="S65" s="38"/>
      <c r="T65" s="60"/>
      <c r="U65" s="38">
        <v>170000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-170000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76700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-97061</v>
      </c>
      <c r="F74" s="60"/>
      <c r="G74" s="38">
        <f>-145662-97061</f>
        <v>-242723</v>
      </c>
      <c r="H74" s="60"/>
      <c r="I74" s="38"/>
      <c r="J74" s="60"/>
      <c r="K74" s="38"/>
      <c r="L74" s="60"/>
      <c r="M74" s="38"/>
      <c r="N74" s="60"/>
      <c r="O74" s="38">
        <f>38230+17360</f>
        <v>55590</v>
      </c>
      <c r="P74" s="60"/>
      <c r="Q74" s="38">
        <v>254800</v>
      </c>
      <c r="R74" s="60"/>
      <c r="S74" s="38">
        <f>-254800+70113</f>
        <v>-184687</v>
      </c>
      <c r="T74" s="60"/>
      <c r="U74" s="38">
        <f>254800-70113-38230-17360-254800+145662</f>
        <v>19959</v>
      </c>
      <c r="V74" s="60"/>
      <c r="W74" s="38"/>
      <c r="X74" s="60"/>
      <c r="Y74" s="38"/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54411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-54411</v>
      </c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4.6566128730773926E-10</v>
      </c>
      <c r="F82" s="92">
        <f>F16+F24+F29+F36+F43+F45+F47+F49</f>
        <v>0</v>
      </c>
      <c r="G82" s="93">
        <f>SUM(G72:G81)+G16+G24+G29+G36+G43+G45+G47+G49+G51+G56+G61+G66</f>
        <v>-1603992.1899999997</v>
      </c>
      <c r="H82" s="92">
        <f>H16+H24+H29+H36+H43+H45+H47+H49</f>
        <v>0</v>
      </c>
      <c r="I82" s="93">
        <f>SUM(I72:I81)+I16+I24+I29+I36+I43+I45+I47+I49+I51+I56+I61+I66</f>
        <v>633281.11</v>
      </c>
      <c r="J82" s="92">
        <f>J16+J24+J29+J36+J43+J45+J47+J49</f>
        <v>0</v>
      </c>
      <c r="K82" s="93">
        <f>SUM(K72:K81)+K16+K24+K29+K36+K43+K45+K47+K49+K51+K56+K61+K66</f>
        <v>-170000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973676.08</v>
      </c>
      <c r="P82" s="92">
        <f>P16+P24+P29+P36+P43+P45+P47+P49</f>
        <v>0</v>
      </c>
      <c r="Q82" s="93">
        <f>SUM(Q72:Q81)+Q16+Q24+Q29+Q36+Q43+Q45+Q47+Q49+Q51+Q56+Q61+Q66</f>
        <v>254800</v>
      </c>
      <c r="R82" s="92">
        <f>R16+R24+R29+R36+R43+R45+R47+R49</f>
        <v>0</v>
      </c>
      <c r="S82" s="93">
        <f>SUM(S72:S81)+S16+S24+S29+S36+S43+S45+S47+S49+S51+S56+S61+S66</f>
        <v>1064335</v>
      </c>
      <c r="T82" s="92">
        <f>T16+T24+T29+T36+T43+T45+T47+T49</f>
        <v>0</v>
      </c>
      <c r="U82" s="93">
        <f>SUM(U72:U81)+U16+U24+U29+U36+U43+U45+U47+U49+U51+U56+U61+U66</f>
        <v>-1152100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48063152</v>
      </c>
      <c r="E11" s="66">
        <f>'TX-CON-FLSH'!M11</f>
        <v>83601392</v>
      </c>
      <c r="F11" s="60">
        <f>'TX-CON-GL '!D11</f>
        <v>46983125</v>
      </c>
      <c r="G11" s="38">
        <f>'TX-CON-GL '!E11</f>
        <v>96652479.439999998</v>
      </c>
      <c r="H11" s="60">
        <f>F11-D11</f>
        <v>-1080027</v>
      </c>
      <c r="I11" s="38">
        <f>G11-E11</f>
        <v>13051087.439999998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-16185896.16</v>
      </c>
      <c r="H12" s="60">
        <f>F12-D12</f>
        <v>0</v>
      </c>
      <c r="I12" s="38">
        <f>G12-E12</f>
        <v>-16185896.16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5503413</v>
      </c>
      <c r="E13" s="66">
        <f>'TX-CON-FLSH'!M13</f>
        <v>9717449</v>
      </c>
      <c r="F13" s="60">
        <f>'TX-CON-GL '!D13</f>
        <v>5503413</v>
      </c>
      <c r="G13" s="38">
        <f>'TX-CON-GL '!E13</f>
        <v>9717449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53566565</v>
      </c>
      <c r="E16" s="39">
        <f t="shared" si="1"/>
        <v>93438841</v>
      </c>
      <c r="F16" s="61">
        <f t="shared" si="1"/>
        <v>52486538</v>
      </c>
      <c r="G16" s="39">
        <f t="shared" si="1"/>
        <v>90184032.280000001</v>
      </c>
      <c r="H16" s="61">
        <f t="shared" si="1"/>
        <v>-1080027</v>
      </c>
      <c r="I16" s="39">
        <f t="shared" si="1"/>
        <v>-3254808.7200000025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-44005599</v>
      </c>
      <c r="E19" s="66">
        <f>'TX-CON-FLSH'!M19</f>
        <v>-76688957</v>
      </c>
      <c r="F19" s="60">
        <f>'TX-CON-GL '!D19</f>
        <v>-26248753</v>
      </c>
      <c r="G19" s="38">
        <f>'TX-CON-GL '!E19</f>
        <v>-52860936.359999999</v>
      </c>
      <c r="H19" s="60">
        <f>F19-D19</f>
        <v>17756846</v>
      </c>
      <c r="I19" s="38">
        <f>G19-E19</f>
        <v>23828020.640000001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3132421.89</v>
      </c>
      <c r="H20" s="60">
        <f>F20-D20</f>
        <v>0</v>
      </c>
      <c r="I20" s="38">
        <f>G20-E20</f>
        <v>3132421.89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-2764333</v>
      </c>
      <c r="E21" s="66">
        <f>'TX-CON-FLSH'!M21</f>
        <v>-4798807</v>
      </c>
      <c r="F21" s="60">
        <f>'TX-CON-GL '!D21</f>
        <v>-4169082</v>
      </c>
      <c r="G21" s="38">
        <f>'TX-CON-GL '!E21</f>
        <v>-7317489</v>
      </c>
      <c r="H21" s="60">
        <f t="shared" ref="H21:I23" si="2">F21-D21</f>
        <v>-1404749</v>
      </c>
      <c r="I21" s="38">
        <f t="shared" si="2"/>
        <v>-2518682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6742</v>
      </c>
      <c r="E23" s="66">
        <f>'TX-CON-FLSH'!M23</f>
        <v>11742</v>
      </c>
      <c r="F23" s="60">
        <f>'TX-CON-GL '!D23</f>
        <v>9009</v>
      </c>
      <c r="G23" s="38">
        <f>'TX-CON-GL '!E23</f>
        <v>15454.2</v>
      </c>
      <c r="H23" s="60">
        <f t="shared" si="2"/>
        <v>2267</v>
      </c>
      <c r="I23" s="38">
        <f t="shared" si="2"/>
        <v>3712.2000000000007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-46763190</v>
      </c>
      <c r="E24" s="39">
        <f t="shared" si="3"/>
        <v>-81476022</v>
      </c>
      <c r="F24" s="61">
        <f t="shared" si="3"/>
        <v>-30408826</v>
      </c>
      <c r="G24" s="39">
        <f t="shared" si="3"/>
        <v>-57030549.269999996</v>
      </c>
      <c r="H24" s="61">
        <f t="shared" si="3"/>
        <v>16354364</v>
      </c>
      <c r="I24" s="39">
        <f t="shared" si="3"/>
        <v>24445472.73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34026976</v>
      </c>
      <c r="E27" s="66">
        <f>'TX-CON-FLSH'!M27</f>
        <v>62195394</v>
      </c>
      <c r="F27" s="60">
        <f>'TX-CON-GL '!D27</f>
        <v>5362891</v>
      </c>
      <c r="G27" s="38">
        <f>'TX-CON-GL '!E27</f>
        <v>9374197.5032999981</v>
      </c>
      <c r="H27" s="60">
        <f>F27-D27</f>
        <v>-28664085</v>
      </c>
      <c r="I27" s="38">
        <f>G27-E27</f>
        <v>-52821196.496700004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-35431725</v>
      </c>
      <c r="E28" s="66">
        <f>'TX-CON-FLSH'!M28</f>
        <v>-64714076</v>
      </c>
      <c r="F28" s="60">
        <f>'TX-CON-GL '!D28</f>
        <v>-19866562</v>
      </c>
      <c r="G28" s="38">
        <f>'TX-CON-GL '!E28</f>
        <v>-28308435.690900005</v>
      </c>
      <c r="H28" s="60">
        <f>F28-D28</f>
        <v>15565163</v>
      </c>
      <c r="I28" s="38">
        <f>G28-E28</f>
        <v>36405640.309099995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-14503671</v>
      </c>
      <c r="G29" s="70">
        <f t="shared" si="4"/>
        <v>-18934238.187600009</v>
      </c>
      <c r="H29" s="69">
        <f t="shared" si="4"/>
        <v>-13098922</v>
      </c>
      <c r="I29" s="70">
        <f t="shared" si="4"/>
        <v>-16415556.187600009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-62854</v>
      </c>
      <c r="G32" s="38">
        <f>'TX-CON-GL '!E32</f>
        <v>-111490.95400000003</v>
      </c>
      <c r="H32" s="60">
        <f>F32-D32</f>
        <v>-62854</v>
      </c>
      <c r="I32" s="38">
        <f>G32-E32</f>
        <v>-111490.95400000003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1220057</v>
      </c>
      <c r="E33" s="66">
        <f>'TX-CON-FLSH'!M33</f>
        <v>2100663.3152872957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-1220057</v>
      </c>
      <c r="I33" s="38">
        <f t="shared" si="5"/>
        <v>-2100663.3152872957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1220057</v>
      </c>
      <c r="E36" s="39">
        <f t="shared" si="6"/>
        <v>2100663.3152872957</v>
      </c>
      <c r="F36" s="61">
        <f t="shared" si="6"/>
        <v>-62854</v>
      </c>
      <c r="G36" s="39">
        <f t="shared" si="6"/>
        <v>-111490.94400000003</v>
      </c>
      <c r="H36" s="61">
        <f t="shared" si="6"/>
        <v>-1282911</v>
      </c>
      <c r="I36" s="39">
        <f t="shared" si="6"/>
        <v>-2212154.2592872959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1121449</v>
      </c>
      <c r="E39" s="66">
        <f>'TX-CON-FLSH'!M39</f>
        <v>1995819</v>
      </c>
      <c r="F39" s="60">
        <f>'TX-CON-GL '!D39</f>
        <v>-18900</v>
      </c>
      <c r="G39" s="38">
        <f>'TX-CON-GL '!E39</f>
        <v>-33642</v>
      </c>
      <c r="H39" s="60">
        <f t="shared" ref="H39:I41" si="7">F39-D39</f>
        <v>-1140349</v>
      </c>
      <c r="I39" s="38">
        <f t="shared" si="7"/>
        <v>-2029461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-7740132</v>
      </c>
      <c r="E40" s="66">
        <f>'TX-CON-FLSH'!M40</f>
        <v>-13774331</v>
      </c>
      <c r="F40" s="60">
        <f>'TX-CON-GL '!D40</f>
        <v>-6964765</v>
      </c>
      <c r="G40" s="38">
        <f>'TX-CON-GL '!E40</f>
        <v>-13531828.139999999</v>
      </c>
      <c r="H40" s="60">
        <f t="shared" si="7"/>
        <v>775367</v>
      </c>
      <c r="I40" s="38">
        <f t="shared" si="7"/>
        <v>242502.86000000127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-539228</v>
      </c>
      <c r="H41" s="60">
        <f t="shared" si="7"/>
        <v>0</v>
      </c>
      <c r="I41" s="38">
        <f t="shared" si="7"/>
        <v>-539228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-13774331</v>
      </c>
      <c r="F42" s="69">
        <f t="shared" si="8"/>
        <v>-6964765</v>
      </c>
      <c r="G42" s="70">
        <f t="shared" si="8"/>
        <v>-14071056.139999999</v>
      </c>
      <c r="H42" s="69">
        <f t="shared" si="8"/>
        <v>775367</v>
      </c>
      <c r="I42" s="70">
        <f t="shared" si="8"/>
        <v>-296725.13999999873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-6618683</v>
      </c>
      <c r="E43" s="39">
        <f t="shared" si="9"/>
        <v>-11778512</v>
      </c>
      <c r="F43" s="61">
        <f t="shared" si="9"/>
        <v>-6983665</v>
      </c>
      <c r="G43" s="39">
        <f t="shared" si="9"/>
        <v>-14104698.139999999</v>
      </c>
      <c r="H43" s="61">
        <f t="shared" si="9"/>
        <v>-364982</v>
      </c>
      <c r="I43" s="39">
        <f t="shared" si="9"/>
        <v>-2326186.1399999987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-527522</v>
      </c>
      <c r="G49" s="38">
        <f>'TX-CON-GL '!E49</f>
        <v>-908789.77399999986</v>
      </c>
      <c r="H49" s="60">
        <f>F49-D49</f>
        <v>-527522</v>
      </c>
      <c r="I49" s="38">
        <f>G49-E49</f>
        <v>-908789.77399999986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-14560</v>
      </c>
      <c r="F51" s="60">
        <f>'TX-CON-GL '!D51</f>
        <v>-9009</v>
      </c>
      <c r="G51" s="38">
        <f>'TX-CON-GL '!E51</f>
        <v>-15454.2</v>
      </c>
      <c r="H51" s="60">
        <f>F51-D51</f>
        <v>-9009</v>
      </c>
      <c r="I51" s="38">
        <f>G51-E51</f>
        <v>-894.20000000000073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-1066961</v>
      </c>
      <c r="F54" s="60">
        <f>'TX-CON-GL '!D54</f>
        <v>-44868726</v>
      </c>
      <c r="G54" s="38">
        <f>'TX-CON-GL '!E54</f>
        <v>-1061267.19</v>
      </c>
      <c r="H54" s="60">
        <f>F54-D54</f>
        <v>-44868726</v>
      </c>
      <c r="I54" s="38">
        <f>G54-E54</f>
        <v>5693.8100000000559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-155300</v>
      </c>
      <c r="F55" s="60">
        <f>'TX-CON-GL '!D55</f>
        <v>3992658</v>
      </c>
      <c r="G55" s="38">
        <f>'TX-CON-GL '!E55</f>
        <v>-802697</v>
      </c>
      <c r="H55" s="60">
        <f>F55-D55</f>
        <v>3992658</v>
      </c>
      <c r="I55" s="38">
        <f>G55-E55</f>
        <v>-647397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-1222261</v>
      </c>
      <c r="F56" s="61">
        <f t="shared" si="10"/>
        <v>-40876068</v>
      </c>
      <c r="G56" s="39">
        <f t="shared" si="10"/>
        <v>-1863964.19</v>
      </c>
      <c r="H56" s="61">
        <f t="shared" si="10"/>
        <v>-40876068</v>
      </c>
      <c r="I56" s="39">
        <f t="shared" si="10"/>
        <v>-641703.18999999994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9346.32</v>
      </c>
      <c r="H59" s="60">
        <f>F59-D59</f>
        <v>0</v>
      </c>
      <c r="I59" s="38">
        <f>G59-E59</f>
        <v>9346.32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4076262.32</v>
      </c>
      <c r="H61" s="69">
        <f t="shared" si="11"/>
        <v>0</v>
      </c>
      <c r="I61" s="70">
        <f t="shared" si="11"/>
        <v>4076262.32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-8262262</v>
      </c>
      <c r="G64" s="38">
        <f>'TX-CON-GL '!E64</f>
        <v>-2287674.5600000005</v>
      </c>
      <c r="H64" s="60">
        <f>F64-D64</f>
        <v>-8262262</v>
      </c>
      <c r="I64" s="38">
        <f>G64-E64</f>
        <v>-2287674.5600000005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-1590136</v>
      </c>
      <c r="H65" s="60">
        <f>F65-D65</f>
        <v>0</v>
      </c>
      <c r="I65" s="38">
        <f>G65-E65</f>
        <v>-1590136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-8262262</v>
      </c>
      <c r="G66" s="39">
        <f t="shared" si="12"/>
        <v>-3877810.5600000005</v>
      </c>
      <c r="H66" s="61">
        <f t="shared" si="12"/>
        <v>-8262262</v>
      </c>
      <c r="I66" s="39">
        <f t="shared" si="12"/>
        <v>-3877810.5600000005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278126</v>
      </c>
      <c r="F70" s="60">
        <f>'TX-CON-GL '!D70</f>
        <v>0</v>
      </c>
      <c r="G70" s="38">
        <f>'TX-CON-GL 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1825706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-975946</v>
      </c>
      <c r="F74" s="60">
        <f>'TX-CON-GL '!D74</f>
        <v>0</v>
      </c>
      <c r="G74" s="38">
        <f>'TX-CON-GL '!E74</f>
        <v>474445</v>
      </c>
      <c r="H74" s="60">
        <f t="shared" ref="H74:I79" si="14">F74-D74</f>
        <v>0</v>
      </c>
      <c r="I74" s="38">
        <f t="shared" si="14"/>
        <v>1450391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86397</v>
      </c>
      <c r="F75" s="60">
        <f>'TX-CON-GL '!D75</f>
        <v>0</v>
      </c>
      <c r="G75" s="38">
        <f>'TX-CON-GL 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-9088</v>
      </c>
      <c r="F76" s="60">
        <f>'TX-CON-GL '!D76</f>
        <v>0</v>
      </c>
      <c r="G76" s="38">
        <f>'TX-CON-GL 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-6827</v>
      </c>
      <c r="F81" s="60">
        <f>'TX-CON-GL '!D81</f>
        <v>0</v>
      </c>
      <c r="G81" s="38">
        <f>'TX-CON-GL '!E81</f>
        <v>-54818</v>
      </c>
      <c r="H81" s="60">
        <f>F81-D81</f>
        <v>0</v>
      </c>
      <c r="I81" s="38">
        <f>G81-E81</f>
        <v>-47991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-272164.68471270427</v>
      </c>
      <c r="F82" s="117">
        <f>F16+F24+F29+F36+F43+F45+F47+F49</f>
        <v>0</v>
      </c>
      <c r="G82" s="118">
        <f>SUM(G72:G81)+G16+G24+G29+G36+G43+G45+G47+G49+G51+G56+G61+G66</f>
        <v>-2255166.6555999978</v>
      </c>
      <c r="H82" s="117">
        <f>H16+H24+H29+H36+H43+H45+H47+H49</f>
        <v>0</v>
      </c>
      <c r="I82" s="118">
        <f>SUM(I72:I81)+I16+I24+I29+I36+I43+I45+I47+I49+I51+I56+I61+I66</f>
        <v>-1983001.9708873085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41" activePane="bottomRight" state="frozen"/>
      <selection activeCell="D10" sqref="D10"/>
      <selection pane="topRight" activeCell="D10" sqref="D10"/>
      <selection pane="bottomLeft" activeCell="D10" sqref="D10"/>
      <selection pane="bottomRight" activeCell="A3" sqref="A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19766941</v>
      </c>
      <c r="E11" s="66">
        <f>'WE-FLSH'!M11</f>
        <v>37756664</v>
      </c>
      <c r="F11" s="60">
        <f>'WE-GL '!D11</f>
        <v>19649168</v>
      </c>
      <c r="G11" s="38">
        <f>'WE-GL '!E11</f>
        <v>39531158.960000001</v>
      </c>
      <c r="H11" s="60">
        <f>F11-D11</f>
        <v>-117773</v>
      </c>
      <c r="I11" s="38">
        <f>G11-E11</f>
        <v>1774494.9600000009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-1088135.08</v>
      </c>
      <c r="H12" s="60">
        <f>F12-D12</f>
        <v>0</v>
      </c>
      <c r="I12" s="38">
        <f>G12-E12</f>
        <v>-1088135.08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14254931</v>
      </c>
      <c r="E13" s="66">
        <f>'WE-FLSH'!M13</f>
        <v>26063190</v>
      </c>
      <c r="F13" s="60">
        <f>'WE-GL '!D13</f>
        <v>14109160</v>
      </c>
      <c r="G13" s="38">
        <f>'WE-GL '!E13</f>
        <v>25626414</v>
      </c>
      <c r="H13" s="60">
        <f t="shared" ref="H13:I15" si="0">F13-D13</f>
        <v>-145771</v>
      </c>
      <c r="I13" s="38">
        <f t="shared" si="0"/>
        <v>-436776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34021872</v>
      </c>
      <c r="E16" s="39">
        <f t="shared" si="1"/>
        <v>63819854</v>
      </c>
      <c r="F16" s="61">
        <f t="shared" si="1"/>
        <v>33758328</v>
      </c>
      <c r="G16" s="39">
        <f t="shared" si="1"/>
        <v>64069437.880000003</v>
      </c>
      <c r="H16" s="61">
        <f t="shared" si="1"/>
        <v>-263544</v>
      </c>
      <c r="I16" s="39">
        <f t="shared" si="1"/>
        <v>249583.88000000082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-17073962</v>
      </c>
      <c r="E19" s="66">
        <f>'WE-FLSH'!M19</f>
        <v>-30540863</v>
      </c>
      <c r="F19" s="60">
        <f>'WE-GL '!D19</f>
        <v>-20216851</v>
      </c>
      <c r="G19" s="38">
        <f>'WE-GL '!E19</f>
        <v>-37033601.960000001</v>
      </c>
      <c r="H19" s="60">
        <f>F19-D19</f>
        <v>-3142889</v>
      </c>
      <c r="I19" s="38">
        <f>G19-E19</f>
        <v>-6492738.9600000009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-186160.06</v>
      </c>
      <c r="H20" s="60">
        <f>F20-D20</f>
        <v>0</v>
      </c>
      <c r="I20" s="38">
        <f>G20-E20</f>
        <v>-186160.06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-17161515</v>
      </c>
      <c r="E21" s="66">
        <f>'WE-FLSH'!M21</f>
        <v>-32130997</v>
      </c>
      <c r="F21" s="60">
        <f>'WE-GL '!D21</f>
        <v>-13572026</v>
      </c>
      <c r="G21" s="38">
        <f>'WE-GL '!E21</f>
        <v>-24645930</v>
      </c>
      <c r="H21" s="60">
        <f t="shared" ref="H21:I23" si="2">F21-D21</f>
        <v>3589489</v>
      </c>
      <c r="I21" s="38">
        <f t="shared" si="2"/>
        <v>7485067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282518</v>
      </c>
      <c r="E23" s="66">
        <f>'WE-FLSH'!M23</f>
        <v>486431</v>
      </c>
      <c r="F23" s="60">
        <f>'WE-GL '!D23</f>
        <v>284811</v>
      </c>
      <c r="G23" s="38">
        <f>'WE-GL '!E23</f>
        <v>515792.72100000002</v>
      </c>
      <c r="H23" s="60">
        <f t="shared" si="2"/>
        <v>2293</v>
      </c>
      <c r="I23" s="38">
        <f t="shared" si="2"/>
        <v>29361.72100000002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-33952959</v>
      </c>
      <c r="E24" s="39">
        <f t="shared" si="3"/>
        <v>-62185429</v>
      </c>
      <c r="F24" s="61">
        <f t="shared" si="3"/>
        <v>-33504066</v>
      </c>
      <c r="G24" s="39">
        <f t="shared" si="3"/>
        <v>-61349899.299000002</v>
      </c>
      <c r="H24" s="61">
        <f t="shared" si="3"/>
        <v>448893</v>
      </c>
      <c r="I24" s="39">
        <f t="shared" si="3"/>
        <v>835529.70099999954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1557</v>
      </c>
      <c r="E32" s="66">
        <f>'WE-FLSH'!M32</f>
        <v>2708</v>
      </c>
      <c r="F32" s="60">
        <f>'WE-GL '!D32</f>
        <v>-24502</v>
      </c>
      <c r="G32" s="38">
        <f>'WE-GL '!E32</f>
        <v>-49983.355999999985</v>
      </c>
      <c r="H32" s="60">
        <f>F32-D32</f>
        <v>-26059</v>
      </c>
      <c r="I32" s="38">
        <f>G32-E32</f>
        <v>-52691.355999999985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-21287</v>
      </c>
      <c r="E33" s="66">
        <f>'WE-FLSH'!M33</f>
        <v>-34838.018990062155</v>
      </c>
      <c r="F33" s="60">
        <f>'WE-GL '!D33</f>
        <v>-5884</v>
      </c>
      <c r="G33" s="38">
        <f>'WE-GL '!E33</f>
        <v>-10269.33</v>
      </c>
      <c r="H33" s="60">
        <f t="shared" ref="H33:I35" si="5">F33-D33</f>
        <v>15403</v>
      </c>
      <c r="I33" s="38">
        <f t="shared" si="5"/>
        <v>24568.688990062154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17489</v>
      </c>
      <c r="G34" s="38">
        <f>'WE-GL '!E34</f>
        <v>25213.51</v>
      </c>
      <c r="H34" s="60">
        <f t="shared" si="5"/>
        <v>17489</v>
      </c>
      <c r="I34" s="38">
        <f t="shared" si="5"/>
        <v>25213.51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-207464</v>
      </c>
      <c r="G35" s="38">
        <f>'WE-GL '!E35</f>
        <v>1.0000000009313226E-2</v>
      </c>
      <c r="H35" s="60">
        <f t="shared" si="5"/>
        <v>-207464</v>
      </c>
      <c r="I35" s="38">
        <f t="shared" si="5"/>
        <v>1.0000000009313226E-2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-19730</v>
      </c>
      <c r="E36" s="39">
        <f t="shared" si="6"/>
        <v>-32130.018990062155</v>
      </c>
      <c r="F36" s="61">
        <f t="shared" si="6"/>
        <v>-220361</v>
      </c>
      <c r="G36" s="39">
        <f t="shared" si="6"/>
        <v>-35039.165999999983</v>
      </c>
      <c r="H36" s="61">
        <f t="shared" si="6"/>
        <v>-200631</v>
      </c>
      <c r="I36" s="39">
        <f t="shared" si="6"/>
        <v>-2909.1470099378239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40309</v>
      </c>
      <c r="E39" s="66">
        <f>'WE-FLSH'!M39</f>
        <v>63698</v>
      </c>
      <c r="F39" s="60">
        <f>'WE-GL '!D39</f>
        <v>0</v>
      </c>
      <c r="G39" s="38">
        <f>'WE-GL '!E39</f>
        <v>0</v>
      </c>
      <c r="H39" s="60">
        <f t="shared" ref="H39:I41" si="7">F39-D39</f>
        <v>-40309</v>
      </c>
      <c r="I39" s="38">
        <f t="shared" si="7"/>
        <v>-63698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-89492</v>
      </c>
      <c r="E40" s="66">
        <f>'WE-FLSH'!M40</f>
        <v>-155668</v>
      </c>
      <c r="F40" s="60">
        <f>'WE-GL '!D40</f>
        <v>-41853</v>
      </c>
      <c r="G40" s="38">
        <f>'WE-GL '!E40</f>
        <v>-70000.87</v>
      </c>
      <c r="H40" s="60">
        <f t="shared" si="7"/>
        <v>47639</v>
      </c>
      <c r="I40" s="38">
        <f t="shared" si="7"/>
        <v>85667.13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-89492</v>
      </c>
      <c r="E42" s="39">
        <f t="shared" si="8"/>
        <v>-155668</v>
      </c>
      <c r="F42" s="61">
        <f t="shared" si="8"/>
        <v>-41853</v>
      </c>
      <c r="G42" s="39">
        <f t="shared" si="8"/>
        <v>-70000.87</v>
      </c>
      <c r="H42" s="61">
        <f t="shared" si="8"/>
        <v>47639</v>
      </c>
      <c r="I42" s="39">
        <f t="shared" si="8"/>
        <v>85667.13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-49183</v>
      </c>
      <c r="E43" s="39">
        <f t="shared" si="9"/>
        <v>-91970</v>
      </c>
      <c r="F43" s="61">
        <f t="shared" si="9"/>
        <v>-41853</v>
      </c>
      <c r="G43" s="39">
        <f t="shared" si="9"/>
        <v>-70000.87</v>
      </c>
      <c r="H43" s="61">
        <f t="shared" si="9"/>
        <v>7330</v>
      </c>
      <c r="I43" s="39">
        <f t="shared" si="9"/>
        <v>21969.130000000005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7952</v>
      </c>
      <c r="G49" s="38">
        <f>'WE-GL '!E49</f>
        <v>14400.652000000033</v>
      </c>
      <c r="H49" s="60">
        <f>F49-D49</f>
        <v>7952</v>
      </c>
      <c r="I49" s="38">
        <f>G49-E49</f>
        <v>14400.652000000033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-282518</v>
      </c>
      <c r="E51" s="66">
        <f>'WE-FLSH'!M51</f>
        <v>-486431</v>
      </c>
      <c r="F51" s="60">
        <f>'WE-GL '!D51</f>
        <v>-284811</v>
      </c>
      <c r="G51" s="38">
        <f>'WE-GL '!E51</f>
        <v>-515792.72100000002</v>
      </c>
      <c r="H51" s="60">
        <f>F51-D51</f>
        <v>-2293</v>
      </c>
      <c r="I51" s="38">
        <f>G51-E51</f>
        <v>-29361.72100000002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-289291</v>
      </c>
      <c r="F54" s="60">
        <f>'WE-GL '!D54</f>
        <v>-11588511</v>
      </c>
      <c r="G54" s="38">
        <f>'WE-GL '!E54</f>
        <v>-121226.95000000001</v>
      </c>
      <c r="H54" s="60">
        <f>F54-D54</f>
        <v>-11588511</v>
      </c>
      <c r="I54" s="38">
        <f>G54-E54</f>
        <v>168064.05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-2835684</v>
      </c>
      <c r="F55" s="60">
        <f>'WE-GL '!D55</f>
        <v>0</v>
      </c>
      <c r="G55" s="38">
        <f>'WE-GL '!E55</f>
        <v>-1935292.3299999998</v>
      </c>
      <c r="H55" s="60">
        <f>F55-D55</f>
        <v>0</v>
      </c>
      <c r="I55" s="38">
        <f>G55-E55</f>
        <v>900391.67000000016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-3124975</v>
      </c>
      <c r="F56" s="61">
        <f t="shared" si="10"/>
        <v>-11588511</v>
      </c>
      <c r="G56" s="39">
        <f t="shared" si="10"/>
        <v>-2056519.2799999998</v>
      </c>
      <c r="H56" s="61">
        <f t="shared" si="10"/>
        <v>-11588511</v>
      </c>
      <c r="I56" s="39">
        <f t="shared" si="10"/>
        <v>1068455.7200000002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757450.83</v>
      </c>
      <c r="F70" s="60">
        <f>'WE-GL '!D70</f>
        <v>0</v>
      </c>
      <c r="G70" s="38">
        <f>'WE-GL '!E70</f>
        <v>-1858948</v>
      </c>
      <c r="H70" s="60">
        <f>F70-D70</f>
        <v>0</v>
      </c>
      <c r="I70" s="38">
        <f>G70-E70</f>
        <v>-2616398.83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-2616399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2616399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-1858948.17</v>
      </c>
      <c r="F72" s="61">
        <f t="shared" si="13"/>
        <v>0</v>
      </c>
      <c r="G72" s="39">
        <f t="shared" si="13"/>
        <v>-1858948</v>
      </c>
      <c r="H72" s="61">
        <f t="shared" si="13"/>
        <v>0</v>
      </c>
      <c r="I72" s="39">
        <f t="shared" si="13"/>
        <v>0.16999999992549419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2590143.2400000002</v>
      </c>
      <c r="F74" s="60">
        <f>'WE-GL '!D74</f>
        <v>0</v>
      </c>
      <c r="G74" s="38">
        <f>'WE-GL '!E74</f>
        <v>1799925</v>
      </c>
      <c r="H74" s="60">
        <f t="shared" ref="H74:I79" si="14">F74-D74</f>
        <v>0</v>
      </c>
      <c r="I74" s="38">
        <f t="shared" si="14"/>
        <v>-790218.24000000022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4105</v>
      </c>
      <c r="F75" s="60">
        <f>'WE-GL '!D75</f>
        <v>0</v>
      </c>
      <c r="G75" s="38">
        <f>'WE-GL '!E75</f>
        <v>4100</v>
      </c>
      <c r="H75" s="60">
        <f t="shared" si="14"/>
        <v>0</v>
      </c>
      <c r="I75" s="38">
        <f t="shared" si="14"/>
        <v>-5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-11114</v>
      </c>
      <c r="F76" s="60">
        <f>'WE-GL '!D76</f>
        <v>0</v>
      </c>
      <c r="G76" s="38">
        <f>'WE-GL '!E76</f>
        <v>-13946.28</v>
      </c>
      <c r="H76" s="60">
        <f t="shared" si="14"/>
        <v>0</v>
      </c>
      <c r="I76" s="38">
        <f t="shared" si="14"/>
        <v>-2832.2800000000007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1621506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-1621506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-110</v>
      </c>
      <c r="F81" s="60">
        <f>'WE-GL '!D81</f>
        <v>0</v>
      </c>
      <c r="G81" s="38">
        <f>'WE-GL '!E81</f>
        <v>59058.83</v>
      </c>
      <c r="H81" s="60">
        <f>F81-D81</f>
        <v>0</v>
      </c>
      <c r="I81" s="38">
        <f>G81-E81</f>
        <v>59168.83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244501.05100993812</v>
      </c>
      <c r="F82" s="117">
        <f>F16+F24+F29+F36+F43+F45+F47+F49</f>
        <v>0</v>
      </c>
      <c r="G82" s="118">
        <f>SUM(G72:G81)+G16+G24+G29+G36+G43+G45+G47+G49+G51+G56+G61+G66</f>
        <v>46776.745999997482</v>
      </c>
      <c r="H82" s="117">
        <f>H16+H24+H29+H36+H43+H45+H47+H49</f>
        <v>0</v>
      </c>
      <c r="I82" s="118">
        <f>SUM(I72:I81)+I16+I24+I29+I36+I43+I45+I47+I49+I51+I56+I61+I66</f>
        <v>-197724.30500993785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13993494</v>
      </c>
      <c r="H13" s="60">
        <f t="shared" ref="H13:I15" si="0">F13-D13</f>
        <v>0</v>
      </c>
      <c r="I13" s="38">
        <f t="shared" si="0"/>
        <v>13993494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14014327</v>
      </c>
      <c r="H16" s="61">
        <f t="shared" si="1"/>
        <v>0</v>
      </c>
      <c r="I16" s="39">
        <f t="shared" si="1"/>
        <v>14014327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-1434348</v>
      </c>
      <c r="H41" s="60">
        <f t="shared" si="7"/>
        <v>0</v>
      </c>
      <c r="I41" s="38">
        <f t="shared" si="7"/>
        <v>-1434348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-1434348</v>
      </c>
      <c r="H42" s="69">
        <f t="shared" si="8"/>
        <v>0</v>
      </c>
      <c r="I42" s="70">
        <f t="shared" si="8"/>
        <v>-1434348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-1434348</v>
      </c>
      <c r="H43" s="61">
        <f t="shared" si="9"/>
        <v>0</v>
      </c>
      <c r="I43" s="39">
        <f t="shared" si="9"/>
        <v>-1434348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-22627</v>
      </c>
      <c r="H51" s="60">
        <f>F51-D51</f>
        <v>0</v>
      </c>
      <c r="I51" s="38">
        <f>G51-E51</f>
        <v>-22627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111883</v>
      </c>
      <c r="H60" s="60">
        <f>F60-D60</f>
        <v>0</v>
      </c>
      <c r="I60" s="38">
        <f>G60-E60</f>
        <v>111883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111883</v>
      </c>
      <c r="H61" s="69">
        <f t="shared" si="11"/>
        <v>0</v>
      </c>
      <c r="I61" s="70">
        <f t="shared" si="11"/>
        <v>111883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-93300</v>
      </c>
      <c r="H64" s="60">
        <f>F64-D64</f>
        <v>0</v>
      </c>
      <c r="I64" s="38">
        <f>G64-E64</f>
        <v>-93300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170000</v>
      </c>
      <c r="H65" s="60">
        <f>F65-D65</f>
        <v>0</v>
      </c>
      <c r="I65" s="38">
        <f>G65-E65</f>
        <v>170000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76700</v>
      </c>
      <c r="H66" s="61">
        <f t="shared" si="12"/>
        <v>0</v>
      </c>
      <c r="I66" s="39">
        <f t="shared" si="12"/>
        <v>76700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3654323</v>
      </c>
      <c r="F70" s="60">
        <f>STG_GL!D70</f>
        <v>0</v>
      </c>
      <c r="G70" s="38">
        <f>STG_GL!E70</f>
        <v>-10791402</v>
      </c>
      <c r="H70" s="60">
        <f>F70-D70</f>
        <v>0</v>
      </c>
      <c r="I70" s="38">
        <f>G70-E70</f>
        <v>-14445725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3654323</v>
      </c>
      <c r="F72" s="69">
        <f t="shared" si="13"/>
        <v>0</v>
      </c>
      <c r="G72" s="70">
        <f t="shared" si="13"/>
        <v>-10791402</v>
      </c>
      <c r="H72" s="69">
        <f t="shared" si="13"/>
        <v>0</v>
      </c>
      <c r="I72" s="70">
        <f t="shared" si="13"/>
        <v>-14445725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232545</v>
      </c>
      <c r="H74" s="60">
        <f t="shared" ref="H74:I79" si="14">F74-D74</f>
        <v>0</v>
      </c>
      <c r="I74" s="38">
        <f t="shared" si="14"/>
        <v>232545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-26496</v>
      </c>
      <c r="H76" s="60">
        <f t="shared" si="14"/>
        <v>0</v>
      </c>
      <c r="I76" s="38">
        <f t="shared" si="14"/>
        <v>-26496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-2114323</v>
      </c>
      <c r="F81" s="60">
        <f>STG_GL!D81</f>
        <v>0</v>
      </c>
      <c r="G81" s="38">
        <f>STG_GL!E81</f>
        <v>-224615</v>
      </c>
      <c r="H81" s="60">
        <f>F81-D81</f>
        <v>0</v>
      </c>
      <c r="I81" s="38">
        <f>G81-E81</f>
        <v>1889708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1540000</v>
      </c>
      <c r="F82" s="117">
        <f>F16+F24+F29+F36+F43+F45+F47+F49</f>
        <v>0</v>
      </c>
      <c r="G82" s="118">
        <f>SUM(G72:G81)+G16+G24+G29+G36+G43+G45+G47+G49+G51+G56+G61+G66</f>
        <v>1722384</v>
      </c>
      <c r="H82" s="117">
        <f>H16+H24+H29+H36+H43+H45+H47+H49</f>
        <v>0</v>
      </c>
      <c r="I82" s="118">
        <f>SUM(I72:I81)+I16+I24+I29+I36+I43+I45+I47+I49+I51+I56+I61+I66</f>
        <v>182384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4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TRNSPT_FLSH!L11</f>
        <v>0</v>
      </c>
      <c r="E11" s="66">
        <f>TRNSPT_FLSH!M11</f>
        <v>0</v>
      </c>
      <c r="F11" s="60">
        <f>'TRANSPT_GL '!D11</f>
        <v>0</v>
      </c>
      <c r="G11" s="38">
        <f>'TRANSPT_GL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TRNSPT_FLSH!L12</f>
        <v>0</v>
      </c>
      <c r="E12" s="66">
        <f>TRNSPT_FLSH!M12</f>
        <v>0</v>
      </c>
      <c r="F12" s="60">
        <f>'TRANSPT_GL '!D12</f>
        <v>0</v>
      </c>
      <c r="G12" s="38">
        <f>'TRANSPT_GL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TRNSPT_FLSH!L13</f>
        <v>0</v>
      </c>
      <c r="E13" s="66">
        <f>TRNSPT_FLSH!M13</f>
        <v>0</v>
      </c>
      <c r="F13" s="60">
        <f>'TRANSPT_GL '!D13</f>
        <v>0</v>
      </c>
      <c r="G13" s="38">
        <f>'TRANSPT_GL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TRNSPT_FLSH!L14</f>
        <v>0</v>
      </c>
      <c r="E14" s="66">
        <f>TRNSPT_FLSH!M14</f>
        <v>0</v>
      </c>
      <c r="F14" s="60">
        <f>'TRANSPT_GL '!D14</f>
        <v>0</v>
      </c>
      <c r="G14" s="38">
        <f>'TRANSPT_GL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TRNSPT_FLSH!L15</f>
        <v>0</v>
      </c>
      <c r="E15" s="66">
        <f>TRNSPT_FLSH!M15</f>
        <v>0</v>
      </c>
      <c r="F15" s="60">
        <f>'TRANSPT_GL '!D15</f>
        <v>0</v>
      </c>
      <c r="G15" s="38">
        <f>'TRANSPT_GL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TRNSPT_FLSH!L19</f>
        <v>0</v>
      </c>
      <c r="E19" s="66">
        <f>TRNSPT_FLSH!M19</f>
        <v>0</v>
      </c>
      <c r="F19" s="60">
        <f>'TRANSPT_GL '!D19</f>
        <v>0</v>
      </c>
      <c r="G19" s="38">
        <f>'TRANSPT_GL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TRNSPT_FLSH!L20</f>
        <v>0</v>
      </c>
      <c r="E20" s="66">
        <f>TRNSPT_FLSH!M20</f>
        <v>0</v>
      </c>
      <c r="F20" s="60">
        <f>'TRANSPT_GL '!D20</f>
        <v>0</v>
      </c>
      <c r="G20" s="38">
        <f>'TRANSPT_GL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TRNSPT_FLSH!L21</f>
        <v>0</v>
      </c>
      <c r="E21" s="66">
        <f>TRNSPT_FLSH!M21</f>
        <v>0</v>
      </c>
      <c r="F21" s="60">
        <f>'TRANSPT_GL '!D21</f>
        <v>0</v>
      </c>
      <c r="G21" s="38">
        <f>'TRANSPT_GL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TRNSPT_FLSH!L22</f>
        <v>0</v>
      </c>
      <c r="E22" s="66">
        <f>TRNSPT_FLSH!M22</f>
        <v>0</v>
      </c>
      <c r="F22" s="60">
        <f>'TRANSPT_GL '!D22</f>
        <v>0</v>
      </c>
      <c r="G22" s="38">
        <f>'TRANSPT_GL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TRNSPT_FLSH!L23</f>
        <v>0</v>
      </c>
      <c r="E23" s="66">
        <f>TRNSPT_FLSH!M23</f>
        <v>0</v>
      </c>
      <c r="F23" s="60">
        <f>'TRANSPT_GL '!D23</f>
        <v>0</v>
      </c>
      <c r="G23" s="38">
        <f>'TRANSPT_GL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TRNSPT_FLSH!L27</f>
        <v>0</v>
      </c>
      <c r="E27" s="66">
        <f>TRNSPT_FLSH!M27</f>
        <v>0</v>
      </c>
      <c r="F27" s="60">
        <f>'TRANSPT_GL '!D27</f>
        <v>0</v>
      </c>
      <c r="G27" s="38">
        <f>'TRANSPT_GL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TRNSPT_FLSH!L28</f>
        <v>0</v>
      </c>
      <c r="E28" s="66">
        <f>TRNSPT_FLSH!M28</f>
        <v>0</v>
      </c>
      <c r="F28" s="60">
        <f>'TRANSPT_GL '!D28</f>
        <v>0</v>
      </c>
      <c r="G28" s="38">
        <f>'TRANSPT_GL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TRNSPT_FLSH!L32</f>
        <v>0</v>
      </c>
      <c r="E32" s="66">
        <f>TRNSPT_FLSH!M32</f>
        <v>0</v>
      </c>
      <c r="F32" s="60">
        <f>'TRANSPT_GL '!D32</f>
        <v>0</v>
      </c>
      <c r="G32" s="38">
        <f>'TRANSPT_GL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TRNSPT_FLSH!L33</f>
        <v>0</v>
      </c>
      <c r="E33" s="66">
        <f>TRNSPT_FLSH!M33</f>
        <v>0</v>
      </c>
      <c r="F33" s="60">
        <f>'TRANSPT_GL '!D33</f>
        <v>0</v>
      </c>
      <c r="G33" s="38">
        <f>'TRANSPT_GL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TRNSPT_FLSH!L34</f>
        <v>0</v>
      </c>
      <c r="E34" s="66">
        <f>TRNSPT_FLSH!M34</f>
        <v>0</v>
      </c>
      <c r="F34" s="60">
        <f>'TRANSPT_GL '!D34</f>
        <v>0</v>
      </c>
      <c r="G34" s="38">
        <f>'TRANSPT_GL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TRNSPT_FLSH!L35</f>
        <v>0</v>
      </c>
      <c r="E35" s="66">
        <f>TRNSPT_FLSH!M35</f>
        <v>0</v>
      </c>
      <c r="F35" s="60">
        <f>'TRANSPT_GL '!D35</f>
        <v>0</v>
      </c>
      <c r="G35" s="38">
        <f>'TRANSPT_GL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TRNSPT_FLSH!L39</f>
        <v>0</v>
      </c>
      <c r="E39" s="66">
        <f>TRNSPT_FLSH!M39</f>
        <v>0</v>
      </c>
      <c r="F39" s="60">
        <f>'TRANSPT_GL '!D39</f>
        <v>0</v>
      </c>
      <c r="G39" s="38">
        <f>'TRANSPT_GL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TRNSPT_FLSH!L40</f>
        <v>0</v>
      </c>
      <c r="E40" s="66">
        <f>TRNSPT_FLSH!M40</f>
        <v>0</v>
      </c>
      <c r="F40" s="60">
        <f>'TRANSPT_GL '!D40</f>
        <v>0</v>
      </c>
      <c r="G40" s="38">
        <f>'TRANSPT_GL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TRNSPT_FLSH!L41</f>
        <v>0</v>
      </c>
      <c r="E41" s="66">
        <f>TRNSPT_FLSH!M41</f>
        <v>0</v>
      </c>
      <c r="F41" s="60">
        <f>'TRANSPT_GL '!D41</f>
        <v>0</v>
      </c>
      <c r="G41" s="38">
        <f>'TRANSPT_GL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TRNSPT_FLSH!L45</f>
        <v>0</v>
      </c>
      <c r="E45" s="66">
        <f>TRNSPT_FLSH!M45</f>
        <v>0</v>
      </c>
      <c r="F45" s="60">
        <f>'TRANSPT_GL '!D45</f>
        <v>0</v>
      </c>
      <c r="G45" s="38">
        <f>'TRANSPT_GL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TRNSPT_FLSH!L47</f>
        <v>0</v>
      </c>
      <c r="E47" s="66">
        <f>TRNSPT_FLSH!M47</f>
        <v>0</v>
      </c>
      <c r="F47" s="60">
        <f>'TRANSPT_GL '!D47</f>
        <v>0</v>
      </c>
      <c r="G47" s="38">
        <f>'TRANSPT_GL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TRNSPT_FLSH!L49</f>
        <v>0</v>
      </c>
      <c r="E49" s="66">
        <f>TRNSPT_FLSH!M49</f>
        <v>0</v>
      </c>
      <c r="F49" s="60">
        <f>'TRANSPT_GL '!D49</f>
        <v>0</v>
      </c>
      <c r="G49" s="38">
        <f>'TRANSPT_GL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TRNSPT_FLSH!L51</f>
        <v>0</v>
      </c>
      <c r="E51" s="66">
        <f>TRNSPT_FLSH!M51</f>
        <v>0</v>
      </c>
      <c r="F51" s="60">
        <f>'TRANSPT_GL '!D51</f>
        <v>0</v>
      </c>
      <c r="G51" s="38">
        <f>'TRANSPT_GL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TRNSPT_FLSH!L54</f>
        <v>0</v>
      </c>
      <c r="E54" s="66">
        <f>TRNSPT_FLSH!M54</f>
        <v>0</v>
      </c>
      <c r="F54" s="60">
        <f>'TRANSPT_GL '!D54</f>
        <v>0</v>
      </c>
      <c r="G54" s="38">
        <f>'TRANSPT_GL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TRNSPT_FLSH!L55</f>
        <v>0</v>
      </c>
      <c r="E55" s="66">
        <f>TRNSPT_FLSH!M55</f>
        <v>0</v>
      </c>
      <c r="F55" s="60">
        <f>'TRANSPT_GL '!D55</f>
        <v>0</v>
      </c>
      <c r="G55" s="38">
        <f>'TRANSPT_GL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TRNSPT_FLSH!L59</f>
        <v>0</v>
      </c>
      <c r="E59" s="66">
        <f>TRNSPT_FLSH!M59</f>
        <v>0</v>
      </c>
      <c r="F59" s="60">
        <f>'TRANSPT_GL '!D59</f>
        <v>0</v>
      </c>
      <c r="G59" s="38">
        <f>'TRANSPT_GL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TRNSPT_FLSH!L60</f>
        <v>0</v>
      </c>
      <c r="E60" s="66">
        <f>TRNSPT_FLSH!M60</f>
        <v>0</v>
      </c>
      <c r="F60" s="60">
        <f>'TRANSPT_GL '!D60</f>
        <v>0</v>
      </c>
      <c r="G60" s="38">
        <f>'TRANSPT_GL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TRNSPT_FLSH!L64</f>
        <v>0</v>
      </c>
      <c r="E64" s="66">
        <f>TRNSPT_FLSH!M64</f>
        <v>0</v>
      </c>
      <c r="F64" s="60">
        <f>'TRANSPT_GL '!D64</f>
        <v>0</v>
      </c>
      <c r="G64" s="38">
        <f>'TRANSPT_GL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TRNSPT_FLSH!L65</f>
        <v>0</v>
      </c>
      <c r="E65" s="66">
        <f>TRNSPT_FLSH!M65</f>
        <v>0</v>
      </c>
      <c r="F65" s="60">
        <f>'TRANSPT_GL '!D65</f>
        <v>0</v>
      </c>
      <c r="G65" s="38">
        <f>'TRANSPT_GL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TRNSPT_FLSH!L70</f>
        <v>0</v>
      </c>
      <c r="E70" s="66">
        <f>TRNSPT_FLSH!M70</f>
        <v>0</v>
      </c>
      <c r="F70" s="60">
        <f>'TRANSPT_GL '!D70</f>
        <v>0</v>
      </c>
      <c r="G70" s="38">
        <f>'TRANSPT_GL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TRNSPT_FLSH!L71</f>
        <v>0</v>
      </c>
      <c r="E71" s="66">
        <f>TRNSPT_FLSH!M71</f>
        <v>0</v>
      </c>
      <c r="F71" s="60">
        <f>'TRANSPT_GL '!D71</f>
        <v>0</v>
      </c>
      <c r="G71" s="38">
        <f>'TRANSPT_GL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TRNSPT_FLSH!L73</f>
        <v>0</v>
      </c>
      <c r="E73" s="66">
        <f>TRNSPT_FLSH!M73</f>
        <v>0</v>
      </c>
      <c r="F73" s="60">
        <f>'TRANSPT_GL '!D73</f>
        <v>0</v>
      </c>
      <c r="G73" s="38">
        <f>'TRANSPT_GL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TRNSPT_FLSH!L74</f>
        <v>0</v>
      </c>
      <c r="E74" s="66">
        <f>TRNSPT_FLSH!M74</f>
        <v>0</v>
      </c>
      <c r="F74" s="60">
        <f>'TRANSPT_GL '!D74</f>
        <v>0</v>
      </c>
      <c r="G74" s="38">
        <f>'TRANSPT_GL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TRNSPT_FLSH!L75</f>
        <v>0</v>
      </c>
      <c r="E75" s="66">
        <f>TRNSPT_FLSH!M75</f>
        <v>0</v>
      </c>
      <c r="F75" s="60">
        <f>'TRANSPT_GL '!D75</f>
        <v>0</v>
      </c>
      <c r="G75" s="38">
        <f>'TRANSPT_GL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TRNSPT_FLSH!L76</f>
        <v>0</v>
      </c>
      <c r="E76" s="66">
        <f>TRNSPT_FLSH!M76</f>
        <v>0</v>
      </c>
      <c r="F76" s="60">
        <f>'TRANSPT_GL '!D76</f>
        <v>0</v>
      </c>
      <c r="G76" s="38">
        <f>'TRANSPT_GL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TRNSPT_FLSH!L77</f>
        <v>0</v>
      </c>
      <c r="E77" s="66">
        <f>TRNSPT_FLSH!M77</f>
        <v>0</v>
      </c>
      <c r="F77" s="60">
        <f>'TRANSPT_GL '!D77</f>
        <v>0</v>
      </c>
      <c r="G77" s="38">
        <f>'TRANSPT_GL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TRNSPT_FLSH!L78</f>
        <v>0</v>
      </c>
      <c r="E78" s="66">
        <f>TRNSPT_FLSH!M78</f>
        <v>0</v>
      </c>
      <c r="F78" s="60">
        <f>'TRANSPT_GL '!D78</f>
        <v>0</v>
      </c>
      <c r="G78" s="38">
        <f>'TRANSPT_GL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TRNSPT_FLSH!L79</f>
        <v>0</v>
      </c>
      <c r="E79" s="66">
        <f>TRNSPT_FLSH!M79</f>
        <v>0</v>
      </c>
      <c r="F79" s="60">
        <f>'TRANSPT_GL '!D79</f>
        <v>0</v>
      </c>
      <c r="G79" s="38">
        <f>'TRANSPT_GL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TRNSPT_FLSH!L80</f>
        <v>0</v>
      </c>
      <c r="E80" s="66">
        <f>TRNSPT_FLSH!M80</f>
        <v>0</v>
      </c>
      <c r="F80" s="60">
        <f>'TRANSPT_GL '!D80</f>
        <v>0</v>
      </c>
      <c r="G80" s="38">
        <f>'TRANSPT_GL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TRNSPT_FLSH!L81</f>
        <v>0</v>
      </c>
      <c r="E81" s="66">
        <f>TRNSPT_FLSH!M81</f>
        <v>0</v>
      </c>
      <c r="F81" s="60">
        <f>'TRANSPT_GL '!D81</f>
        <v>0</v>
      </c>
      <c r="G81" s="38">
        <f>'TRANSPT_GL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6206940</v>
      </c>
      <c r="E11" s="66">
        <f>BGC_FLSH!E11</f>
        <v>6390500</v>
      </c>
      <c r="F11" s="60">
        <f>BGC_GL!D11</f>
        <v>6206968</v>
      </c>
      <c r="G11" s="38">
        <f>BGC_GL!E11</f>
        <v>6335052.2700000014</v>
      </c>
      <c r="H11" s="60">
        <f>F11-D11</f>
        <v>28</v>
      </c>
      <c r="I11" s="38">
        <f>G11-E11</f>
        <v>-55447.729999998584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14078963</v>
      </c>
      <c r="E13" s="66">
        <f>BGC_FLSH!E13</f>
        <v>31403869</v>
      </c>
      <c r="F13" s="60">
        <f>BGC_GL!D13</f>
        <v>14078963</v>
      </c>
      <c r="G13" s="38">
        <f>BGC_GL!E13</f>
        <v>31390395</v>
      </c>
      <c r="H13" s="60">
        <f t="shared" ref="H13:I15" si="0">F13-D13</f>
        <v>0</v>
      </c>
      <c r="I13" s="38">
        <f t="shared" si="0"/>
        <v>-13474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20285903</v>
      </c>
      <c r="E16" s="39">
        <f t="shared" si="1"/>
        <v>37794369</v>
      </c>
      <c r="F16" s="61">
        <f t="shared" si="1"/>
        <v>20285931</v>
      </c>
      <c r="G16" s="39">
        <f t="shared" si="1"/>
        <v>37725447.270000003</v>
      </c>
      <c r="H16" s="61">
        <f t="shared" si="1"/>
        <v>28</v>
      </c>
      <c r="I16" s="39">
        <f t="shared" si="1"/>
        <v>-68921.729999998584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-2548538</v>
      </c>
      <c r="E19" s="66">
        <f>BGC_FLSH!E19</f>
        <v>-1384819</v>
      </c>
      <c r="F19" s="60">
        <f>BGC_GL!D19</f>
        <v>-2548538</v>
      </c>
      <c r="G19" s="38">
        <f>BGC_GL!E19</f>
        <v>-1384830.2</v>
      </c>
      <c r="H19" s="60">
        <f>F19-D19</f>
        <v>0</v>
      </c>
      <c r="I19" s="38">
        <f>G19-E19</f>
        <v>-11.199999999953434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-16482775</v>
      </c>
      <c r="E21" s="66">
        <f>BGC_FLSH!E21</f>
        <v>-35464469</v>
      </c>
      <c r="F21" s="60">
        <f>BGC_GL!D21</f>
        <v>-16482775</v>
      </c>
      <c r="G21" s="38">
        <f>BGC_GL!E21</f>
        <v>-35448137</v>
      </c>
      <c r="H21" s="60">
        <f t="shared" ref="H21:I23" si="2">F21-D21</f>
        <v>0</v>
      </c>
      <c r="I21" s="38">
        <f t="shared" si="2"/>
        <v>16332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441422</v>
      </c>
      <c r="E23" s="66">
        <f>BGC_FLSH!E23</f>
        <v>840680</v>
      </c>
      <c r="F23" s="60">
        <f>BGC_GL!D23</f>
        <v>0</v>
      </c>
      <c r="G23" s="38">
        <f>BGC_GL!E23</f>
        <v>-2.0000000000006679E-3</v>
      </c>
      <c r="H23" s="60">
        <f t="shared" si="2"/>
        <v>-441422</v>
      </c>
      <c r="I23" s="38">
        <f t="shared" si="2"/>
        <v>-840680.00199999998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-18589891</v>
      </c>
      <c r="E24" s="39">
        <f t="shared" si="3"/>
        <v>-36008608</v>
      </c>
      <c r="F24" s="61">
        <f t="shared" si="3"/>
        <v>-19031313</v>
      </c>
      <c r="G24" s="39">
        <f t="shared" si="3"/>
        <v>-36832967.202</v>
      </c>
      <c r="H24" s="61">
        <f t="shared" si="3"/>
        <v>-441422</v>
      </c>
      <c r="I24" s="39">
        <f t="shared" si="3"/>
        <v>-824359.20199999993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14496</v>
      </c>
      <c r="E32" s="66">
        <f>BGC_FLSH!E32</f>
        <v>34030</v>
      </c>
      <c r="F32" s="60">
        <f>BGC_GL!D32</f>
        <v>6</v>
      </c>
      <c r="G32" s="38">
        <f>BGC_GL!E32</f>
        <v>10.6</v>
      </c>
      <c r="H32" s="60">
        <f>F32-D32</f>
        <v>-14490</v>
      </c>
      <c r="I32" s="38">
        <f>G32-E32</f>
        <v>-34019.4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-14697</v>
      </c>
      <c r="E33" s="66">
        <f>BGC_FLSH!E33</f>
        <v>-33286</v>
      </c>
      <c r="F33" s="60">
        <f>BGC_GL!D33</f>
        <v>0</v>
      </c>
      <c r="G33" s="38">
        <f>BGC_GL!E33</f>
        <v>-0.3</v>
      </c>
      <c r="H33" s="60">
        <f t="shared" ref="H33:I35" si="5">F33-D33</f>
        <v>14697</v>
      </c>
      <c r="I33" s="38">
        <f t="shared" si="5"/>
        <v>33285.699999999997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0</v>
      </c>
      <c r="E34" s="66">
        <f>BGC_FLSH!E34</f>
        <v>0</v>
      </c>
      <c r="F34" s="60">
        <f>BGC_GL!D34</f>
        <v>0</v>
      </c>
      <c r="G34" s="38">
        <f>BGC_GL!E34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0</v>
      </c>
      <c r="E35" s="66">
        <f>BGC_FLSH!E35</f>
        <v>0</v>
      </c>
      <c r="F35" s="60">
        <f>BGC_GL!D35</f>
        <v>0</v>
      </c>
      <c r="G35" s="38">
        <f>BGC_GL!E35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-201</v>
      </c>
      <c r="E36" s="39">
        <f t="shared" si="6"/>
        <v>744</v>
      </c>
      <c r="F36" s="61">
        <f t="shared" si="6"/>
        <v>6</v>
      </c>
      <c r="G36" s="39">
        <f t="shared" si="6"/>
        <v>10.299999999999999</v>
      </c>
      <c r="H36" s="61">
        <f t="shared" si="6"/>
        <v>207</v>
      </c>
      <c r="I36" s="39">
        <f t="shared" si="6"/>
        <v>-733.70000000000437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29964</v>
      </c>
      <c r="E39" s="66">
        <f>BGC_FLSH!E39</f>
        <v>58430</v>
      </c>
      <c r="F39" s="60">
        <f>BGC_GL!D39</f>
        <v>0</v>
      </c>
      <c r="G39" s="38">
        <f>BGC_GL!E39</f>
        <v>0</v>
      </c>
      <c r="H39" s="60">
        <f t="shared" ref="H39:I41" si="7">F39-D39</f>
        <v>-29964</v>
      </c>
      <c r="I39" s="38">
        <f t="shared" si="7"/>
        <v>-58430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-1725775</v>
      </c>
      <c r="E40" s="66">
        <f>BGC_FLSH!E40</f>
        <v>-250341</v>
      </c>
      <c r="F40" s="60">
        <f>BGC_GL!D40</f>
        <v>-1700650</v>
      </c>
      <c r="G40" s="38">
        <f>BGC_GL!E40</f>
        <v>-0.05</v>
      </c>
      <c r="H40" s="60">
        <f t="shared" si="7"/>
        <v>25125</v>
      </c>
      <c r="I40" s="38">
        <f t="shared" si="7"/>
        <v>250340.95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-1725775</v>
      </c>
      <c r="E42" s="70">
        <f t="shared" si="8"/>
        <v>-250341</v>
      </c>
      <c r="F42" s="69">
        <f t="shared" si="8"/>
        <v>-1700650</v>
      </c>
      <c r="G42" s="70">
        <f t="shared" si="8"/>
        <v>-0.05</v>
      </c>
      <c r="H42" s="69">
        <f t="shared" si="8"/>
        <v>25125</v>
      </c>
      <c r="I42" s="70">
        <f t="shared" si="8"/>
        <v>250340.95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-1695811</v>
      </c>
      <c r="E43" s="39">
        <f t="shared" si="9"/>
        <v>-191911</v>
      </c>
      <c r="F43" s="61">
        <f t="shared" si="9"/>
        <v>-1700650</v>
      </c>
      <c r="G43" s="39">
        <f t="shared" si="9"/>
        <v>-0.05</v>
      </c>
      <c r="H43" s="61">
        <f t="shared" si="9"/>
        <v>-4839</v>
      </c>
      <c r="I43" s="39">
        <f t="shared" si="9"/>
        <v>191910.95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446026</v>
      </c>
      <c r="G49" s="38">
        <f>BGC_GL!E49</f>
        <v>787731.14199999999</v>
      </c>
      <c r="H49" s="60">
        <f>F49-D49</f>
        <v>446026</v>
      </c>
      <c r="I49" s="38">
        <f>G49-E49</f>
        <v>787731.14199999999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-441422</v>
      </c>
      <c r="E51" s="66">
        <f>BGC_FLSH!E51</f>
        <v>-840680</v>
      </c>
      <c r="F51" s="60">
        <f>BGC_GL!D51</f>
        <v>441422</v>
      </c>
      <c r="G51" s="38">
        <f>BGC_GL!E51</f>
        <v>2.0000000000006679E-3</v>
      </c>
      <c r="H51" s="60">
        <f>F51-D51</f>
        <v>882844</v>
      </c>
      <c r="I51" s="38">
        <f>G51-E51</f>
        <v>840680.00199999998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-678671</v>
      </c>
      <c r="F54" s="60">
        <f>BGC_GL!D54</f>
        <v>-41356</v>
      </c>
      <c r="G54" s="38">
        <f>BGC_GL!E54</f>
        <v>-732262.77</v>
      </c>
      <c r="H54" s="60">
        <f>F54-D54</f>
        <v>-41356</v>
      </c>
      <c r="I54" s="38">
        <f>G54-E54</f>
        <v>-53591.770000000019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-4020431</v>
      </c>
      <c r="F55" s="60">
        <f>BGC_GL!D55</f>
        <v>0</v>
      </c>
      <c r="G55" s="38">
        <f>BGC_GL!E55</f>
        <v>-5506.48</v>
      </c>
      <c r="H55" s="60">
        <f>F55-D55</f>
        <v>0</v>
      </c>
      <c r="I55" s="38">
        <f>G55-E55</f>
        <v>4014924.52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-4699102</v>
      </c>
      <c r="F56" s="61">
        <f t="shared" si="10"/>
        <v>-41356</v>
      </c>
      <c r="G56" s="39">
        <f t="shared" si="10"/>
        <v>-737769.25</v>
      </c>
      <c r="H56" s="61">
        <f t="shared" si="10"/>
        <v>-41356</v>
      </c>
      <c r="I56" s="39">
        <f t="shared" si="10"/>
        <v>3961332.75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-154392</v>
      </c>
      <c r="F70" s="60">
        <f>BGC_GL!D70</f>
        <v>0</v>
      </c>
      <c r="G70" s="38">
        <f>BGC_GL!E70</f>
        <v>-154392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-154392</v>
      </c>
      <c r="F72" s="69">
        <f t="shared" si="13"/>
        <v>0</v>
      </c>
      <c r="G72" s="70">
        <f t="shared" si="13"/>
        <v>-154392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4020431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-4020431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27532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-27532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-51617</v>
      </c>
      <c r="F82" s="117">
        <f>F16+F24+F29+F36+F43+F45+F47+F49</f>
        <v>0</v>
      </c>
      <c r="G82" s="118">
        <f>SUM(G72:G81)+G16+G24+G29+G36+G43+G45+G47+G49+G51+G56+G61+G66</f>
        <v>788060.21200000378</v>
      </c>
      <c r="H82" s="117">
        <f>H16+H24+H29+H36+H43+H45+H47+H49</f>
        <v>0</v>
      </c>
      <c r="I82" s="118">
        <f>SUM(I72:I81)+I16+I24+I29+I36+I43+I45+I47+I49+I51+I56+I61+I66</f>
        <v>839677.21200000169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D623" activePane="bottomRight" state="frozen"/>
      <selection pane="topRight" activeCell="E1" sqref="E1"/>
      <selection pane="bottomLeft" activeCell="A4" sqref="A4"/>
      <selection pane="bottomRight" activeCell="AJ626" sqref="AJ62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2.85546875" customWidth="1"/>
    <col min="12" max="12" width="11.7109375" customWidth="1"/>
    <col min="13" max="13" width="14.28515625" customWidth="1"/>
    <col min="14" max="14" width="12.42578125" customWidth="1"/>
    <col min="15" max="15" width="12.5703125" customWidth="1"/>
    <col min="16" max="16" width="12.28515625" customWidth="1"/>
    <col min="21" max="21" width="12" customWidth="1"/>
    <col min="25" max="25" width="12.5703125" customWidth="1"/>
    <col min="37" max="37" width="11.5703125" customWidth="1"/>
  </cols>
  <sheetData>
    <row r="1" spans="1:118" ht="28.5" customHeight="1" x14ac:dyDescent="0.2">
      <c r="E1" s="207">
        <v>36161</v>
      </c>
      <c r="F1" s="207"/>
      <c r="G1" s="204">
        <f>+E1+31</f>
        <v>36192</v>
      </c>
      <c r="H1" s="204"/>
      <c r="I1" s="204">
        <f>+G1+30</f>
        <v>36222</v>
      </c>
      <c r="J1" s="204"/>
      <c r="K1" s="204">
        <f>+I1+31</f>
        <v>36253</v>
      </c>
      <c r="L1" s="204"/>
      <c r="M1" s="204">
        <f>+K1+31</f>
        <v>36284</v>
      </c>
      <c r="N1" s="204"/>
      <c r="O1" s="204">
        <f>+M1+30</f>
        <v>36314</v>
      </c>
      <c r="P1" s="204"/>
      <c r="Q1" s="204">
        <f>+O1+31</f>
        <v>36345</v>
      </c>
      <c r="R1" s="204"/>
      <c r="S1" s="204">
        <f>+Q1+31</f>
        <v>36376</v>
      </c>
      <c r="T1" s="204"/>
      <c r="U1" s="204">
        <f>+S1+31</f>
        <v>36407</v>
      </c>
      <c r="V1" s="204"/>
      <c r="W1" s="204">
        <f>+U1+31</f>
        <v>36438</v>
      </c>
      <c r="X1" s="204"/>
      <c r="Y1" s="204">
        <f>+W1+31</f>
        <v>36469</v>
      </c>
      <c r="Z1" s="204"/>
      <c r="AA1" s="204">
        <f>+Y1+31</f>
        <v>36500</v>
      </c>
      <c r="AB1" s="204"/>
      <c r="AC1" s="204">
        <f>+AA1+31</f>
        <v>36531</v>
      </c>
      <c r="AD1" s="204"/>
      <c r="AE1" s="204">
        <f>+AC1+31</f>
        <v>36562</v>
      </c>
      <c r="AF1" s="204"/>
      <c r="AG1" s="204">
        <f>+AE1+31</f>
        <v>36593</v>
      </c>
      <c r="AH1" s="204"/>
      <c r="AI1" s="204">
        <f>+AG1+31</f>
        <v>36624</v>
      </c>
      <c r="AJ1" s="204"/>
    </row>
    <row r="2" spans="1:118" x14ac:dyDescent="0.2">
      <c r="A2" s="119" t="s">
        <v>125</v>
      </c>
      <c r="B2" s="119" t="s">
        <v>126</v>
      </c>
      <c r="C2" s="119" t="s">
        <v>127</v>
      </c>
      <c r="D2" s="119" t="s">
        <v>128</v>
      </c>
      <c r="E2" s="120" t="s">
        <v>129</v>
      </c>
      <c r="F2" s="120" t="s">
        <v>130</v>
      </c>
      <c r="G2" t="s">
        <v>131</v>
      </c>
    </row>
    <row r="3" spans="1:118" s="123" customFormat="1" x14ac:dyDescent="0.2">
      <c r="A3" s="121" t="s">
        <v>132</v>
      </c>
      <c r="B3" s="121" t="s">
        <v>126</v>
      </c>
      <c r="C3" s="121" t="s">
        <v>127</v>
      </c>
      <c r="D3" s="121" t="s">
        <v>128</v>
      </c>
      <c r="E3" s="122" t="s">
        <v>182</v>
      </c>
      <c r="F3" s="123" t="s">
        <v>183</v>
      </c>
      <c r="G3" s="122" t="s">
        <v>182</v>
      </c>
      <c r="H3" s="123" t="s">
        <v>183</v>
      </c>
      <c r="I3" s="122" t="s">
        <v>182</v>
      </c>
      <c r="J3" s="123" t="s">
        <v>183</v>
      </c>
      <c r="K3" s="122" t="s">
        <v>182</v>
      </c>
      <c r="L3" s="123" t="s">
        <v>183</v>
      </c>
      <c r="M3" s="122" t="s">
        <v>182</v>
      </c>
      <c r="N3" s="123" t="s">
        <v>183</v>
      </c>
      <c r="O3" s="122" t="s">
        <v>182</v>
      </c>
      <c r="P3" s="123" t="s">
        <v>183</v>
      </c>
      <c r="Q3" s="122" t="s">
        <v>182</v>
      </c>
      <c r="R3" s="123" t="s">
        <v>183</v>
      </c>
      <c r="S3" s="122" t="s">
        <v>182</v>
      </c>
      <c r="T3" s="123" t="s">
        <v>183</v>
      </c>
      <c r="U3" s="122" t="s">
        <v>182</v>
      </c>
      <c r="V3" s="123" t="s">
        <v>183</v>
      </c>
      <c r="W3" s="122" t="s">
        <v>182</v>
      </c>
      <c r="X3" s="123" t="s">
        <v>183</v>
      </c>
      <c r="Y3" s="122" t="s">
        <v>182</v>
      </c>
      <c r="Z3" s="123" t="s">
        <v>183</v>
      </c>
      <c r="AA3" s="122" t="s">
        <v>182</v>
      </c>
      <c r="AB3" s="123" t="s">
        <v>183</v>
      </c>
      <c r="AC3" s="122" t="s">
        <v>182</v>
      </c>
      <c r="AD3" s="123" t="s">
        <v>183</v>
      </c>
      <c r="AE3" s="122" t="s">
        <v>182</v>
      </c>
      <c r="AF3" s="123" t="s">
        <v>183</v>
      </c>
      <c r="AG3" s="123" t="s">
        <v>182</v>
      </c>
      <c r="AH3" s="123" t="s">
        <v>183</v>
      </c>
      <c r="AI3" s="123" t="s">
        <v>182</v>
      </c>
      <c r="AJ3" s="123" t="s">
        <v>183</v>
      </c>
    </row>
    <row r="4" spans="1:118" x14ac:dyDescent="0.2">
      <c r="A4" s="124" t="s">
        <v>133</v>
      </c>
      <c r="B4" s="124" t="s">
        <v>134</v>
      </c>
      <c r="C4" s="125">
        <v>1</v>
      </c>
      <c r="D4" s="124" t="s">
        <v>29</v>
      </c>
      <c r="E4" s="126">
        <v>25430142</v>
      </c>
      <c r="F4" s="126">
        <v>47754063.149999999</v>
      </c>
      <c r="G4" s="127">
        <v>328672</v>
      </c>
      <c r="H4" s="127">
        <v>510966.03</v>
      </c>
      <c r="I4" s="127">
        <v>34686</v>
      </c>
      <c r="J4" s="127">
        <v>295627.52000000002</v>
      </c>
      <c r="K4" s="127">
        <v>-383436</v>
      </c>
      <c r="L4" s="127">
        <v>-746477.4</v>
      </c>
      <c r="M4" s="127">
        <v>-103707</v>
      </c>
      <c r="N4" s="127">
        <v>-521369.96</v>
      </c>
      <c r="O4" s="127">
        <v>-156160</v>
      </c>
      <c r="P4" s="127">
        <v>-285978.83</v>
      </c>
      <c r="Q4" s="127">
        <v>21602</v>
      </c>
      <c r="R4" s="127">
        <v>54022.69</v>
      </c>
      <c r="S4" s="127">
        <v>0</v>
      </c>
      <c r="T4" s="127">
        <v>0.01</v>
      </c>
      <c r="U4" s="127">
        <v>-6287</v>
      </c>
      <c r="V4" s="127">
        <v>-11055.22</v>
      </c>
      <c r="W4" s="127">
        <v>228993</v>
      </c>
      <c r="X4" s="127">
        <v>449867.06</v>
      </c>
      <c r="Y4" s="127">
        <v>0</v>
      </c>
      <c r="Z4" s="127">
        <v>0</v>
      </c>
      <c r="AA4" s="127">
        <v>-20149</v>
      </c>
      <c r="AB4" s="127">
        <v>-34772.879999999997</v>
      </c>
      <c r="AC4" s="127">
        <v>0</v>
      </c>
      <c r="AD4" s="127">
        <v>-188.08</v>
      </c>
      <c r="AE4" s="127">
        <v>669</v>
      </c>
      <c r="AF4" s="127">
        <v>1184.1300000000001</v>
      </c>
      <c r="AG4" s="127">
        <v>0</v>
      </c>
      <c r="AH4" s="127">
        <v>0</v>
      </c>
      <c r="AI4" s="127">
        <v>4854</v>
      </c>
      <c r="AJ4" s="127">
        <v>15240.3</v>
      </c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133</v>
      </c>
      <c r="B5" s="124" t="s">
        <v>134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133</v>
      </c>
      <c r="B6" s="124" t="s">
        <v>134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133</v>
      </c>
      <c r="B7" s="124" t="s">
        <v>134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133</v>
      </c>
      <c r="B8" s="124" t="s">
        <v>134</v>
      </c>
      <c r="C8" s="125">
        <v>5</v>
      </c>
      <c r="D8" s="124" t="s">
        <v>135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133</v>
      </c>
      <c r="B9" s="124" t="s">
        <v>134</v>
      </c>
      <c r="C9" s="125">
        <v>6</v>
      </c>
      <c r="D9" s="124" t="s">
        <v>29</v>
      </c>
      <c r="E9" s="126">
        <v>-4358908</v>
      </c>
      <c r="F9" s="126">
        <v>-7632869.3700000001</v>
      </c>
      <c r="G9" s="127">
        <v>-411951</v>
      </c>
      <c r="H9" s="127">
        <v>-703826.41</v>
      </c>
      <c r="I9" s="127">
        <v>-61740</v>
      </c>
      <c r="J9" s="127">
        <v>-103538.1</v>
      </c>
      <c r="K9" s="127">
        <v>-103412</v>
      </c>
      <c r="L9" s="127">
        <v>-178168.44</v>
      </c>
      <c r="M9" s="127">
        <v>148744</v>
      </c>
      <c r="N9" s="127">
        <v>390760.47</v>
      </c>
      <c r="O9" s="127">
        <v>-108366</v>
      </c>
      <c r="P9" s="127">
        <v>-181116.49</v>
      </c>
      <c r="Q9" s="127">
        <v>-519</v>
      </c>
      <c r="R9" s="127">
        <v>-785.79</v>
      </c>
      <c r="S9" s="127">
        <v>6536</v>
      </c>
      <c r="T9" s="127">
        <v>10025.709999999999</v>
      </c>
      <c r="U9" s="127">
        <v>-3192</v>
      </c>
      <c r="V9" s="127">
        <v>-5200.1499999999996</v>
      </c>
      <c r="W9" s="127">
        <v>-203375</v>
      </c>
      <c r="X9" s="127">
        <v>-353719.5</v>
      </c>
      <c r="Y9" s="127">
        <v>2781</v>
      </c>
      <c r="Z9" s="127">
        <v>4554.16</v>
      </c>
      <c r="AA9" s="127">
        <v>-39851</v>
      </c>
      <c r="AB9" s="127">
        <v>-69934.78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-4854</v>
      </c>
      <c r="AJ9" s="127">
        <v>-8588.15</v>
      </c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133</v>
      </c>
      <c r="B10" s="124" t="s">
        <v>134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133</v>
      </c>
      <c r="B11" s="124" t="s">
        <v>134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133</v>
      </c>
      <c r="B12" s="124" t="s">
        <v>134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133</v>
      </c>
      <c r="B13" s="124" t="s">
        <v>134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133</v>
      </c>
      <c r="B14" s="124" t="s">
        <v>134</v>
      </c>
      <c r="C14" s="125">
        <v>11</v>
      </c>
      <c r="D14" s="124" t="s">
        <v>39</v>
      </c>
      <c r="E14" s="126">
        <v>780022</v>
      </c>
      <c r="F14" s="126">
        <v>63214</v>
      </c>
      <c r="G14" s="127">
        <v>165797</v>
      </c>
      <c r="H14" s="127">
        <v>1534017.86</v>
      </c>
      <c r="I14" s="127">
        <v>175188</v>
      </c>
      <c r="J14" s="127">
        <v>112237.5</v>
      </c>
      <c r="K14" s="127">
        <v>551554</v>
      </c>
      <c r="L14" s="127">
        <v>930637.08420000004</v>
      </c>
      <c r="M14" s="127">
        <v>-5717381</v>
      </c>
      <c r="N14" s="127">
        <v>-9974820.509300001</v>
      </c>
      <c r="O14" s="127">
        <v>555765</v>
      </c>
      <c r="P14" s="127">
        <v>952207.10850000009</v>
      </c>
      <c r="Q14" s="127">
        <v>-14015</v>
      </c>
      <c r="R14" s="127">
        <v>-24771.512500000001</v>
      </c>
      <c r="S14" s="127">
        <v>-7019</v>
      </c>
      <c r="T14" s="127">
        <v>-12406.0825</v>
      </c>
      <c r="U14" s="127">
        <v>3192</v>
      </c>
      <c r="V14" s="127">
        <v>5641.86</v>
      </c>
      <c r="W14" s="127">
        <v>-400</v>
      </c>
      <c r="X14" s="127">
        <v>-674.92</v>
      </c>
      <c r="Y14" s="127">
        <v>-5562</v>
      </c>
      <c r="Z14" s="127">
        <v>-9384.7626</v>
      </c>
      <c r="AA14" s="127">
        <v>42781</v>
      </c>
      <c r="AB14" s="127">
        <v>75615.417499999996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-176637</v>
      </c>
      <c r="AJ14" s="127">
        <v>-305408.63</v>
      </c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133</v>
      </c>
      <c r="B15" s="124" t="s">
        <v>134</v>
      </c>
      <c r="C15" s="125">
        <v>12</v>
      </c>
      <c r="D15" s="124" t="s">
        <v>40</v>
      </c>
      <c r="E15" s="126">
        <v>-9998997</v>
      </c>
      <c r="F15" s="126">
        <v>-17773461</v>
      </c>
      <c r="G15" s="127">
        <v>-5456469</v>
      </c>
      <c r="H15" s="127">
        <v>-9713728.0700000003</v>
      </c>
      <c r="I15" s="127">
        <v>-1046966</v>
      </c>
      <c r="J15" s="127">
        <v>-1780587.9108999986</v>
      </c>
      <c r="K15" s="127">
        <v>-52609</v>
      </c>
      <c r="L15" s="127">
        <v>-91946.02</v>
      </c>
      <c r="M15" s="127">
        <v>67386</v>
      </c>
      <c r="N15" s="127">
        <v>118146.07</v>
      </c>
      <c r="O15" s="127">
        <v>-219500</v>
      </c>
      <c r="P15" s="127">
        <v>-390710.00000000186</v>
      </c>
      <c r="Q15" s="127">
        <v>-7068</v>
      </c>
      <c r="R15" s="127">
        <v>-12478.44</v>
      </c>
      <c r="S15" s="127">
        <v>483</v>
      </c>
      <c r="T15" s="127">
        <v>859.74</v>
      </c>
      <c r="U15" s="127">
        <v>6287</v>
      </c>
      <c r="V15" s="127">
        <v>11190.86</v>
      </c>
      <c r="W15" s="127">
        <v>-25218</v>
      </c>
      <c r="X15" s="127">
        <v>-44888.04</v>
      </c>
      <c r="Y15" s="127">
        <v>0</v>
      </c>
      <c r="Z15" s="127">
        <v>0</v>
      </c>
      <c r="AA15" s="127">
        <v>20000</v>
      </c>
      <c r="AB15" s="127">
        <v>35600</v>
      </c>
      <c r="AC15" s="127">
        <v>0</v>
      </c>
      <c r="AD15" s="127">
        <v>0</v>
      </c>
      <c r="AE15" s="127">
        <v>-669</v>
      </c>
      <c r="AF15" s="127">
        <v>-1190.82</v>
      </c>
      <c r="AG15" s="127">
        <v>0</v>
      </c>
      <c r="AH15" s="127">
        <v>0</v>
      </c>
      <c r="AI15" s="127">
        <v>176637</v>
      </c>
      <c r="AJ15" s="127">
        <v>314413.86</v>
      </c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133</v>
      </c>
      <c r="B16" s="124" t="s">
        <v>134</v>
      </c>
      <c r="C16" s="125">
        <v>13</v>
      </c>
      <c r="D16" s="124" t="s">
        <v>43</v>
      </c>
      <c r="E16" s="126">
        <v>0</v>
      </c>
      <c r="F16" s="126">
        <v>0</v>
      </c>
      <c r="G16" s="127">
        <v>-15365</v>
      </c>
      <c r="H16" s="127">
        <v>-26458.53</v>
      </c>
      <c r="I16" s="127">
        <v>26972</v>
      </c>
      <c r="J16" s="127">
        <v>46364.535000000003</v>
      </c>
      <c r="K16" s="127">
        <v>2971</v>
      </c>
      <c r="L16" s="127">
        <v>2514.9589999999998</v>
      </c>
      <c r="M16" s="127">
        <v>-1193</v>
      </c>
      <c r="N16" s="127">
        <v>1912.9659999999999</v>
      </c>
      <c r="O16" s="127">
        <v>-71739</v>
      </c>
      <c r="P16" s="127">
        <v>-157847.88</v>
      </c>
      <c r="Q16" s="127">
        <v>0</v>
      </c>
      <c r="R16" s="127">
        <v>6243.8779999999997</v>
      </c>
      <c r="S16" s="127">
        <v>0</v>
      </c>
      <c r="T16" s="127">
        <v>-4026.4259999999999</v>
      </c>
      <c r="U16" s="127">
        <v>0</v>
      </c>
      <c r="V16" s="127">
        <v>-19665.297999999999</v>
      </c>
      <c r="W16" s="127">
        <v>0</v>
      </c>
      <c r="X16" s="127">
        <v>-16397.473999999998</v>
      </c>
      <c r="Y16" s="127">
        <v>2781</v>
      </c>
      <c r="Z16" s="127">
        <v>73885.486000000004</v>
      </c>
      <c r="AA16" s="127">
        <v>-2781</v>
      </c>
      <c r="AB16" s="127">
        <v>-7011.8019999999997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133</v>
      </c>
      <c r="B17" s="124" t="s">
        <v>134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133</v>
      </c>
      <c r="B18" s="124" t="s">
        <v>134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133</v>
      </c>
      <c r="B19" s="124" t="s">
        <v>134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133</v>
      </c>
      <c r="B20" s="124" t="s">
        <v>134</v>
      </c>
      <c r="C20" s="125">
        <v>17</v>
      </c>
      <c r="D20" s="124" t="s">
        <v>136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-15059</v>
      </c>
      <c r="L20" s="127">
        <v>-26934.53</v>
      </c>
      <c r="M20" s="127">
        <v>15059</v>
      </c>
      <c r="N20" s="127">
        <v>26934.53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133</v>
      </c>
      <c r="B21" s="124" t="s">
        <v>134</v>
      </c>
      <c r="C21" s="125">
        <v>18</v>
      </c>
      <c r="D21" s="124" t="s">
        <v>137</v>
      </c>
      <c r="E21" s="126">
        <v>-11852259</v>
      </c>
      <c r="F21" s="126">
        <v>-21138504</v>
      </c>
      <c r="G21" s="127">
        <v>5389316</v>
      </c>
      <c r="H21" s="127">
        <v>8419594.8599999994</v>
      </c>
      <c r="I21" s="127">
        <v>871860</v>
      </c>
      <c r="J21" s="127">
        <v>1753293.31</v>
      </c>
      <c r="K21" s="127">
        <v>-9</v>
      </c>
      <c r="L21" s="127">
        <v>-8185.33</v>
      </c>
      <c r="M21" s="127">
        <v>5591092</v>
      </c>
      <c r="N21" s="127">
        <v>9960313.0700000003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133</v>
      </c>
      <c r="B22" s="124" t="s">
        <v>134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133</v>
      </c>
      <c r="B23" s="124" t="s">
        <v>134</v>
      </c>
      <c r="C23" s="125">
        <v>20</v>
      </c>
      <c r="D23" s="124" t="s">
        <v>138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133</v>
      </c>
      <c r="B24" s="124" t="s">
        <v>134</v>
      </c>
      <c r="C24" s="125">
        <v>21</v>
      </c>
      <c r="D24" s="124" t="s">
        <v>139</v>
      </c>
      <c r="E24" s="126">
        <v>0</v>
      </c>
      <c r="F24" s="126">
        <v>9000</v>
      </c>
      <c r="G24" s="127">
        <v>0</v>
      </c>
      <c r="H24" s="127">
        <v>-18000</v>
      </c>
      <c r="I24" s="127">
        <v>0</v>
      </c>
      <c r="J24" s="127">
        <v>0</v>
      </c>
      <c r="K24" s="127">
        <v>0</v>
      </c>
      <c r="L24" s="127">
        <v>9000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133</v>
      </c>
      <c r="B25" s="124" t="s">
        <v>134</v>
      </c>
      <c r="C25" s="125">
        <v>22</v>
      </c>
      <c r="D25" s="124" t="s">
        <v>140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133</v>
      </c>
      <c r="B26" s="124" t="s">
        <v>134</v>
      </c>
      <c r="C26" s="125">
        <v>23</v>
      </c>
      <c r="D26" s="124" t="s">
        <v>141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133</v>
      </c>
      <c r="B27" s="124" t="s">
        <v>134</v>
      </c>
      <c r="C27" s="125">
        <v>24</v>
      </c>
      <c r="D27" s="124" t="s">
        <v>59</v>
      </c>
      <c r="E27" s="126">
        <v>-15126574</v>
      </c>
      <c r="F27" s="126">
        <v>0</v>
      </c>
      <c r="G27" s="127">
        <v>15126574</v>
      </c>
      <c r="H27" s="127">
        <v>14160.07</v>
      </c>
      <c r="I27" s="127">
        <v>-9499</v>
      </c>
      <c r="J27" s="127">
        <v>28844.22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-1434</v>
      </c>
      <c r="U27" s="127">
        <v>0</v>
      </c>
      <c r="V27" s="127">
        <v>1434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133</v>
      </c>
      <c r="B28" s="124" t="s">
        <v>134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133</v>
      </c>
      <c r="B29" s="124" t="s">
        <v>134</v>
      </c>
      <c r="C29" s="125">
        <v>26</v>
      </c>
      <c r="D29" s="124" t="s">
        <v>142</v>
      </c>
      <c r="E29" s="126">
        <v>0</v>
      </c>
      <c r="F29" s="126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312.5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9804.48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133</v>
      </c>
      <c r="B30" s="124" t="s">
        <v>134</v>
      </c>
      <c r="C30" s="125">
        <v>27</v>
      </c>
      <c r="D30" s="124" t="s">
        <v>143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133</v>
      </c>
      <c r="B31" s="124" t="s">
        <v>134</v>
      </c>
      <c r="C31" s="125">
        <v>28</v>
      </c>
      <c r="D31" s="124" t="s">
        <v>144</v>
      </c>
      <c r="E31" s="126">
        <v>0</v>
      </c>
      <c r="F31" s="126">
        <v>0</v>
      </c>
      <c r="G31" s="127">
        <v>-29349944</v>
      </c>
      <c r="H31" s="127">
        <v>-2468196.37</v>
      </c>
      <c r="I31" s="127">
        <v>794442</v>
      </c>
      <c r="J31" s="127">
        <v>-4645.08</v>
      </c>
      <c r="K31" s="127">
        <v>7481830</v>
      </c>
      <c r="L31" s="127">
        <v>83989.31</v>
      </c>
      <c r="M31" s="127">
        <v>867165</v>
      </c>
      <c r="N31" s="127">
        <v>-19489.509999999998</v>
      </c>
      <c r="O31" s="127">
        <v>41781</v>
      </c>
      <c r="P31" s="127">
        <v>158.33000000000001</v>
      </c>
      <c r="Q31" s="127">
        <v>39431</v>
      </c>
      <c r="R31" s="127">
        <v>4534.6899999999996</v>
      </c>
      <c r="S31" s="127">
        <v>13555</v>
      </c>
      <c r="T31" s="127">
        <v>3328.38</v>
      </c>
      <c r="U31" s="127">
        <v>-7603</v>
      </c>
      <c r="V31" s="127">
        <v>-593.34</v>
      </c>
      <c r="W31" s="127">
        <v>-246</v>
      </c>
      <c r="X31" s="127">
        <v>-32.49</v>
      </c>
      <c r="Y31" s="127">
        <v>2781</v>
      </c>
      <c r="Z31" s="127">
        <v>0</v>
      </c>
      <c r="AA31" s="127">
        <v>179664</v>
      </c>
      <c r="AB31" s="127">
        <v>17863.990000000002</v>
      </c>
      <c r="AC31" s="127">
        <v>0</v>
      </c>
      <c r="AD31" s="127">
        <v>0</v>
      </c>
      <c r="AE31" s="127">
        <v>0</v>
      </c>
      <c r="AF31" s="127">
        <v>0</v>
      </c>
      <c r="AG31" s="127">
        <v>538</v>
      </c>
      <c r="AH31" s="127">
        <v>-5.38</v>
      </c>
      <c r="AI31" s="127">
        <v>641</v>
      </c>
      <c r="AJ31" s="127">
        <v>93.66</v>
      </c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133</v>
      </c>
      <c r="B32" s="124" t="s">
        <v>134</v>
      </c>
      <c r="C32" s="125">
        <v>29</v>
      </c>
      <c r="D32" s="124" t="s">
        <v>145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133</v>
      </c>
      <c r="B33" s="124" t="s">
        <v>134</v>
      </c>
      <c r="C33" s="125">
        <v>30</v>
      </c>
      <c r="D33" s="124" t="s">
        <v>146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133</v>
      </c>
      <c r="B34" s="124" t="s">
        <v>134</v>
      </c>
      <c r="C34" s="125">
        <v>31</v>
      </c>
      <c r="D34" s="124" t="s">
        <v>147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133</v>
      </c>
      <c r="B35" s="124" t="s">
        <v>134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133</v>
      </c>
      <c r="B36" s="124" t="s">
        <v>134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133</v>
      </c>
      <c r="B37" s="124" t="s">
        <v>134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133</v>
      </c>
      <c r="B38" s="124" t="s">
        <v>134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133</v>
      </c>
      <c r="B39" s="124" t="s">
        <v>134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133</v>
      </c>
      <c r="B40" s="124" t="s">
        <v>134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133</v>
      </c>
      <c r="B41" s="124" t="s">
        <v>134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133</v>
      </c>
      <c r="B42" s="124" t="s">
        <v>134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133</v>
      </c>
      <c r="B43" s="124" t="s">
        <v>134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148</v>
      </c>
      <c r="B44" t="s">
        <v>149</v>
      </c>
      <c r="C44">
        <v>1</v>
      </c>
      <c r="D44" t="s">
        <v>29</v>
      </c>
      <c r="E44" s="14">
        <v>9140188</v>
      </c>
      <c r="F44" s="14">
        <v>18207329.989999998</v>
      </c>
      <c r="G44" s="127">
        <v>-446300</v>
      </c>
      <c r="H44" s="127">
        <v>-917209.47000000067</v>
      </c>
      <c r="I44" s="127">
        <v>67019</v>
      </c>
      <c r="J44" s="127">
        <v>124361.97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148</v>
      </c>
      <c r="B45" t="s">
        <v>149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148</v>
      </c>
      <c r="B46" t="s">
        <v>149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148</v>
      </c>
      <c r="B47" t="s">
        <v>149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148</v>
      </c>
      <c r="B48" t="s">
        <v>149</v>
      </c>
      <c r="C48">
        <v>5</v>
      </c>
      <c r="D48" t="s">
        <v>135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148</v>
      </c>
      <c r="B49" t="s">
        <v>149</v>
      </c>
      <c r="C49">
        <v>6</v>
      </c>
      <c r="D49" t="s">
        <v>29</v>
      </c>
      <c r="E49" s="14">
        <v>-2488315</v>
      </c>
      <c r="F49" s="14">
        <v>-4458771</v>
      </c>
      <c r="G49" s="127">
        <v>452693</v>
      </c>
      <c r="H49" s="127">
        <v>826952.86</v>
      </c>
      <c r="I49" s="127">
        <v>-62394</v>
      </c>
      <c r="J49" s="127">
        <v>-109098.54</v>
      </c>
      <c r="K49" s="127">
        <v>8978</v>
      </c>
      <c r="L49" s="127">
        <v>16444.93</v>
      </c>
      <c r="M49" s="127">
        <v>0</v>
      </c>
      <c r="N49" s="127">
        <v>-12676.2</v>
      </c>
      <c r="O49" s="127">
        <v>-37236</v>
      </c>
      <c r="P49" s="127">
        <v>-64673.94</v>
      </c>
      <c r="Q49" s="127">
        <v>2394</v>
      </c>
      <c r="R49" s="127">
        <v>4124.8500000000004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148</v>
      </c>
      <c r="B50" t="s">
        <v>149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148</v>
      </c>
      <c r="B51" t="s">
        <v>149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148</v>
      </c>
      <c r="B52" t="s">
        <v>149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148</v>
      </c>
      <c r="B53" t="s">
        <v>149</v>
      </c>
      <c r="C53">
        <v>10</v>
      </c>
      <c r="D53" t="s">
        <v>36</v>
      </c>
      <c r="E53" s="14">
        <v>60000</v>
      </c>
      <c r="F53" s="14">
        <v>108826.47</v>
      </c>
      <c r="G53" s="127">
        <v>-18185</v>
      </c>
      <c r="H53" s="127">
        <v>-32350.6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0</v>
      </c>
      <c r="AD53" s="127">
        <v>0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148</v>
      </c>
      <c r="B54" t="s">
        <v>149</v>
      </c>
      <c r="C54">
        <v>11</v>
      </c>
      <c r="D54" t="s">
        <v>39</v>
      </c>
      <c r="E54" s="14">
        <v>4126748</v>
      </c>
      <c r="F54" s="14">
        <v>7697205</v>
      </c>
      <c r="G54" s="127">
        <v>50231</v>
      </c>
      <c r="H54" s="127">
        <v>92718.33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148</v>
      </c>
      <c r="B55" t="s">
        <v>149</v>
      </c>
      <c r="C55">
        <v>12</v>
      </c>
      <c r="D55" t="s">
        <v>40</v>
      </c>
      <c r="E55" s="14">
        <v>-9663424</v>
      </c>
      <c r="F55" s="14">
        <v>-17568778.710000001</v>
      </c>
      <c r="G55" s="127">
        <v>-50231</v>
      </c>
      <c r="H55" s="127">
        <v>-92718.66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v>0</v>
      </c>
      <c r="S55" s="127">
        <v>0</v>
      </c>
      <c r="T55" s="127">
        <v>0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0</v>
      </c>
      <c r="AJ55" s="127">
        <v>0</v>
      </c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148</v>
      </c>
      <c r="B56" t="s">
        <v>149</v>
      </c>
      <c r="C56">
        <v>13</v>
      </c>
      <c r="D56" t="s">
        <v>43</v>
      </c>
      <c r="E56" s="14">
        <v>-68513</v>
      </c>
      <c r="F56" s="14">
        <v>-123542</v>
      </c>
      <c r="G56" s="127">
        <v>29393</v>
      </c>
      <c r="H56" s="127">
        <v>54416.959999999999</v>
      </c>
      <c r="I56" s="127">
        <v>0</v>
      </c>
      <c r="J56" s="127">
        <v>-821.52</v>
      </c>
      <c r="K56" s="127">
        <v>0</v>
      </c>
      <c r="L56" s="127">
        <v>6728.64</v>
      </c>
      <c r="M56" s="127">
        <v>0</v>
      </c>
      <c r="N56" s="127">
        <v>-11031.84</v>
      </c>
      <c r="O56" s="127">
        <v>0</v>
      </c>
      <c r="P56" s="127">
        <v>-17877.84</v>
      </c>
      <c r="Q56" s="127">
        <v>0</v>
      </c>
      <c r="R56" s="127">
        <v>4929.12</v>
      </c>
      <c r="S56" s="127">
        <v>0</v>
      </c>
      <c r="T56" s="127">
        <v>-1408.32</v>
      </c>
      <c r="U56" s="127">
        <v>0</v>
      </c>
      <c r="V56" s="127">
        <v>-13652.88</v>
      </c>
      <c r="W56" s="127">
        <v>0</v>
      </c>
      <c r="X56" s="127">
        <v>-11110.08</v>
      </c>
      <c r="Y56" s="127">
        <v>0</v>
      </c>
      <c r="Z56" s="127">
        <v>44244.72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148</v>
      </c>
      <c r="B57" t="s">
        <v>149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148</v>
      </c>
      <c r="B58" t="s">
        <v>149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148</v>
      </c>
      <c r="B59" t="s">
        <v>149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148</v>
      </c>
      <c r="B60" t="s">
        <v>149</v>
      </c>
      <c r="C60">
        <v>17</v>
      </c>
      <c r="D60" t="s">
        <v>136</v>
      </c>
      <c r="E60" s="14">
        <v>978794</v>
      </c>
      <c r="F60" s="14">
        <v>1772939</v>
      </c>
      <c r="G60" s="127">
        <v>-193951</v>
      </c>
      <c r="H60" s="127">
        <v>-215810.49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148</v>
      </c>
      <c r="B61" t="s">
        <v>149</v>
      </c>
      <c r="C61">
        <v>18</v>
      </c>
      <c r="D61" t="s">
        <v>137</v>
      </c>
      <c r="E61" s="14">
        <v>-2176461</v>
      </c>
      <c r="F61" s="14">
        <v>-4133745</v>
      </c>
      <c r="G61" s="127">
        <v>172314</v>
      </c>
      <c r="H61" s="127">
        <v>157517.35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148</v>
      </c>
      <c r="B62" t="s">
        <v>149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148</v>
      </c>
      <c r="B63" t="s">
        <v>149</v>
      </c>
      <c r="C63">
        <v>20</v>
      </c>
      <c r="D63" t="s">
        <v>138</v>
      </c>
      <c r="E63" s="14">
        <v>0</v>
      </c>
      <c r="F63" s="14">
        <v>0</v>
      </c>
      <c r="G63" s="127">
        <v>8416</v>
      </c>
      <c r="H63" s="127">
        <v>16242.88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148</v>
      </c>
      <c r="B64" t="s">
        <v>149</v>
      </c>
      <c r="C64">
        <v>21</v>
      </c>
      <c r="D64" t="s">
        <v>139</v>
      </c>
      <c r="E64" s="14">
        <v>90983</v>
      </c>
      <c r="F64" s="14">
        <v>163769.73000000001</v>
      </c>
      <c r="G64" s="127">
        <v>-8567</v>
      </c>
      <c r="H64" s="127">
        <v>-15420.6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148</v>
      </c>
      <c r="B65" t="s">
        <v>149</v>
      </c>
      <c r="C65">
        <v>22</v>
      </c>
      <c r="D65" t="s">
        <v>140</v>
      </c>
      <c r="E65" s="14">
        <v>0</v>
      </c>
      <c r="F65" s="14">
        <v>0</v>
      </c>
      <c r="G65" s="127">
        <v>4187</v>
      </c>
      <c r="H65" s="127">
        <v>7398.4290000000001</v>
      </c>
      <c r="I65" s="127">
        <v>-4625</v>
      </c>
      <c r="J65" s="127">
        <v>-8172.375</v>
      </c>
      <c r="K65" s="127">
        <v>-8978</v>
      </c>
      <c r="L65" s="127">
        <v>-15864.126</v>
      </c>
      <c r="M65" s="127">
        <v>0</v>
      </c>
      <c r="N65" s="127">
        <v>0</v>
      </c>
      <c r="O65" s="127">
        <v>37236</v>
      </c>
      <c r="P65" s="127">
        <v>65796.012000000002</v>
      </c>
      <c r="Q65" s="127">
        <v>-2394</v>
      </c>
      <c r="R65" s="127">
        <v>-4230.1980000000003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  <c r="AC65" s="127">
        <v>0</v>
      </c>
      <c r="AD65" s="127">
        <v>0</v>
      </c>
      <c r="AE65" s="127">
        <v>0</v>
      </c>
      <c r="AF65" s="127">
        <v>0</v>
      </c>
      <c r="AG65" s="127">
        <v>0</v>
      </c>
      <c r="AH65" s="127">
        <v>0</v>
      </c>
      <c r="AI65" s="127">
        <v>0</v>
      </c>
      <c r="AJ65" s="127">
        <v>0</v>
      </c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148</v>
      </c>
      <c r="B66" t="s">
        <v>149</v>
      </c>
      <c r="C66">
        <v>23</v>
      </c>
      <c r="D66" t="s">
        <v>141</v>
      </c>
      <c r="E66" s="14">
        <v>-60000</v>
      </c>
      <c r="F66" s="14">
        <v>-108826.47</v>
      </c>
      <c r="G66" s="127">
        <v>18185</v>
      </c>
      <c r="H66" s="127">
        <v>32350.6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148</v>
      </c>
      <c r="B67" t="s">
        <v>149</v>
      </c>
      <c r="C67">
        <v>24</v>
      </c>
      <c r="D67" t="s">
        <v>59</v>
      </c>
      <c r="E67" s="14">
        <v>0</v>
      </c>
      <c r="F67" s="14">
        <v>0</v>
      </c>
      <c r="G67" s="127">
        <v>-7406</v>
      </c>
      <c r="H67" s="127">
        <v>-222.18</v>
      </c>
      <c r="I67" s="127">
        <v>-36359</v>
      </c>
      <c r="J67" s="127">
        <v>-1090.77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148</v>
      </c>
      <c r="B68" t="s">
        <v>149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148</v>
      </c>
      <c r="B69" t="s">
        <v>149</v>
      </c>
      <c r="C69">
        <v>26</v>
      </c>
      <c r="D69" t="s">
        <v>142</v>
      </c>
      <c r="E69" s="14">
        <v>3059641</v>
      </c>
      <c r="F69" s="14">
        <v>140794.28</v>
      </c>
      <c r="G69" s="127">
        <v>-330860</v>
      </c>
      <c r="H69" s="127">
        <v>-1737.81</v>
      </c>
      <c r="I69" s="127">
        <v>0</v>
      </c>
      <c r="J69" s="127">
        <v>0</v>
      </c>
      <c r="K69" s="127">
        <v>0</v>
      </c>
      <c r="L69" s="127">
        <v>0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0</v>
      </c>
      <c r="AJ69" s="127">
        <v>0</v>
      </c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148</v>
      </c>
      <c r="B70" t="s">
        <v>149</v>
      </c>
      <c r="C70">
        <v>27</v>
      </c>
      <c r="D70" t="s">
        <v>143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148</v>
      </c>
      <c r="B71" t="s">
        <v>149</v>
      </c>
      <c r="C71">
        <v>28</v>
      </c>
      <c r="D71" t="s">
        <v>144</v>
      </c>
      <c r="E71" s="14">
        <v>0</v>
      </c>
      <c r="F71" s="14">
        <v>0</v>
      </c>
      <c r="G71" s="127">
        <v>-24844693</v>
      </c>
      <c r="H71" s="127">
        <v>-2382164.67</v>
      </c>
      <c r="I71" s="127">
        <v>0</v>
      </c>
      <c r="J71" s="127">
        <v>0</v>
      </c>
      <c r="K71" s="127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v>0</v>
      </c>
      <c r="Q71" s="127">
        <v>0</v>
      </c>
      <c r="R71" s="127">
        <v>0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>
        <v>0</v>
      </c>
      <c r="AJ71" s="127">
        <v>0</v>
      </c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148</v>
      </c>
      <c r="B72" t="s">
        <v>149</v>
      </c>
      <c r="C72">
        <v>29</v>
      </c>
      <c r="D72" t="s">
        <v>145</v>
      </c>
      <c r="E72" s="14">
        <v>0</v>
      </c>
      <c r="F72" s="14">
        <v>0</v>
      </c>
      <c r="G72" s="127">
        <v>23625389</v>
      </c>
      <c r="H72" s="127">
        <v>1932164.67</v>
      </c>
      <c r="I72" s="127">
        <v>0</v>
      </c>
      <c r="J72" s="127">
        <v>0</v>
      </c>
      <c r="K72" s="127">
        <v>0</v>
      </c>
      <c r="L72" s="127">
        <v>0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0</v>
      </c>
      <c r="S72" s="127">
        <v>0</v>
      </c>
      <c r="T72" s="127">
        <v>0</v>
      </c>
      <c r="U72" s="127">
        <v>0</v>
      </c>
      <c r="V72" s="127">
        <v>0</v>
      </c>
      <c r="W72" s="127">
        <v>0</v>
      </c>
      <c r="X72" s="127">
        <v>0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0</v>
      </c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148</v>
      </c>
      <c r="B73" t="s">
        <v>149</v>
      </c>
      <c r="C73">
        <v>30</v>
      </c>
      <c r="D73" t="s">
        <v>146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148</v>
      </c>
      <c r="B74" t="s">
        <v>149</v>
      </c>
      <c r="C74">
        <v>31</v>
      </c>
      <c r="D74" t="s">
        <v>147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148</v>
      </c>
      <c r="B75" t="s">
        <v>149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148</v>
      </c>
      <c r="B76" t="s">
        <v>149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148</v>
      </c>
      <c r="B77" t="s">
        <v>149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148</v>
      </c>
      <c r="B78" t="s">
        <v>149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148</v>
      </c>
      <c r="B79" t="s">
        <v>149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148</v>
      </c>
      <c r="B80" t="s">
        <v>149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148</v>
      </c>
      <c r="B81" t="s">
        <v>149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148</v>
      </c>
      <c r="B82" t="s">
        <v>149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148</v>
      </c>
      <c r="B83" t="s">
        <v>149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150</v>
      </c>
      <c r="B84" t="s">
        <v>124</v>
      </c>
      <c r="C84">
        <v>1</v>
      </c>
      <c r="D84" t="s">
        <v>29</v>
      </c>
      <c r="E84" s="14">
        <v>6206940</v>
      </c>
      <c r="F84" s="14">
        <v>6390265.7199999997</v>
      </c>
      <c r="G84" s="127">
        <v>0</v>
      </c>
      <c r="H84" s="127">
        <v>3848545.33</v>
      </c>
      <c r="I84" s="127">
        <v>28</v>
      </c>
      <c r="J84" s="127">
        <v>1.8</v>
      </c>
      <c r="K84" s="127">
        <v>0</v>
      </c>
      <c r="L84" s="127">
        <v>56424.42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0</v>
      </c>
      <c r="W84" s="127">
        <v>0</v>
      </c>
      <c r="X84" s="127">
        <v>-3960185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150</v>
      </c>
      <c r="B85" t="s">
        <v>124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150</v>
      </c>
      <c r="B86" t="s">
        <v>124</v>
      </c>
      <c r="C86">
        <v>3</v>
      </c>
      <c r="D86" t="s">
        <v>31</v>
      </c>
      <c r="E86" s="14">
        <v>14078963</v>
      </c>
      <c r="F86" s="14">
        <v>31390395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150</v>
      </c>
      <c r="B87" t="s">
        <v>124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150</v>
      </c>
      <c r="B88" t="s">
        <v>124</v>
      </c>
      <c r="C88">
        <v>5</v>
      </c>
      <c r="D88" t="s">
        <v>135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150</v>
      </c>
      <c r="B89" t="s">
        <v>124</v>
      </c>
      <c r="C89">
        <v>6</v>
      </c>
      <c r="D89" t="s">
        <v>29</v>
      </c>
      <c r="E89" s="14">
        <v>-2548538</v>
      </c>
      <c r="F89" s="14">
        <v>-1384830.2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150</v>
      </c>
      <c r="B90" t="s">
        <v>124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150</v>
      </c>
      <c r="B91" t="s">
        <v>124</v>
      </c>
      <c r="C91">
        <v>8</v>
      </c>
      <c r="D91" t="s">
        <v>31</v>
      </c>
      <c r="E91" s="14">
        <v>-16482775</v>
      </c>
      <c r="F91" s="14">
        <v>-35448137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150</v>
      </c>
      <c r="B92" t="s">
        <v>124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150</v>
      </c>
      <c r="B93" t="s">
        <v>124</v>
      </c>
      <c r="C93">
        <v>10</v>
      </c>
      <c r="D93" t="s">
        <v>36</v>
      </c>
      <c r="E93" s="14">
        <v>6</v>
      </c>
      <c r="F93" s="14">
        <v>10.6</v>
      </c>
      <c r="G93" s="127">
        <v>-6</v>
      </c>
      <c r="H93" s="127">
        <v>-10.602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150</v>
      </c>
      <c r="B94" t="s">
        <v>124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150</v>
      </c>
      <c r="B95" t="s">
        <v>124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150</v>
      </c>
      <c r="B96" t="s">
        <v>124</v>
      </c>
      <c r="C96">
        <v>13</v>
      </c>
      <c r="D96" t="s">
        <v>43</v>
      </c>
      <c r="E96" s="14">
        <v>0</v>
      </c>
      <c r="F96" s="14">
        <v>0</v>
      </c>
      <c r="G96" s="127">
        <v>6</v>
      </c>
      <c r="H96" s="127">
        <v>10.6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150</v>
      </c>
      <c r="B97" t="s">
        <v>124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-0.3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150</v>
      </c>
      <c r="B98" t="s">
        <v>124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150</v>
      </c>
      <c r="B99" t="s">
        <v>124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150</v>
      </c>
      <c r="B100" t="s">
        <v>124</v>
      </c>
      <c r="C100">
        <v>17</v>
      </c>
      <c r="D100" t="s">
        <v>136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150</v>
      </c>
      <c r="B101" t="s">
        <v>124</v>
      </c>
      <c r="C101">
        <v>18</v>
      </c>
      <c r="D101" t="s">
        <v>137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0</v>
      </c>
      <c r="V101" s="127">
        <v>0</v>
      </c>
      <c r="W101" s="127">
        <v>-1700650</v>
      </c>
      <c r="X101" s="127">
        <v>-0.05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150</v>
      </c>
      <c r="B102" t="s">
        <v>124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150</v>
      </c>
      <c r="B103" t="s">
        <v>124</v>
      </c>
      <c r="C103">
        <v>20</v>
      </c>
      <c r="D103" t="s">
        <v>138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150</v>
      </c>
      <c r="B104" t="s">
        <v>124</v>
      </c>
      <c r="C104">
        <v>21</v>
      </c>
      <c r="D104" t="s">
        <v>139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150</v>
      </c>
      <c r="B105" t="s">
        <v>124</v>
      </c>
      <c r="C105">
        <v>22</v>
      </c>
      <c r="D105" t="s">
        <v>140</v>
      </c>
      <c r="E105" s="14">
        <v>-1254596</v>
      </c>
      <c r="F105" s="14">
        <v>-2216871.1320000002</v>
      </c>
      <c r="G105" s="127">
        <v>0</v>
      </c>
      <c r="H105" s="127">
        <v>0</v>
      </c>
      <c r="I105" s="127">
        <v>-28</v>
      </c>
      <c r="J105" s="127">
        <v>-49.475999999999999</v>
      </c>
      <c r="K105" s="127">
        <v>0</v>
      </c>
      <c r="L105" s="127">
        <v>-4247535.8</v>
      </c>
      <c r="M105" s="127">
        <v>0</v>
      </c>
      <c r="N105" s="127">
        <v>4247139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7">
        <v>1700650</v>
      </c>
      <c r="X105" s="127">
        <v>3005048.55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150</v>
      </c>
      <c r="B106" t="s">
        <v>124</v>
      </c>
      <c r="C106">
        <v>23</v>
      </c>
      <c r="D106" t="s">
        <v>141</v>
      </c>
      <c r="E106" s="14">
        <v>-6</v>
      </c>
      <c r="F106" s="14">
        <v>-10.6</v>
      </c>
      <c r="G106" s="127">
        <v>6</v>
      </c>
      <c r="H106" s="127">
        <v>10.602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0</v>
      </c>
      <c r="V106" s="127">
        <v>0</v>
      </c>
      <c r="W106" s="127">
        <v>441422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150</v>
      </c>
      <c r="B107" t="s">
        <v>124</v>
      </c>
      <c r="C107">
        <v>24</v>
      </c>
      <c r="D107" t="s">
        <v>59</v>
      </c>
      <c r="E107" s="14">
        <v>-41356</v>
      </c>
      <c r="F107" s="14">
        <v>-613.44000000000005</v>
      </c>
      <c r="G107" s="127">
        <v>0</v>
      </c>
      <c r="H107" s="127">
        <v>-5.33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150</v>
      </c>
      <c r="B108" t="s">
        <v>124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150</v>
      </c>
      <c r="B109" t="s">
        <v>124</v>
      </c>
      <c r="C109">
        <v>26</v>
      </c>
      <c r="D109" t="s">
        <v>142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150</v>
      </c>
      <c r="B110" t="s">
        <v>124</v>
      </c>
      <c r="C110">
        <v>27</v>
      </c>
      <c r="D110" t="s">
        <v>143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150</v>
      </c>
      <c r="B111" t="s">
        <v>124</v>
      </c>
      <c r="C111">
        <v>28</v>
      </c>
      <c r="D111" t="s">
        <v>144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150</v>
      </c>
      <c r="B112" t="s">
        <v>124</v>
      </c>
      <c r="C112">
        <v>29</v>
      </c>
      <c r="D112" t="s">
        <v>145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150</v>
      </c>
      <c r="B113" t="s">
        <v>124</v>
      </c>
      <c r="C113">
        <v>30</v>
      </c>
      <c r="D113" t="s">
        <v>146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150</v>
      </c>
      <c r="B114" t="s">
        <v>124</v>
      </c>
      <c r="C114">
        <v>31</v>
      </c>
      <c r="D114" t="s">
        <v>147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150</v>
      </c>
      <c r="B115" t="s">
        <v>124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150</v>
      </c>
      <c r="B116" t="s">
        <v>124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150</v>
      </c>
      <c r="B117" t="s">
        <v>124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150</v>
      </c>
      <c r="B118" t="s">
        <v>124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150</v>
      </c>
      <c r="B119" t="s">
        <v>124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150</v>
      </c>
      <c r="B120" t="s">
        <v>124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150</v>
      </c>
      <c r="B121" t="s">
        <v>124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150</v>
      </c>
      <c r="B122" t="s">
        <v>124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150</v>
      </c>
      <c r="B123" t="s">
        <v>124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150</v>
      </c>
      <c r="B124" t="s">
        <v>151</v>
      </c>
      <c r="C124">
        <v>1</v>
      </c>
      <c r="D124" t="s">
        <v>29</v>
      </c>
      <c r="E124" s="14">
        <v>51039923</v>
      </c>
      <c r="F124" s="14">
        <v>113182970.06</v>
      </c>
      <c r="G124" s="127">
        <v>115277</v>
      </c>
      <c r="H124" s="127">
        <v>-5835133.5500000007</v>
      </c>
      <c r="I124" s="127">
        <v>-673744</v>
      </c>
      <c r="J124" s="127">
        <v>290957.93</v>
      </c>
      <c r="K124" s="127">
        <v>19805</v>
      </c>
      <c r="L124" s="127">
        <v>-113447.13</v>
      </c>
      <c r="M124" s="127">
        <v>0</v>
      </c>
      <c r="N124" s="127">
        <v>160860</v>
      </c>
      <c r="O124" s="127">
        <v>-5672</v>
      </c>
      <c r="P124" s="127">
        <v>-8367.2000000000007</v>
      </c>
      <c r="Q124" s="127">
        <v>2946</v>
      </c>
      <c r="R124" s="127">
        <v>78452.600000000006</v>
      </c>
      <c r="S124" s="127">
        <v>0</v>
      </c>
      <c r="T124" s="127">
        <v>-261867.2</v>
      </c>
      <c r="U124" s="127">
        <v>-9114</v>
      </c>
      <c r="V124" s="127">
        <v>-15842.25</v>
      </c>
      <c r="W124" s="127">
        <v>-4226</v>
      </c>
      <c r="X124" s="127">
        <v>-82500.39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150</v>
      </c>
      <c r="B125" t="s">
        <v>151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150</v>
      </c>
      <c r="B126" t="s">
        <v>151</v>
      </c>
      <c r="C126">
        <v>3</v>
      </c>
      <c r="D126" t="s">
        <v>31</v>
      </c>
      <c r="E126" s="14">
        <v>14484736</v>
      </c>
      <c r="F126" s="14">
        <v>27371013</v>
      </c>
      <c r="G126" s="127">
        <v>0</v>
      </c>
      <c r="H126" s="127">
        <v>0</v>
      </c>
      <c r="I126" s="127">
        <v>0</v>
      </c>
      <c r="J126" s="127">
        <v>0</v>
      </c>
      <c r="K126" s="127">
        <v>-147</v>
      </c>
      <c r="L126" s="127">
        <v>-212</v>
      </c>
      <c r="M126" s="127">
        <v>-15405</v>
      </c>
      <c r="N126" s="127">
        <v>-24186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0</v>
      </c>
      <c r="V126" s="127">
        <v>0</v>
      </c>
      <c r="W126" s="127">
        <v>309066</v>
      </c>
      <c r="X126" s="127">
        <v>532133</v>
      </c>
      <c r="Y126" s="127">
        <v>309066</v>
      </c>
      <c r="Z126" s="127">
        <v>532133</v>
      </c>
      <c r="AA126" s="127">
        <v>-602580</v>
      </c>
      <c r="AB126" s="127">
        <v>-1039868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150</v>
      </c>
      <c r="B127" t="s">
        <v>151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150</v>
      </c>
      <c r="B128" t="s">
        <v>151</v>
      </c>
      <c r="C128">
        <v>5</v>
      </c>
      <c r="D128" t="s">
        <v>135</v>
      </c>
      <c r="E128" s="14">
        <v>0</v>
      </c>
      <c r="F128" s="14">
        <v>0</v>
      </c>
      <c r="G128" s="127">
        <v>0</v>
      </c>
      <c r="H128" s="127">
        <v>-676.83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150</v>
      </c>
      <c r="B129" t="s">
        <v>151</v>
      </c>
      <c r="C129">
        <v>6</v>
      </c>
      <c r="D129" t="s">
        <v>29</v>
      </c>
      <c r="E129" s="14">
        <v>-49478675</v>
      </c>
      <c r="F129" s="14">
        <v>-89885820.609999999</v>
      </c>
      <c r="G129" s="127">
        <v>-137089</v>
      </c>
      <c r="H129" s="127">
        <v>480518.53</v>
      </c>
      <c r="I129" s="127">
        <v>-149893</v>
      </c>
      <c r="J129" s="127">
        <v>-537860.97</v>
      </c>
      <c r="K129" s="127">
        <v>-890</v>
      </c>
      <c r="L129" s="127">
        <v>-586509.86</v>
      </c>
      <c r="M129" s="127">
        <v>0</v>
      </c>
      <c r="N129" s="127">
        <v>1.51</v>
      </c>
      <c r="O129" s="127">
        <v>0</v>
      </c>
      <c r="P129" s="127">
        <v>0</v>
      </c>
      <c r="Q129" s="127">
        <v>736</v>
      </c>
      <c r="R129" s="127">
        <v>-151930.34</v>
      </c>
      <c r="S129" s="127">
        <v>11337</v>
      </c>
      <c r="T129" s="127">
        <v>11838.42</v>
      </c>
      <c r="U129" s="127">
        <v>0</v>
      </c>
      <c r="V129" s="127">
        <v>151.62</v>
      </c>
      <c r="W129" s="127">
        <v>26596</v>
      </c>
      <c r="X129" s="127">
        <v>42561.39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150</v>
      </c>
      <c r="B130" t="s">
        <v>151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150</v>
      </c>
      <c r="B131" t="s">
        <v>151</v>
      </c>
      <c r="C131">
        <v>8</v>
      </c>
      <c r="D131" t="s">
        <v>31</v>
      </c>
      <c r="E131" s="14">
        <v>-15409724</v>
      </c>
      <c r="F131" s="14">
        <v>-29018019</v>
      </c>
      <c r="G131" s="127">
        <v>0</v>
      </c>
      <c r="H131" s="127">
        <v>0</v>
      </c>
      <c r="I131" s="127">
        <v>0</v>
      </c>
      <c r="J131" s="127">
        <v>0</v>
      </c>
      <c r="K131" s="127">
        <v>102983</v>
      </c>
      <c r="L131" s="127">
        <v>180248</v>
      </c>
      <c r="M131" s="127">
        <v>15405</v>
      </c>
      <c r="N131" s="127">
        <v>-7721</v>
      </c>
      <c r="O131" s="127">
        <v>0</v>
      </c>
      <c r="P131" s="127">
        <v>0</v>
      </c>
      <c r="Q131" s="127">
        <v>0</v>
      </c>
      <c r="R131" s="127">
        <v>0</v>
      </c>
      <c r="S131" s="127">
        <v>0</v>
      </c>
      <c r="T131" s="127">
        <v>0</v>
      </c>
      <c r="U131" s="127">
        <v>0</v>
      </c>
      <c r="V131" s="127">
        <v>0</v>
      </c>
      <c r="W131" s="127">
        <v>-309066</v>
      </c>
      <c r="X131" s="127">
        <v>-532133</v>
      </c>
      <c r="Y131" s="127">
        <v>-309066</v>
      </c>
      <c r="Z131" s="127">
        <v>-532133</v>
      </c>
      <c r="AA131" s="127">
        <v>499744</v>
      </c>
      <c r="AB131" s="127">
        <v>891739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150</v>
      </c>
      <c r="B132" t="s">
        <v>151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150</v>
      </c>
      <c r="B133" t="s">
        <v>151</v>
      </c>
      <c r="C133">
        <v>10</v>
      </c>
      <c r="D133" t="s">
        <v>36</v>
      </c>
      <c r="E133" s="14">
        <v>344152</v>
      </c>
      <c r="F133" s="14">
        <v>617408.68999999994</v>
      </c>
      <c r="G133" s="127">
        <v>-139126</v>
      </c>
      <c r="H133" s="127">
        <v>-249592.04399999999</v>
      </c>
      <c r="I133" s="127">
        <v>-349</v>
      </c>
      <c r="J133" s="127">
        <v>-626.10599999999999</v>
      </c>
      <c r="K133" s="127">
        <v>5830</v>
      </c>
      <c r="L133" s="127">
        <v>10459.02</v>
      </c>
      <c r="M133" s="127">
        <v>0</v>
      </c>
      <c r="N133" s="127">
        <v>0</v>
      </c>
      <c r="O133" s="127">
        <v>0</v>
      </c>
      <c r="P133" s="127">
        <v>0</v>
      </c>
      <c r="Q133" s="127">
        <v>-15</v>
      </c>
      <c r="R133" s="127">
        <v>-26.91</v>
      </c>
      <c r="S133" s="127">
        <v>0</v>
      </c>
      <c r="T133" s="127">
        <v>0</v>
      </c>
      <c r="U133" s="127">
        <v>1228</v>
      </c>
      <c r="V133" s="127">
        <v>2203.0320000000002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150</v>
      </c>
      <c r="B134" t="s">
        <v>151</v>
      </c>
      <c r="C134">
        <v>11</v>
      </c>
      <c r="D134" t="s">
        <v>39</v>
      </c>
      <c r="E134" s="14">
        <v>6328</v>
      </c>
      <c r="F134" s="14">
        <v>11327.12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150</v>
      </c>
      <c r="B135" t="s">
        <v>151</v>
      </c>
      <c r="C135">
        <v>12</v>
      </c>
      <c r="D135" t="s">
        <v>40</v>
      </c>
      <c r="E135" s="14">
        <v>-18440</v>
      </c>
      <c r="F135" s="14">
        <v>-33975.620000000003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150</v>
      </c>
      <c r="B136" t="s">
        <v>151</v>
      </c>
      <c r="C136">
        <v>13</v>
      </c>
      <c r="D136" t="s">
        <v>43</v>
      </c>
      <c r="E136" s="14">
        <v>-489819</v>
      </c>
      <c r="F136" s="14">
        <v>-878735.29</v>
      </c>
      <c r="G136" s="127">
        <v>496428</v>
      </c>
      <c r="H136" s="127">
        <v>890598.44499999995</v>
      </c>
      <c r="I136" s="127">
        <v>-4494</v>
      </c>
      <c r="J136" s="127">
        <v>-8474.9249999999993</v>
      </c>
      <c r="K136" s="127">
        <v>-5830</v>
      </c>
      <c r="L136" s="127">
        <v>-10026.934999999999</v>
      </c>
      <c r="M136" s="127">
        <v>-10470</v>
      </c>
      <c r="N136" s="127">
        <v>-25504.505000000001</v>
      </c>
      <c r="O136" s="127">
        <v>0</v>
      </c>
      <c r="P136" s="127">
        <v>1478.077</v>
      </c>
      <c r="Q136" s="127">
        <v>-749</v>
      </c>
      <c r="R136" s="127">
        <v>-2577.951</v>
      </c>
      <c r="S136" s="127">
        <v>0</v>
      </c>
      <c r="T136" s="127">
        <v>-16546.871999999999</v>
      </c>
      <c r="U136" s="127">
        <v>0</v>
      </c>
      <c r="V136" s="127">
        <v>11484.066000000001</v>
      </c>
      <c r="W136" s="127">
        <v>0</v>
      </c>
      <c r="X136" s="127">
        <v>11513.626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150</v>
      </c>
      <c r="B137" t="s">
        <v>151</v>
      </c>
      <c r="C137">
        <v>14</v>
      </c>
      <c r="D137" t="s">
        <v>44</v>
      </c>
      <c r="E137" s="14">
        <v>0</v>
      </c>
      <c r="F137" s="14">
        <v>0</v>
      </c>
      <c r="G137" s="127">
        <v>-13645</v>
      </c>
      <c r="H137" s="127">
        <v>-25546.78</v>
      </c>
      <c r="I137" s="127">
        <v>-6920</v>
      </c>
      <c r="J137" s="127">
        <v>-12667.68</v>
      </c>
      <c r="K137" s="127">
        <v>-1659</v>
      </c>
      <c r="L137" s="127">
        <v>-3035.97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150</v>
      </c>
      <c r="B138" t="s">
        <v>151</v>
      </c>
      <c r="C138">
        <v>15</v>
      </c>
      <c r="D138" t="s">
        <v>45</v>
      </c>
      <c r="E138" s="14">
        <v>0</v>
      </c>
      <c r="F138" s="14">
        <v>0</v>
      </c>
      <c r="G138" s="127">
        <v>26000</v>
      </c>
      <c r="H138" s="127">
        <v>34092.86</v>
      </c>
      <c r="I138" s="127">
        <v>563</v>
      </c>
      <c r="J138" s="127">
        <v>381.37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150</v>
      </c>
      <c r="B139" t="s">
        <v>151</v>
      </c>
      <c r="C139">
        <v>16</v>
      </c>
      <c r="D139" t="s">
        <v>46</v>
      </c>
      <c r="E139" s="14">
        <v>-89796</v>
      </c>
      <c r="F139" s="14">
        <v>-0.01</v>
      </c>
      <c r="G139" s="127">
        <v>-1043</v>
      </c>
      <c r="H139" s="127">
        <v>0</v>
      </c>
      <c r="I139" s="127">
        <v>-4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-194965.65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150</v>
      </c>
      <c r="B140" t="s">
        <v>151</v>
      </c>
      <c r="C140">
        <v>17</v>
      </c>
      <c r="D140" t="s">
        <v>136</v>
      </c>
      <c r="E140" s="14">
        <v>2390</v>
      </c>
      <c r="F140" s="14">
        <v>4287.66</v>
      </c>
      <c r="G140" s="127">
        <v>-2390</v>
      </c>
      <c r="H140" s="127">
        <v>-4287.66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150</v>
      </c>
      <c r="B141" t="s">
        <v>151</v>
      </c>
      <c r="C141">
        <v>18</v>
      </c>
      <c r="D141" t="s">
        <v>137</v>
      </c>
      <c r="E141" s="14">
        <v>-116330</v>
      </c>
      <c r="F141" s="14">
        <v>-246852.26</v>
      </c>
      <c r="G141" s="127">
        <v>-159023</v>
      </c>
      <c r="H141" s="127">
        <v>-817.46</v>
      </c>
      <c r="I141" s="127">
        <v>4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2998</v>
      </c>
      <c r="V141" s="127">
        <v>0.01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150</v>
      </c>
      <c r="B142" t="s">
        <v>151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150</v>
      </c>
      <c r="B143" t="s">
        <v>151</v>
      </c>
      <c r="C143">
        <v>20</v>
      </c>
      <c r="D143" t="s">
        <v>138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150</v>
      </c>
      <c r="B144" t="s">
        <v>151</v>
      </c>
      <c r="C144">
        <v>21</v>
      </c>
      <c r="D144" t="s">
        <v>139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150</v>
      </c>
      <c r="B145" t="s">
        <v>151</v>
      </c>
      <c r="C145">
        <v>22</v>
      </c>
      <c r="D145" t="s">
        <v>140</v>
      </c>
      <c r="E145" s="14">
        <v>-274745</v>
      </c>
      <c r="F145" s="14">
        <v>-492892.53</v>
      </c>
      <c r="G145" s="127">
        <v>-185389</v>
      </c>
      <c r="H145" s="127">
        <v>-332587.86599999992</v>
      </c>
      <c r="I145" s="127">
        <v>834837</v>
      </c>
      <c r="J145" s="127">
        <v>1497697.578</v>
      </c>
      <c r="K145" s="127">
        <v>-120092</v>
      </c>
      <c r="L145" s="127">
        <v>-1787771.2379999999</v>
      </c>
      <c r="M145" s="127">
        <v>10470</v>
      </c>
      <c r="N145" s="127">
        <v>1590712.18</v>
      </c>
      <c r="O145" s="127">
        <v>5672</v>
      </c>
      <c r="P145" s="127">
        <v>10175.567999999999</v>
      </c>
      <c r="Q145" s="127">
        <v>-2918</v>
      </c>
      <c r="R145" s="127">
        <v>-5234.8919999999998</v>
      </c>
      <c r="S145" s="127">
        <v>-11337</v>
      </c>
      <c r="T145" s="127">
        <v>-20338.578000000001</v>
      </c>
      <c r="U145" s="127">
        <v>4888</v>
      </c>
      <c r="V145" s="127">
        <v>8769.0720000000001</v>
      </c>
      <c r="W145" s="127">
        <v>-22370</v>
      </c>
      <c r="X145" s="127">
        <v>-40131.78</v>
      </c>
      <c r="Y145" s="127">
        <v>0</v>
      </c>
      <c r="Z145" s="127">
        <v>0</v>
      </c>
      <c r="AA145" s="127">
        <v>102836</v>
      </c>
      <c r="AB145" s="127">
        <v>184487.78400000001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0</v>
      </c>
      <c r="AJ145" s="127">
        <v>0</v>
      </c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150</v>
      </c>
      <c r="B146" t="s">
        <v>151</v>
      </c>
      <c r="C146">
        <v>23</v>
      </c>
      <c r="D146" t="s">
        <v>141</v>
      </c>
      <c r="E146" s="14">
        <v>-344152</v>
      </c>
      <c r="F146" s="14">
        <v>-617408.68999999994</v>
      </c>
      <c r="G146" s="127">
        <v>139126</v>
      </c>
      <c r="H146" s="127">
        <v>249592.04399999999</v>
      </c>
      <c r="I146" s="127">
        <v>349</v>
      </c>
      <c r="J146" s="127">
        <v>626.10599999999999</v>
      </c>
      <c r="K146" s="127">
        <v>-5830</v>
      </c>
      <c r="L146" s="127">
        <v>-10459.02</v>
      </c>
      <c r="M146" s="127">
        <v>0</v>
      </c>
      <c r="N146" s="127">
        <v>0</v>
      </c>
      <c r="O146" s="127">
        <v>0</v>
      </c>
      <c r="P146" s="127">
        <v>0</v>
      </c>
      <c r="Q146" s="127">
        <v>15</v>
      </c>
      <c r="R146" s="127">
        <v>26.91</v>
      </c>
      <c r="S146" s="127">
        <v>0</v>
      </c>
      <c r="T146" s="127">
        <v>0</v>
      </c>
      <c r="U146" s="127">
        <v>-1228</v>
      </c>
      <c r="V146" s="127">
        <v>-2203.0320000000002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150</v>
      </c>
      <c r="B147" t="s">
        <v>151</v>
      </c>
      <c r="C147">
        <v>24</v>
      </c>
      <c r="D147" t="s">
        <v>59</v>
      </c>
      <c r="E147" s="14">
        <v>-7503970</v>
      </c>
      <c r="F147" s="14">
        <v>-846440.04</v>
      </c>
      <c r="G147" s="127">
        <v>-5619003</v>
      </c>
      <c r="H147" s="127">
        <v>49287.85</v>
      </c>
      <c r="I147" s="127">
        <v>-1373</v>
      </c>
      <c r="J147" s="127">
        <v>-7563.18</v>
      </c>
      <c r="K147" s="127">
        <v>-2710</v>
      </c>
      <c r="L147" s="127">
        <v>-1381.24</v>
      </c>
      <c r="M147" s="127">
        <v>0</v>
      </c>
      <c r="N147" s="127">
        <v>0</v>
      </c>
      <c r="O147" s="127">
        <v>0</v>
      </c>
      <c r="P147" s="127">
        <v>0</v>
      </c>
      <c r="Q147" s="127">
        <v>736</v>
      </c>
      <c r="R147" s="127">
        <v>154.56</v>
      </c>
      <c r="S147" s="127">
        <v>-20940</v>
      </c>
      <c r="T147" s="127">
        <v>-2764.08</v>
      </c>
      <c r="U147" s="127">
        <v>0</v>
      </c>
      <c r="V147" s="127">
        <v>0</v>
      </c>
      <c r="W147" s="127">
        <v>0</v>
      </c>
      <c r="X147" s="127">
        <v>574370.71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150</v>
      </c>
      <c r="B148" t="s">
        <v>151</v>
      </c>
      <c r="C148">
        <v>25</v>
      </c>
      <c r="D148" t="s">
        <v>60</v>
      </c>
      <c r="E148" s="14">
        <v>0</v>
      </c>
      <c r="F148" s="14">
        <v>-2595525.83</v>
      </c>
      <c r="G148" s="127">
        <v>0</v>
      </c>
      <c r="H148" s="127">
        <v>78224.45</v>
      </c>
      <c r="I148" s="127">
        <v>0</v>
      </c>
      <c r="J148" s="127">
        <v>-0.02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0</v>
      </c>
      <c r="Q148" s="127">
        <v>0</v>
      </c>
      <c r="R148" s="127">
        <v>15517.4</v>
      </c>
      <c r="S148" s="127">
        <v>0</v>
      </c>
      <c r="T148" s="127">
        <v>1820.01</v>
      </c>
      <c r="U148" s="127">
        <v>0</v>
      </c>
      <c r="V148" s="127">
        <v>-0.01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150</v>
      </c>
      <c r="B149" t="s">
        <v>151</v>
      </c>
      <c r="C149">
        <v>26</v>
      </c>
      <c r="D149" t="s">
        <v>142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150</v>
      </c>
      <c r="B150" t="s">
        <v>151</v>
      </c>
      <c r="C150">
        <v>27</v>
      </c>
      <c r="D150" t="s">
        <v>143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150</v>
      </c>
      <c r="B151" t="s">
        <v>151</v>
      </c>
      <c r="C151">
        <v>28</v>
      </c>
      <c r="D151" t="s">
        <v>144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150</v>
      </c>
      <c r="B152" t="s">
        <v>151</v>
      </c>
      <c r="C152">
        <v>29</v>
      </c>
      <c r="D152" t="s">
        <v>145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150</v>
      </c>
      <c r="B153" t="s">
        <v>151</v>
      </c>
      <c r="C153">
        <v>30</v>
      </c>
      <c r="D153" t="s">
        <v>146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150</v>
      </c>
      <c r="B154" t="s">
        <v>151</v>
      </c>
      <c r="C154">
        <v>31</v>
      </c>
      <c r="D154" t="s">
        <v>147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150</v>
      </c>
      <c r="B155" t="s">
        <v>151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150</v>
      </c>
      <c r="B156" t="s">
        <v>151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150</v>
      </c>
      <c r="B157" t="s">
        <v>151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150</v>
      </c>
      <c r="B158" t="s">
        <v>151</v>
      </c>
      <c r="C158">
        <v>35</v>
      </c>
      <c r="D158" t="s">
        <v>77</v>
      </c>
      <c r="E158" s="14">
        <v>0</v>
      </c>
      <c r="F158" s="14">
        <v>-150</v>
      </c>
      <c r="G158" s="127">
        <v>0</v>
      </c>
      <c r="H158" s="127">
        <v>-5886.38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0</v>
      </c>
      <c r="U158" s="127">
        <v>0</v>
      </c>
      <c r="V158" s="127">
        <v>-5503.02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150</v>
      </c>
      <c r="B159" t="s">
        <v>151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150</v>
      </c>
      <c r="B160" t="s">
        <v>151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150</v>
      </c>
      <c r="B161" t="s">
        <v>151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150</v>
      </c>
      <c r="B162" t="s">
        <v>151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150</v>
      </c>
      <c r="B163" t="s">
        <v>151</v>
      </c>
      <c r="C163">
        <v>40</v>
      </c>
      <c r="D163" t="s">
        <v>82</v>
      </c>
      <c r="E163" s="14">
        <v>0</v>
      </c>
      <c r="F163" s="14">
        <v>209250</v>
      </c>
      <c r="G163" s="127">
        <v>0</v>
      </c>
      <c r="H163" s="127">
        <v>177800</v>
      </c>
      <c r="I163" s="127">
        <v>0</v>
      </c>
      <c r="J163" s="127">
        <v>6265.7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150</v>
      </c>
      <c r="B164" t="s">
        <v>152</v>
      </c>
      <c r="C164">
        <v>1</v>
      </c>
      <c r="D164" t="s">
        <v>29</v>
      </c>
      <c r="E164" s="14">
        <v>124181509</v>
      </c>
      <c r="F164" s="14">
        <v>260925509.26999998</v>
      </c>
      <c r="G164" s="127">
        <v>1547321</v>
      </c>
      <c r="H164" s="127">
        <v>14039133.539999999</v>
      </c>
      <c r="I164" s="127">
        <v>1052</v>
      </c>
      <c r="J164" s="127">
        <v>-548413.78</v>
      </c>
      <c r="K164" s="127">
        <v>-59812</v>
      </c>
      <c r="L164" s="127">
        <v>-5992506.8799999999</v>
      </c>
      <c r="M164" s="127">
        <v>-1607936</v>
      </c>
      <c r="N164" s="127">
        <v>-4670784.62</v>
      </c>
      <c r="O164" s="127">
        <v>249</v>
      </c>
      <c r="P164" s="127">
        <v>438.86</v>
      </c>
      <c r="Q164" s="127">
        <v>0</v>
      </c>
      <c r="R164" s="127">
        <v>-3838.39</v>
      </c>
      <c r="S164" s="127">
        <v>0</v>
      </c>
      <c r="T164" s="127">
        <v>194130.93</v>
      </c>
      <c r="U164" s="127">
        <v>0</v>
      </c>
      <c r="V164" s="127">
        <v>0</v>
      </c>
      <c r="W164" s="127">
        <v>0</v>
      </c>
      <c r="X164" s="127">
        <v>3960185</v>
      </c>
      <c r="Y164" s="127">
        <v>0</v>
      </c>
      <c r="Z164" s="127">
        <v>243.7</v>
      </c>
      <c r="AA164" s="127">
        <v>0</v>
      </c>
      <c r="AB164" s="127">
        <v>0</v>
      </c>
      <c r="AC164" s="127">
        <v>0</v>
      </c>
      <c r="AD164" s="127">
        <v>-3341.8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0</v>
      </c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150</v>
      </c>
      <c r="B165" t="s">
        <v>152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150</v>
      </c>
      <c r="B166" t="s">
        <v>152</v>
      </c>
      <c r="C166">
        <v>3</v>
      </c>
      <c r="D166" t="s">
        <v>31</v>
      </c>
      <c r="E166" s="14">
        <v>70923796</v>
      </c>
      <c r="F166" s="14">
        <v>147978095</v>
      </c>
      <c r="G166" s="127">
        <v>0</v>
      </c>
      <c r="H166" s="127">
        <v>0</v>
      </c>
      <c r="I166" s="127">
        <v>0</v>
      </c>
      <c r="J166" s="127">
        <v>0</v>
      </c>
      <c r="K166" s="127">
        <v>2271</v>
      </c>
      <c r="L166" s="127">
        <v>3910</v>
      </c>
      <c r="M166" s="127">
        <v>0</v>
      </c>
      <c r="N166" s="127">
        <v>0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0</v>
      </c>
      <c r="V166" s="127">
        <v>0</v>
      </c>
      <c r="W166" s="127">
        <v>85200</v>
      </c>
      <c r="X166" s="127">
        <v>149851</v>
      </c>
      <c r="Y166" s="127">
        <v>85200</v>
      </c>
      <c r="Z166" s="127">
        <v>149851</v>
      </c>
      <c r="AA166" s="127">
        <v>-172671</v>
      </c>
      <c r="AB166" s="127">
        <v>-303612</v>
      </c>
      <c r="AC166" s="127">
        <v>602580</v>
      </c>
      <c r="AD166" s="127">
        <v>1039868</v>
      </c>
      <c r="AE166" s="127">
        <v>0</v>
      </c>
      <c r="AF166" s="127">
        <v>0</v>
      </c>
      <c r="AG166" s="127">
        <v>-602580</v>
      </c>
      <c r="AH166" s="127">
        <v>-1039868</v>
      </c>
      <c r="AI166" s="127">
        <v>0</v>
      </c>
      <c r="AJ166" s="127">
        <v>0</v>
      </c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150</v>
      </c>
      <c r="B167" t="s">
        <v>152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150</v>
      </c>
      <c r="B168" t="s">
        <v>152</v>
      </c>
      <c r="C168">
        <v>5</v>
      </c>
      <c r="D168" t="s">
        <v>135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150</v>
      </c>
      <c r="B169" t="s">
        <v>152</v>
      </c>
      <c r="C169">
        <v>6</v>
      </c>
      <c r="D169" t="s">
        <v>29</v>
      </c>
      <c r="E169" s="14">
        <v>-118894924</v>
      </c>
      <c r="F169" s="14">
        <v>-223154302.16999999</v>
      </c>
      <c r="G169" s="127">
        <v>-1193507</v>
      </c>
      <c r="H169" s="127">
        <v>-6221527.0399999991</v>
      </c>
      <c r="I169" s="127">
        <v>-776315</v>
      </c>
      <c r="J169" s="127">
        <v>370185.84</v>
      </c>
      <c r="K169" s="127">
        <v>14197</v>
      </c>
      <c r="L169" s="127">
        <v>134223.38</v>
      </c>
      <c r="M169" s="127">
        <v>1549484</v>
      </c>
      <c r="N169" s="127">
        <v>2624268.5699999998</v>
      </c>
      <c r="O169" s="127">
        <v>-1462</v>
      </c>
      <c r="P169" s="127">
        <v>-6982.89</v>
      </c>
      <c r="Q169" s="127">
        <v>-37</v>
      </c>
      <c r="R169" s="127">
        <v>-777.99</v>
      </c>
      <c r="S169" s="127">
        <v>0</v>
      </c>
      <c r="T169" s="127">
        <v>-65565.38</v>
      </c>
      <c r="U169" s="127">
        <v>-70</v>
      </c>
      <c r="V169" s="127">
        <v>-135.77000000000001</v>
      </c>
      <c r="W169" s="127">
        <v>0</v>
      </c>
      <c r="X169" s="127">
        <v>-775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119127.08</v>
      </c>
      <c r="AE169" s="127">
        <v>0</v>
      </c>
      <c r="AF169" s="127">
        <v>0</v>
      </c>
      <c r="AG169" s="127">
        <v>0</v>
      </c>
      <c r="AH169" s="127">
        <v>0</v>
      </c>
      <c r="AI169" s="127">
        <v>0</v>
      </c>
      <c r="AJ169" s="127">
        <v>0</v>
      </c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150</v>
      </c>
      <c r="B170" t="s">
        <v>152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150</v>
      </c>
      <c r="B171" t="s">
        <v>152</v>
      </c>
      <c r="C171">
        <v>8</v>
      </c>
      <c r="D171" t="s">
        <v>31</v>
      </c>
      <c r="E171" s="14">
        <v>-69466461</v>
      </c>
      <c r="F171" s="14">
        <v>-145653791</v>
      </c>
      <c r="G171" s="127">
        <v>0</v>
      </c>
      <c r="H171" s="127">
        <v>0</v>
      </c>
      <c r="I171" s="127">
        <v>0</v>
      </c>
      <c r="J171" s="127">
        <v>0</v>
      </c>
      <c r="K171" s="127">
        <v>459988</v>
      </c>
      <c r="L171" s="127">
        <v>806778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-85200</v>
      </c>
      <c r="X171" s="127">
        <v>-149851</v>
      </c>
      <c r="Y171" s="127">
        <v>-85200</v>
      </c>
      <c r="Z171" s="127">
        <v>-149851</v>
      </c>
      <c r="AA171" s="127">
        <v>-289588</v>
      </c>
      <c r="AB171" s="127">
        <v>-507076</v>
      </c>
      <c r="AC171" s="127">
        <v>-499744</v>
      </c>
      <c r="AD171" s="127">
        <v>-891739</v>
      </c>
      <c r="AE171" s="127">
        <v>0</v>
      </c>
      <c r="AF171" s="127">
        <v>0</v>
      </c>
      <c r="AG171" s="127">
        <v>499744</v>
      </c>
      <c r="AH171" s="127">
        <v>891739</v>
      </c>
      <c r="AI171" s="127">
        <v>0</v>
      </c>
      <c r="AJ171" s="127">
        <v>0</v>
      </c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150</v>
      </c>
      <c r="B172" t="s">
        <v>152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150</v>
      </c>
      <c r="B173" t="s">
        <v>152</v>
      </c>
      <c r="C173">
        <v>10</v>
      </c>
      <c r="D173" t="s">
        <v>36</v>
      </c>
      <c r="E173" s="14">
        <v>1436350</v>
      </c>
      <c r="F173" s="14">
        <v>2538030.4500000002</v>
      </c>
      <c r="G173" s="127">
        <v>-111457</v>
      </c>
      <c r="H173" s="127">
        <v>-196944.519</v>
      </c>
      <c r="I173" s="127">
        <v>-89715</v>
      </c>
      <c r="J173" s="127">
        <v>-158526.405</v>
      </c>
      <c r="K173" s="127">
        <v>24707</v>
      </c>
      <c r="L173" s="127">
        <v>43657.269</v>
      </c>
      <c r="M173" s="127">
        <v>0</v>
      </c>
      <c r="N173" s="127">
        <v>0</v>
      </c>
      <c r="O173" s="127">
        <v>-48</v>
      </c>
      <c r="P173" s="127">
        <v>-84.816000000000003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150</v>
      </c>
      <c r="B174" t="s">
        <v>152</v>
      </c>
      <c r="C174">
        <v>11</v>
      </c>
      <c r="D174" t="s">
        <v>39</v>
      </c>
      <c r="E174" s="14">
        <v>9657096</v>
      </c>
      <c r="F174" s="14">
        <v>17557451.59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150</v>
      </c>
      <c r="B175" t="s">
        <v>152</v>
      </c>
      <c r="C175">
        <v>12</v>
      </c>
      <c r="D175" t="s">
        <v>40</v>
      </c>
      <c r="E175" s="14">
        <v>-4219308</v>
      </c>
      <c r="F175" s="14">
        <v>-7858604.8099999996</v>
      </c>
      <c r="G175" s="127">
        <v>7</v>
      </c>
      <c r="H175" s="127">
        <v>12.36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150</v>
      </c>
      <c r="B176" t="s">
        <v>152</v>
      </c>
      <c r="C176">
        <v>13</v>
      </c>
      <c r="D176" t="s">
        <v>43</v>
      </c>
      <c r="E176" s="14">
        <v>-745776</v>
      </c>
      <c r="F176" s="14">
        <v>-1317786.19</v>
      </c>
      <c r="G176" s="127">
        <v>-414585</v>
      </c>
      <c r="H176" s="127">
        <v>-756939.15</v>
      </c>
      <c r="I176" s="127">
        <v>-158540</v>
      </c>
      <c r="J176" s="127">
        <v>-228619.58</v>
      </c>
      <c r="K176" s="127">
        <v>-71999</v>
      </c>
      <c r="L176" s="127">
        <v>-226582.492</v>
      </c>
      <c r="M176" s="127">
        <v>469402</v>
      </c>
      <c r="N176" s="127">
        <v>359803.152</v>
      </c>
      <c r="O176" s="127">
        <v>154468</v>
      </c>
      <c r="P176" s="127">
        <v>460417.16399999999</v>
      </c>
      <c r="Q176" s="127">
        <v>-92</v>
      </c>
      <c r="R176" s="127">
        <v>-27821.243999999999</v>
      </c>
      <c r="S176" s="127">
        <v>551418</v>
      </c>
      <c r="T176" s="127">
        <v>990986.96200000006</v>
      </c>
      <c r="U176" s="127">
        <v>511</v>
      </c>
      <c r="V176" s="127">
        <v>65987.645999999993</v>
      </c>
      <c r="W176" s="127">
        <v>16809</v>
      </c>
      <c r="X176" s="127">
        <v>330009.42800000001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150</v>
      </c>
      <c r="B177" t="s">
        <v>152</v>
      </c>
      <c r="C177">
        <v>14</v>
      </c>
      <c r="D177" t="s">
        <v>44</v>
      </c>
      <c r="E177" s="14">
        <v>0</v>
      </c>
      <c r="F177" s="14">
        <v>0</v>
      </c>
      <c r="G177" s="127">
        <v>-36061</v>
      </c>
      <c r="H177" s="127">
        <v>-151079.98000000001</v>
      </c>
      <c r="I177" s="127">
        <v>-537</v>
      </c>
      <c r="J177" s="127">
        <v>-1040.04</v>
      </c>
      <c r="K177" s="127">
        <v>-44073</v>
      </c>
      <c r="L177" s="127">
        <v>-81894.17</v>
      </c>
      <c r="M177" s="127">
        <v>0</v>
      </c>
      <c r="N177" s="127">
        <v>0</v>
      </c>
      <c r="O177" s="127">
        <v>-1247</v>
      </c>
      <c r="P177" s="127">
        <v>-2295.1999999999998</v>
      </c>
      <c r="Q177" s="127">
        <v>0</v>
      </c>
      <c r="R177" s="127">
        <v>0</v>
      </c>
      <c r="S177" s="127">
        <v>0</v>
      </c>
      <c r="T177" s="127">
        <v>0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150</v>
      </c>
      <c r="B178" t="s">
        <v>152</v>
      </c>
      <c r="C178">
        <v>15</v>
      </c>
      <c r="D178" t="s">
        <v>45</v>
      </c>
      <c r="E178" s="14">
        <v>0</v>
      </c>
      <c r="F178" s="14">
        <v>0</v>
      </c>
      <c r="G178" s="127">
        <v>239550</v>
      </c>
      <c r="H178" s="127">
        <v>440743.3</v>
      </c>
      <c r="I178" s="127">
        <v>31204</v>
      </c>
      <c r="J178" s="127">
        <v>56276.46</v>
      </c>
      <c r="K178" s="127">
        <v>6461</v>
      </c>
      <c r="L178" s="127">
        <v>11932.44</v>
      </c>
      <c r="M178" s="127">
        <v>741</v>
      </c>
      <c r="N178" s="127">
        <v>1407.9</v>
      </c>
      <c r="O178" s="127">
        <v>2164</v>
      </c>
      <c r="P178" s="127">
        <v>3869.66</v>
      </c>
      <c r="Q178" s="127">
        <v>0</v>
      </c>
      <c r="R178" s="127">
        <v>0</v>
      </c>
      <c r="S178" s="127">
        <v>0</v>
      </c>
      <c r="T178" s="127">
        <v>0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150</v>
      </c>
      <c r="B179" t="s">
        <v>152</v>
      </c>
      <c r="C179">
        <v>16</v>
      </c>
      <c r="D179" t="s">
        <v>46</v>
      </c>
      <c r="E179" s="14">
        <v>-83068</v>
      </c>
      <c r="F179" s="14">
        <v>-0.01</v>
      </c>
      <c r="G179" s="127">
        <v>362643</v>
      </c>
      <c r="H179" s="127">
        <v>0</v>
      </c>
      <c r="I179" s="127">
        <v>0</v>
      </c>
      <c r="J179" s="127">
        <v>0</v>
      </c>
      <c r="K179" s="127">
        <v>50000</v>
      </c>
      <c r="L179" s="127">
        <v>0</v>
      </c>
      <c r="M179" s="127">
        <v>-362575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0</v>
      </c>
      <c r="W179" s="127">
        <v>0</v>
      </c>
      <c r="X179" s="127">
        <v>-56931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150</v>
      </c>
      <c r="B180" t="s">
        <v>152</v>
      </c>
      <c r="C180">
        <v>17</v>
      </c>
      <c r="D180" t="s">
        <v>136</v>
      </c>
      <c r="E180" s="14">
        <v>60065</v>
      </c>
      <c r="F180" s="14">
        <v>105113.75</v>
      </c>
      <c r="G180" s="127">
        <v>975</v>
      </c>
      <c r="H180" s="127">
        <v>1706.25</v>
      </c>
      <c r="I180" s="127">
        <v>0</v>
      </c>
      <c r="J180" s="127">
        <v>0</v>
      </c>
      <c r="K180" s="127">
        <v>0</v>
      </c>
      <c r="L180" s="127">
        <v>0</v>
      </c>
      <c r="M180" s="127">
        <v>0</v>
      </c>
      <c r="N180" s="127">
        <v>0</v>
      </c>
      <c r="O180" s="127">
        <v>-114832</v>
      </c>
      <c r="P180" s="127">
        <v>-265836.08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-0.02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150</v>
      </c>
      <c r="B181" t="s">
        <v>152</v>
      </c>
      <c r="C181">
        <v>18</v>
      </c>
      <c r="D181" t="s">
        <v>137</v>
      </c>
      <c r="E181" s="14">
        <v>-14105365</v>
      </c>
      <c r="F181" s="14">
        <v>-32062854.190000001</v>
      </c>
      <c r="G181" s="127">
        <v>376988</v>
      </c>
      <c r="H181" s="127">
        <v>-14906904.16</v>
      </c>
      <c r="I181" s="127">
        <v>215035</v>
      </c>
      <c r="J181" s="127">
        <v>459176.04</v>
      </c>
      <c r="K181" s="127">
        <v>-102539</v>
      </c>
      <c r="L181" s="127">
        <v>15551056.92</v>
      </c>
      <c r="M181" s="127">
        <v>114832</v>
      </c>
      <c r="N181" s="127">
        <v>265836.08</v>
      </c>
      <c r="O181" s="127">
        <v>-150799</v>
      </c>
      <c r="P181" s="127">
        <v>-305959.12</v>
      </c>
      <c r="Q181" s="127">
        <v>-1</v>
      </c>
      <c r="R181" s="127">
        <v>2624139.9500000002</v>
      </c>
      <c r="S181" s="127">
        <v>-555626</v>
      </c>
      <c r="T181" s="127">
        <v>-0.01</v>
      </c>
      <c r="U181" s="127">
        <v>0</v>
      </c>
      <c r="V181" s="127">
        <v>0</v>
      </c>
      <c r="W181" s="127">
        <v>1700650</v>
      </c>
      <c r="X181" s="127">
        <v>0.05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150</v>
      </c>
      <c r="B182" t="s">
        <v>152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150</v>
      </c>
      <c r="B183" t="s">
        <v>152</v>
      </c>
      <c r="C183">
        <v>20</v>
      </c>
      <c r="D183" t="s">
        <v>138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150</v>
      </c>
      <c r="B184" t="s">
        <v>152</v>
      </c>
      <c r="C184">
        <v>21</v>
      </c>
      <c r="D184" t="s">
        <v>139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150</v>
      </c>
      <c r="B185" t="s">
        <v>152</v>
      </c>
      <c r="C185">
        <v>22</v>
      </c>
      <c r="D185" t="s">
        <v>140</v>
      </c>
      <c r="E185" s="14">
        <v>1256086</v>
      </c>
      <c r="F185" s="14">
        <v>2219503.9619999998</v>
      </c>
      <c r="G185" s="127">
        <v>-771874</v>
      </c>
      <c r="H185" s="127">
        <v>-1363901.3579999998</v>
      </c>
      <c r="I185" s="127">
        <v>777816</v>
      </c>
      <c r="J185" s="127">
        <v>1374400.872</v>
      </c>
      <c r="K185" s="127">
        <v>-279201</v>
      </c>
      <c r="L185" s="127">
        <v>2719692.1830000002</v>
      </c>
      <c r="M185" s="127">
        <v>-163948</v>
      </c>
      <c r="N185" s="127">
        <v>-3503529.1159999999</v>
      </c>
      <c r="O185" s="127">
        <v>111507</v>
      </c>
      <c r="P185" s="127">
        <v>197032.86900000001</v>
      </c>
      <c r="Q185" s="127">
        <v>130</v>
      </c>
      <c r="R185" s="127">
        <v>229.71</v>
      </c>
      <c r="S185" s="127">
        <v>4208</v>
      </c>
      <c r="T185" s="127">
        <v>7435.5360000000001</v>
      </c>
      <c r="U185" s="127">
        <v>-441</v>
      </c>
      <c r="V185" s="127">
        <v>-779.24699999999996</v>
      </c>
      <c r="W185" s="127">
        <v>-1717459</v>
      </c>
      <c r="X185" s="127">
        <v>-3034750.0529999998</v>
      </c>
      <c r="Y185" s="127">
        <v>0</v>
      </c>
      <c r="Z185" s="127">
        <v>0</v>
      </c>
      <c r="AA185" s="127">
        <v>462259</v>
      </c>
      <c r="AB185" s="127">
        <v>816811.65300000005</v>
      </c>
      <c r="AC185" s="127">
        <v>-102836</v>
      </c>
      <c r="AD185" s="127">
        <v>-184487.78400000001</v>
      </c>
      <c r="AE185" s="127">
        <v>0</v>
      </c>
      <c r="AF185" s="127">
        <v>0</v>
      </c>
      <c r="AG185" s="127">
        <v>102836</v>
      </c>
      <c r="AH185" s="127">
        <v>184487.78400000001</v>
      </c>
      <c r="AI185" s="127">
        <v>0</v>
      </c>
      <c r="AJ185" s="127">
        <v>0</v>
      </c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150</v>
      </c>
      <c r="B186" t="s">
        <v>152</v>
      </c>
      <c r="C186">
        <v>23</v>
      </c>
      <c r="D186" t="s">
        <v>141</v>
      </c>
      <c r="E186" s="14">
        <v>-1436350</v>
      </c>
      <c r="F186" s="14">
        <v>-2538030.4500000002</v>
      </c>
      <c r="G186" s="127">
        <v>111457</v>
      </c>
      <c r="H186" s="127">
        <v>196944.519</v>
      </c>
      <c r="I186" s="127">
        <v>89715</v>
      </c>
      <c r="J186" s="127">
        <v>158526.405</v>
      </c>
      <c r="K186" s="127">
        <v>-24707</v>
      </c>
      <c r="L186" s="127">
        <v>-43657.269</v>
      </c>
      <c r="M186" s="127">
        <v>0</v>
      </c>
      <c r="N186" s="127">
        <v>0</v>
      </c>
      <c r="O186" s="127">
        <v>48</v>
      </c>
      <c r="P186" s="127">
        <v>84.816000000000003</v>
      </c>
      <c r="Q186" s="127">
        <v>0</v>
      </c>
      <c r="R186" s="127">
        <v>0</v>
      </c>
      <c r="S186" s="127">
        <v>0</v>
      </c>
      <c r="T186" s="127">
        <v>0</v>
      </c>
      <c r="U186" s="127">
        <v>0</v>
      </c>
      <c r="V186" s="127">
        <v>0</v>
      </c>
      <c r="W186" s="127">
        <v>-441422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150</v>
      </c>
      <c r="B187" t="s">
        <v>152</v>
      </c>
      <c r="C187">
        <v>24</v>
      </c>
      <c r="D187" t="s">
        <v>59</v>
      </c>
      <c r="E187" s="14">
        <v>-67818560</v>
      </c>
      <c r="F187" s="14">
        <v>-2966001.47</v>
      </c>
      <c r="G187" s="127">
        <v>1030113</v>
      </c>
      <c r="H187" s="127">
        <v>625412.37</v>
      </c>
      <c r="I187" s="127">
        <v>73827</v>
      </c>
      <c r="J187" s="127">
        <v>-15165.64</v>
      </c>
      <c r="K187" s="127">
        <v>77445</v>
      </c>
      <c r="L187" s="127">
        <v>-82307.3</v>
      </c>
      <c r="M187" s="127">
        <v>-840</v>
      </c>
      <c r="N187" s="127">
        <v>82825.63</v>
      </c>
      <c r="O187" s="127">
        <v>-787</v>
      </c>
      <c r="P187" s="127">
        <v>-363.87</v>
      </c>
      <c r="Q187" s="127">
        <v>0</v>
      </c>
      <c r="R187" s="127">
        <v>0</v>
      </c>
      <c r="S187" s="127">
        <v>14310</v>
      </c>
      <c r="T187" s="127">
        <v>0.32999999999992724</v>
      </c>
      <c r="U187" s="127">
        <v>-70</v>
      </c>
      <c r="V187" s="127">
        <v>-9.34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150</v>
      </c>
      <c r="B188" t="s">
        <v>152</v>
      </c>
      <c r="C188">
        <v>25</v>
      </c>
      <c r="D188" t="s">
        <v>60</v>
      </c>
      <c r="E188" s="14">
        <v>0</v>
      </c>
      <c r="F188" s="14">
        <v>-16549210.6</v>
      </c>
      <c r="G188" s="127">
        <v>0</v>
      </c>
      <c r="H188" s="127">
        <v>481773.21</v>
      </c>
      <c r="I188" s="127">
        <v>0</v>
      </c>
      <c r="J188" s="127">
        <v>36742.78</v>
      </c>
      <c r="K188" s="127">
        <v>0</v>
      </c>
      <c r="L188" s="127">
        <v>-9935.86</v>
      </c>
      <c r="M188" s="127">
        <v>0</v>
      </c>
      <c r="N188" s="127">
        <v>3.72</v>
      </c>
      <c r="O188" s="127">
        <v>0</v>
      </c>
      <c r="P188" s="127">
        <v>4596.0200000000004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-0.01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150</v>
      </c>
      <c r="B189" t="s">
        <v>152</v>
      </c>
      <c r="C189">
        <v>26</v>
      </c>
      <c r="D189" t="s">
        <v>142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150</v>
      </c>
      <c r="B190" t="s">
        <v>152</v>
      </c>
      <c r="C190">
        <v>27</v>
      </c>
      <c r="D190" t="s">
        <v>143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150</v>
      </c>
      <c r="B191" t="s">
        <v>152</v>
      </c>
      <c r="C191">
        <v>28</v>
      </c>
      <c r="D191" t="s">
        <v>144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150</v>
      </c>
      <c r="B192" t="s">
        <v>152</v>
      </c>
      <c r="C192">
        <v>29</v>
      </c>
      <c r="D192" t="s">
        <v>145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150</v>
      </c>
      <c r="B193" t="s">
        <v>152</v>
      </c>
      <c r="C193">
        <v>30</v>
      </c>
      <c r="D193" t="s">
        <v>146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150</v>
      </c>
      <c r="B194" t="s">
        <v>152</v>
      </c>
      <c r="C194">
        <v>31</v>
      </c>
      <c r="D194" t="s">
        <v>147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150</v>
      </c>
      <c r="B195" t="s">
        <v>152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150</v>
      </c>
      <c r="B196" t="s">
        <v>152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150</v>
      </c>
      <c r="B197" t="s">
        <v>152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150</v>
      </c>
      <c r="B198" t="s">
        <v>152</v>
      </c>
      <c r="C198">
        <v>35</v>
      </c>
      <c r="D198" t="s">
        <v>77</v>
      </c>
      <c r="E198" s="14">
        <v>0</v>
      </c>
      <c r="F198" s="14">
        <v>-100</v>
      </c>
      <c r="G198" s="127">
        <v>0</v>
      </c>
      <c r="H198" s="127">
        <v>-217567.54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150</v>
      </c>
      <c r="B199" t="s">
        <v>152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150</v>
      </c>
      <c r="B200" t="s">
        <v>152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150</v>
      </c>
      <c r="B201" t="s">
        <v>152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150</v>
      </c>
      <c r="B202" t="s">
        <v>152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150</v>
      </c>
      <c r="B203" t="s">
        <v>152</v>
      </c>
      <c r="C203">
        <v>40</v>
      </c>
      <c r="D203" t="s">
        <v>82</v>
      </c>
      <c r="E203" s="14">
        <v>0</v>
      </c>
      <c r="F203" s="14">
        <v>386552.33</v>
      </c>
      <c r="G203" s="127">
        <v>0</v>
      </c>
      <c r="H203" s="127">
        <v>52966.8</v>
      </c>
      <c r="I203" s="127">
        <v>0</v>
      </c>
      <c r="J203" s="127">
        <v>152520</v>
      </c>
      <c r="K203" s="127">
        <v>0</v>
      </c>
      <c r="L203" s="127">
        <v>171.2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150</v>
      </c>
      <c r="B204" t="s">
        <v>149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150</v>
      </c>
      <c r="B205" t="s">
        <v>149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150</v>
      </c>
      <c r="B206" t="s">
        <v>149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150</v>
      </c>
      <c r="B207" t="s">
        <v>149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150</v>
      </c>
      <c r="B208" t="s">
        <v>149</v>
      </c>
      <c r="C208">
        <v>5</v>
      </c>
      <c r="D208" t="s">
        <v>135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150</v>
      </c>
      <c r="B209" t="s">
        <v>149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150</v>
      </c>
      <c r="B210" t="s">
        <v>149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150</v>
      </c>
      <c r="B211" t="s">
        <v>149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150</v>
      </c>
      <c r="B212" t="s">
        <v>149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150</v>
      </c>
      <c r="B213" t="s">
        <v>149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150</v>
      </c>
      <c r="B214" t="s">
        <v>149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150</v>
      </c>
      <c r="B215" t="s">
        <v>149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150</v>
      </c>
      <c r="B216" t="s">
        <v>149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150</v>
      </c>
      <c r="B217" t="s">
        <v>149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150</v>
      </c>
      <c r="B218" t="s">
        <v>149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150</v>
      </c>
      <c r="B219" t="s">
        <v>149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150</v>
      </c>
      <c r="B220" t="s">
        <v>149</v>
      </c>
      <c r="C220">
        <v>17</v>
      </c>
      <c r="D220" t="s">
        <v>136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150</v>
      </c>
      <c r="B221" t="s">
        <v>149</v>
      </c>
      <c r="C221">
        <v>18</v>
      </c>
      <c r="D221" t="s">
        <v>137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150</v>
      </c>
      <c r="B222" t="s">
        <v>149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150</v>
      </c>
      <c r="B223" t="s">
        <v>149</v>
      </c>
      <c r="C223">
        <v>20</v>
      </c>
      <c r="D223" t="s">
        <v>138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150</v>
      </c>
      <c r="B224" t="s">
        <v>149</v>
      </c>
      <c r="C224">
        <v>21</v>
      </c>
      <c r="D224" t="s">
        <v>139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150</v>
      </c>
      <c r="B225" t="s">
        <v>149</v>
      </c>
      <c r="C225">
        <v>22</v>
      </c>
      <c r="D225" t="s">
        <v>140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150</v>
      </c>
      <c r="B226" t="s">
        <v>149</v>
      </c>
      <c r="C226">
        <v>23</v>
      </c>
      <c r="D226" t="s">
        <v>141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150</v>
      </c>
      <c r="B227" t="s">
        <v>149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150</v>
      </c>
      <c r="B228" t="s">
        <v>149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150</v>
      </c>
      <c r="B229" t="s">
        <v>149</v>
      </c>
      <c r="C229">
        <v>26</v>
      </c>
      <c r="D229" t="s">
        <v>142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150</v>
      </c>
      <c r="B230" t="s">
        <v>149</v>
      </c>
      <c r="C230">
        <v>27</v>
      </c>
      <c r="D230" t="s">
        <v>143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150</v>
      </c>
      <c r="B231" t="s">
        <v>149</v>
      </c>
      <c r="C231">
        <v>28</v>
      </c>
      <c r="D231" t="s">
        <v>144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150</v>
      </c>
      <c r="B232" t="s">
        <v>149</v>
      </c>
      <c r="C232">
        <v>29</v>
      </c>
      <c r="D232" t="s">
        <v>145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150</v>
      </c>
      <c r="B233" t="s">
        <v>149</v>
      </c>
      <c r="C233">
        <v>30</v>
      </c>
      <c r="D233" t="s">
        <v>146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150</v>
      </c>
      <c r="B234" t="s">
        <v>149</v>
      </c>
      <c r="C234">
        <v>31</v>
      </c>
      <c r="D234" t="s">
        <v>147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150</v>
      </c>
      <c r="B235" t="s">
        <v>149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150</v>
      </c>
      <c r="B236" t="s">
        <v>149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150</v>
      </c>
      <c r="B237" t="s">
        <v>149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150</v>
      </c>
      <c r="B238" t="s">
        <v>149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150</v>
      </c>
      <c r="B239" t="s">
        <v>149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150</v>
      </c>
      <c r="B240" t="s">
        <v>149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150</v>
      </c>
      <c r="B241" t="s">
        <v>149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150</v>
      </c>
      <c r="B242" t="s">
        <v>149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150</v>
      </c>
      <c r="B243" t="s">
        <v>149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150</v>
      </c>
      <c r="B244" t="s">
        <v>153</v>
      </c>
      <c r="C244">
        <v>1</v>
      </c>
      <c r="D244" t="s">
        <v>29</v>
      </c>
      <c r="E244" s="14">
        <v>21873027</v>
      </c>
      <c r="F244" s="14">
        <v>47994885.359999999</v>
      </c>
      <c r="G244" s="127">
        <v>-4385379</v>
      </c>
      <c r="H244" s="127">
        <v>-7417386.7500000019</v>
      </c>
      <c r="I244" s="127">
        <v>2594120</v>
      </c>
      <c r="J244" s="127">
        <v>3327467.3</v>
      </c>
      <c r="K244" s="127">
        <v>-205247</v>
      </c>
      <c r="L244" s="127">
        <v>528072.98</v>
      </c>
      <c r="M244" s="127">
        <v>1557936</v>
      </c>
      <c r="N244" s="127">
        <v>4504481.83</v>
      </c>
      <c r="O244" s="127">
        <v>14</v>
      </c>
      <c r="P244" s="127">
        <v>-1088.17</v>
      </c>
      <c r="Q244" s="127">
        <v>-28641</v>
      </c>
      <c r="R244" s="127">
        <v>-76964.259999999995</v>
      </c>
      <c r="S244" s="127">
        <v>15500</v>
      </c>
      <c r="T244" s="127">
        <v>-29895.93</v>
      </c>
      <c r="U244" s="127">
        <v>3309</v>
      </c>
      <c r="V244" s="127">
        <v>13959.57</v>
      </c>
      <c r="W244" s="127">
        <v>-20246</v>
      </c>
      <c r="X244" s="127">
        <v>-6972.58</v>
      </c>
      <c r="Y244" s="127">
        <v>13142</v>
      </c>
      <c r="Z244" s="127">
        <v>7815.92</v>
      </c>
      <c r="AA244" s="127">
        <v>-20000</v>
      </c>
      <c r="AB244" s="127">
        <v>-33850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0</v>
      </c>
      <c r="AJ244" s="127">
        <v>0</v>
      </c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150</v>
      </c>
      <c r="B245" t="s">
        <v>153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150</v>
      </c>
      <c r="B246" t="s">
        <v>153</v>
      </c>
      <c r="C246">
        <v>3</v>
      </c>
      <c r="D246" t="s">
        <v>31</v>
      </c>
      <c r="E246" s="14">
        <v>38035883</v>
      </c>
      <c r="F246" s="14">
        <v>69252451</v>
      </c>
      <c r="G246" s="127">
        <v>0</v>
      </c>
      <c r="H246" s="127">
        <v>0</v>
      </c>
      <c r="I246" s="127">
        <v>0</v>
      </c>
      <c r="J246" s="127">
        <v>0</v>
      </c>
      <c r="K246" s="127">
        <v>-563127</v>
      </c>
      <c r="L246" s="127">
        <v>-987233</v>
      </c>
      <c r="M246" s="127">
        <v>-15405</v>
      </c>
      <c r="N246" s="127">
        <v>8261</v>
      </c>
      <c r="O246" s="127">
        <v>0</v>
      </c>
      <c r="P246" s="127">
        <v>0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2570465</v>
      </c>
      <c r="X246" s="127">
        <v>4646111</v>
      </c>
      <c r="Y246" s="127">
        <v>2630465</v>
      </c>
      <c r="Z246" s="127">
        <v>4752911</v>
      </c>
      <c r="AA246" s="127">
        <v>-4622398</v>
      </c>
      <c r="AB246" s="127">
        <v>-8420050</v>
      </c>
      <c r="AC246" s="127">
        <v>172671</v>
      </c>
      <c r="AD246" s="127">
        <v>303612</v>
      </c>
      <c r="AE246" s="127">
        <v>0</v>
      </c>
      <c r="AF246" s="127">
        <v>0</v>
      </c>
      <c r="AG246" s="127">
        <v>-172671</v>
      </c>
      <c r="AH246" s="127">
        <v>-303612</v>
      </c>
      <c r="AI246" s="127">
        <v>0</v>
      </c>
      <c r="AJ246" s="127">
        <v>0</v>
      </c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150</v>
      </c>
      <c r="B247" t="s">
        <v>153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150</v>
      </c>
      <c r="B248" t="s">
        <v>153</v>
      </c>
      <c r="C248">
        <v>5</v>
      </c>
      <c r="D248" t="s">
        <v>135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150</v>
      </c>
      <c r="B249" t="s">
        <v>153</v>
      </c>
      <c r="C249">
        <v>6</v>
      </c>
      <c r="D249" t="s">
        <v>29</v>
      </c>
      <c r="E249" s="14">
        <v>-26201129</v>
      </c>
      <c r="F249" s="14">
        <v>-45793373.869999997</v>
      </c>
      <c r="G249" s="127">
        <v>19344383</v>
      </c>
      <c r="H249" s="127">
        <v>2172942.87</v>
      </c>
      <c r="I249" s="127">
        <v>-12814376</v>
      </c>
      <c r="J249" s="127">
        <v>8700615.5</v>
      </c>
      <c r="K249" s="127">
        <v>-296</v>
      </c>
      <c r="L249" s="127">
        <v>-345.21</v>
      </c>
      <c r="M249" s="127">
        <v>-1526669</v>
      </c>
      <c r="N249" s="127">
        <v>-2592084.7400000002</v>
      </c>
      <c r="O249" s="127">
        <v>20000</v>
      </c>
      <c r="P249" s="127">
        <v>35301.21</v>
      </c>
      <c r="Q249" s="127">
        <v>-3928</v>
      </c>
      <c r="R249" s="127">
        <v>-6791634.7400000002</v>
      </c>
      <c r="S249" s="127">
        <v>243</v>
      </c>
      <c r="T249" s="127">
        <v>120229.03</v>
      </c>
      <c r="U249" s="127">
        <v>-20381</v>
      </c>
      <c r="V249" s="127">
        <v>-33177.56</v>
      </c>
      <c r="W249" s="127">
        <v>0</v>
      </c>
      <c r="X249" s="127">
        <v>-0.01</v>
      </c>
      <c r="Y249" s="127">
        <v>6270</v>
      </c>
      <c r="Z249" s="127">
        <v>10564.95</v>
      </c>
      <c r="AA249" s="127">
        <v>176883</v>
      </c>
      <c r="AB249" s="127">
        <v>312482.90000000002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>
        <v>0</v>
      </c>
      <c r="AJ249" s="127">
        <v>0</v>
      </c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150</v>
      </c>
      <c r="B250" t="s">
        <v>153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150</v>
      </c>
      <c r="B251" t="s">
        <v>153</v>
      </c>
      <c r="C251">
        <v>8</v>
      </c>
      <c r="D251" t="s">
        <v>31</v>
      </c>
      <c r="E251" s="14">
        <v>-36701552</v>
      </c>
      <c r="F251" s="14">
        <v>-66852491</v>
      </c>
      <c r="G251" s="127">
        <v>0</v>
      </c>
      <c r="H251" s="127">
        <v>0</v>
      </c>
      <c r="I251" s="127">
        <v>0</v>
      </c>
      <c r="J251" s="127">
        <v>0</v>
      </c>
      <c r="K251" s="127">
        <v>-890</v>
      </c>
      <c r="L251" s="127">
        <v>-1416</v>
      </c>
      <c r="M251" s="127">
        <v>15405</v>
      </c>
      <c r="N251" s="127">
        <v>23646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0</v>
      </c>
      <c r="V251" s="127">
        <v>0</v>
      </c>
      <c r="W251" s="127">
        <v>-2570465</v>
      </c>
      <c r="X251" s="127">
        <v>-4646111</v>
      </c>
      <c r="Y251" s="127">
        <v>-2630465</v>
      </c>
      <c r="Z251" s="127">
        <v>-4752911</v>
      </c>
      <c r="AA251" s="127">
        <v>5186415</v>
      </c>
      <c r="AB251" s="127">
        <v>9376792</v>
      </c>
      <c r="AC251" s="127">
        <v>289588</v>
      </c>
      <c r="AD251" s="127">
        <v>507076</v>
      </c>
      <c r="AE251" s="127">
        <v>0</v>
      </c>
      <c r="AF251" s="127">
        <v>0</v>
      </c>
      <c r="AG251" s="127">
        <v>-289588</v>
      </c>
      <c r="AH251" s="127">
        <v>-507076</v>
      </c>
      <c r="AI251" s="127">
        <v>0</v>
      </c>
      <c r="AJ251" s="127">
        <v>0</v>
      </c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150</v>
      </c>
      <c r="B252" t="s">
        <v>153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150</v>
      </c>
      <c r="B253" t="s">
        <v>153</v>
      </c>
      <c r="C253">
        <v>10</v>
      </c>
      <c r="D253" t="s">
        <v>36</v>
      </c>
      <c r="E253" s="14">
        <v>0</v>
      </c>
      <c r="F253" s="14">
        <v>0</v>
      </c>
      <c r="G253" s="127">
        <v>8455</v>
      </c>
      <c r="H253" s="127">
        <v>14500</v>
      </c>
      <c r="I253" s="127">
        <v>-46</v>
      </c>
      <c r="J253" s="127">
        <v>-79</v>
      </c>
      <c r="K253" s="127">
        <v>600</v>
      </c>
      <c r="L253" s="127">
        <v>1033.2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150</v>
      </c>
      <c r="B254" t="s">
        <v>153</v>
      </c>
      <c r="C254">
        <v>11</v>
      </c>
      <c r="D254" t="s">
        <v>39</v>
      </c>
      <c r="E254" s="14">
        <v>1609485</v>
      </c>
      <c r="F254" s="14">
        <v>2864883</v>
      </c>
      <c r="G254" s="127">
        <v>6972030</v>
      </c>
      <c r="H254" s="127">
        <v>12410213.359999999</v>
      </c>
      <c r="I254" s="127">
        <v>-81916</v>
      </c>
      <c r="J254" s="127">
        <v>-145810.65</v>
      </c>
      <c r="K254" s="127">
        <v>0</v>
      </c>
      <c r="L254" s="127">
        <v>0.21</v>
      </c>
      <c r="M254" s="127">
        <v>382767</v>
      </c>
      <c r="N254" s="127">
        <v>681325.26</v>
      </c>
      <c r="O254" s="127">
        <v>-45488</v>
      </c>
      <c r="P254" s="127">
        <v>-80968.639999999999</v>
      </c>
      <c r="Q254" s="127">
        <v>3913</v>
      </c>
      <c r="R254" s="127">
        <v>6966</v>
      </c>
      <c r="S254" s="127">
        <v>-22786</v>
      </c>
      <c r="T254" s="127">
        <v>-40560</v>
      </c>
      <c r="U254" s="127">
        <v>16016</v>
      </c>
      <c r="V254" s="127">
        <v>28508.48</v>
      </c>
      <c r="W254" s="127">
        <v>25218</v>
      </c>
      <c r="X254" s="127">
        <v>44888.04</v>
      </c>
      <c r="Y254" s="127">
        <v>-6270</v>
      </c>
      <c r="Z254" s="127">
        <v>-11160.6</v>
      </c>
      <c r="AA254" s="127">
        <v>-20000</v>
      </c>
      <c r="AB254" s="127">
        <v>-35600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150</v>
      </c>
      <c r="B255" t="s">
        <v>153</v>
      </c>
      <c r="C255">
        <v>12</v>
      </c>
      <c r="D255" t="s">
        <v>40</v>
      </c>
      <c r="E255" s="14">
        <v>-3833468</v>
      </c>
      <c r="F255" s="14">
        <v>-6784903</v>
      </c>
      <c r="G255" s="127">
        <v>-17568089</v>
      </c>
      <c r="H255" s="127">
        <v>-8520348.3000000007</v>
      </c>
      <c r="I255" s="127">
        <v>12726239</v>
      </c>
      <c r="J255" s="127">
        <v>26662.38</v>
      </c>
      <c r="K255" s="127">
        <v>-84156</v>
      </c>
      <c r="L255" s="127">
        <v>-150684.48000000001</v>
      </c>
      <c r="M255" s="127">
        <v>5591083</v>
      </c>
      <c r="N255" s="127">
        <v>9952127.7400000002</v>
      </c>
      <c r="O255" s="127">
        <v>0</v>
      </c>
      <c r="P255" s="127">
        <v>0</v>
      </c>
      <c r="Q255" s="127">
        <v>-144183</v>
      </c>
      <c r="R255" s="127">
        <v>6528258</v>
      </c>
      <c r="S255" s="127">
        <v>154132</v>
      </c>
      <c r="T255" s="127">
        <v>274354</v>
      </c>
      <c r="U255" s="127">
        <v>0</v>
      </c>
      <c r="V255" s="127">
        <v>0</v>
      </c>
      <c r="W255" s="127">
        <v>0</v>
      </c>
      <c r="X255" s="127">
        <v>0</v>
      </c>
      <c r="Y255" s="127">
        <v>4551</v>
      </c>
      <c r="Z255" s="127">
        <v>8100.78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150</v>
      </c>
      <c r="B256" t="s">
        <v>153</v>
      </c>
      <c r="C256">
        <v>13</v>
      </c>
      <c r="D256" t="s">
        <v>43</v>
      </c>
      <c r="E256" s="14">
        <v>0</v>
      </c>
      <c r="F256" s="14">
        <v>0</v>
      </c>
      <c r="G256" s="127">
        <v>-2669</v>
      </c>
      <c r="H256" s="127">
        <v>-4577</v>
      </c>
      <c r="I256" s="127">
        <v>-26529</v>
      </c>
      <c r="J256" s="127">
        <v>-45498</v>
      </c>
      <c r="K256" s="127">
        <v>-145467</v>
      </c>
      <c r="L256" s="127">
        <v>-267465.96999999997</v>
      </c>
      <c r="M256" s="127">
        <v>0</v>
      </c>
      <c r="N256" s="127">
        <v>16767.84</v>
      </c>
      <c r="O256" s="127">
        <v>167570</v>
      </c>
      <c r="P256" s="127">
        <v>285298.93</v>
      </c>
      <c r="Q256" s="127">
        <v>14</v>
      </c>
      <c r="R256" s="127">
        <v>31.5</v>
      </c>
      <c r="S256" s="127">
        <v>-257</v>
      </c>
      <c r="T256" s="127">
        <v>-870.33500000000004</v>
      </c>
      <c r="U256" s="127">
        <v>86</v>
      </c>
      <c r="V256" s="127">
        <v>388.36</v>
      </c>
      <c r="W256" s="127">
        <v>-6924</v>
      </c>
      <c r="X256" s="127">
        <v>-11742.77</v>
      </c>
      <c r="Y256" s="127">
        <v>166559</v>
      </c>
      <c r="Z256" s="127">
        <v>286814.603</v>
      </c>
      <c r="AA256" s="127">
        <v>-156883</v>
      </c>
      <c r="AB256" s="127">
        <v>-270152.52600000001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150</v>
      </c>
      <c r="B257" t="s">
        <v>153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150</v>
      </c>
      <c r="B258" t="s">
        <v>153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150</v>
      </c>
      <c r="B259" t="s">
        <v>153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150</v>
      </c>
      <c r="B260" t="s">
        <v>153</v>
      </c>
      <c r="C260">
        <v>17</v>
      </c>
      <c r="D260" t="s">
        <v>136</v>
      </c>
      <c r="E260" s="14">
        <v>5774754</v>
      </c>
      <c r="F260" s="14">
        <v>10299274</v>
      </c>
      <c r="G260" s="127">
        <v>-5774754</v>
      </c>
      <c r="H260" s="127">
        <v>-10299274</v>
      </c>
      <c r="I260" s="127">
        <v>-18900</v>
      </c>
      <c r="J260" s="127">
        <v>-33642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150</v>
      </c>
      <c r="B261" t="s">
        <v>153</v>
      </c>
      <c r="C261">
        <v>18</v>
      </c>
      <c r="D261" t="s">
        <v>137</v>
      </c>
      <c r="E261" s="14">
        <v>-560000</v>
      </c>
      <c r="F261" s="14">
        <v>-993440</v>
      </c>
      <c r="G261" s="127">
        <v>18900</v>
      </c>
      <c r="H261" s="127">
        <v>33528.6</v>
      </c>
      <c r="I261" s="127">
        <v>0</v>
      </c>
      <c r="J261" s="127">
        <v>0</v>
      </c>
      <c r="K261" s="127">
        <v>-833120</v>
      </c>
      <c r="L261" s="127">
        <v>-0.01</v>
      </c>
      <c r="M261" s="127">
        <v>-5615217</v>
      </c>
      <c r="N261" s="127">
        <v>-12401366.24</v>
      </c>
      <c r="O261" s="127">
        <v>23534</v>
      </c>
      <c r="P261" s="127">
        <v>46149.09</v>
      </c>
      <c r="Q261" s="127">
        <v>600</v>
      </c>
      <c r="R261" s="127">
        <v>644846.47</v>
      </c>
      <c r="S261" s="127">
        <v>6988</v>
      </c>
      <c r="T261" s="127">
        <v>100774.21</v>
      </c>
      <c r="U261" s="127">
        <v>-6450</v>
      </c>
      <c r="V261" s="127">
        <v>-11714.87</v>
      </c>
      <c r="W261" s="127">
        <v>0</v>
      </c>
      <c r="X261" s="127">
        <v>0</v>
      </c>
      <c r="Y261" s="127">
        <v>0</v>
      </c>
      <c r="Z261" s="127">
        <v>0</v>
      </c>
      <c r="AA261" s="127">
        <v>0</v>
      </c>
      <c r="AB261" s="127">
        <v>-950605.3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150</v>
      </c>
      <c r="B262" t="s">
        <v>153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150</v>
      </c>
      <c r="B263" t="s">
        <v>153</v>
      </c>
      <c r="C263">
        <v>20</v>
      </c>
      <c r="D263" t="s">
        <v>138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150</v>
      </c>
      <c r="B264" t="s">
        <v>153</v>
      </c>
      <c r="C264">
        <v>21</v>
      </c>
      <c r="D264" t="s">
        <v>139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150</v>
      </c>
      <c r="B265" t="s">
        <v>153</v>
      </c>
      <c r="C265">
        <v>22</v>
      </c>
      <c r="D265" t="s">
        <v>140</v>
      </c>
      <c r="E265" s="14">
        <v>0</v>
      </c>
      <c r="F265" s="14">
        <v>0</v>
      </c>
      <c r="G265" s="127">
        <v>1272389</v>
      </c>
      <c r="H265" s="127">
        <v>2191053.858</v>
      </c>
      <c r="I265" s="127">
        <v>-2375592</v>
      </c>
      <c r="J265" s="127">
        <v>-4090769.4240000001</v>
      </c>
      <c r="K265" s="127">
        <v>1831703</v>
      </c>
      <c r="L265" s="127">
        <v>4746620.676</v>
      </c>
      <c r="M265" s="127">
        <v>-389900</v>
      </c>
      <c r="N265" s="127">
        <v>-2264232.7999999998</v>
      </c>
      <c r="O265" s="127">
        <v>-165630</v>
      </c>
      <c r="P265" s="127">
        <v>-285214.86</v>
      </c>
      <c r="Q265" s="127">
        <v>172225</v>
      </c>
      <c r="R265" s="127">
        <v>296571.45</v>
      </c>
      <c r="S265" s="127">
        <v>-153820</v>
      </c>
      <c r="T265" s="127">
        <v>-264878.03999999998</v>
      </c>
      <c r="U265" s="127">
        <v>7420</v>
      </c>
      <c r="V265" s="127">
        <v>12777.24</v>
      </c>
      <c r="W265" s="127">
        <v>1952</v>
      </c>
      <c r="X265" s="127">
        <v>3361.3440000000001</v>
      </c>
      <c r="Y265" s="127">
        <v>-184252</v>
      </c>
      <c r="Z265" s="127">
        <v>-317281.94400000002</v>
      </c>
      <c r="AA265" s="127">
        <v>-544017</v>
      </c>
      <c r="AB265" s="127">
        <v>-936797.27399999998</v>
      </c>
      <c r="AC265" s="127">
        <v>-462259</v>
      </c>
      <c r="AD265" s="127">
        <v>-816811.65300000005</v>
      </c>
      <c r="AE265" s="127">
        <v>0</v>
      </c>
      <c r="AF265" s="127">
        <v>0</v>
      </c>
      <c r="AG265" s="127">
        <v>462259</v>
      </c>
      <c r="AH265" s="127">
        <v>816811.65300000005</v>
      </c>
      <c r="AI265" s="127">
        <v>0</v>
      </c>
      <c r="AJ265" s="127">
        <v>0</v>
      </c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150</v>
      </c>
      <c r="B266" t="s">
        <v>153</v>
      </c>
      <c r="C266">
        <v>23</v>
      </c>
      <c r="D266" t="s">
        <v>141</v>
      </c>
      <c r="E266" s="14">
        <v>0</v>
      </c>
      <c r="F266" s="14">
        <v>0</v>
      </c>
      <c r="G266" s="127">
        <v>-8455</v>
      </c>
      <c r="H266" s="127">
        <v>-14500</v>
      </c>
      <c r="I266" s="127">
        <v>46</v>
      </c>
      <c r="J266" s="127">
        <v>79</v>
      </c>
      <c r="K266" s="127">
        <v>-600</v>
      </c>
      <c r="L266" s="127">
        <v>-1033.2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150</v>
      </c>
      <c r="B267" t="s">
        <v>153</v>
      </c>
      <c r="C267">
        <v>24</v>
      </c>
      <c r="D267" t="s">
        <v>59</v>
      </c>
      <c r="E267" s="14">
        <v>-27994765</v>
      </c>
      <c r="F267" s="14">
        <v>-352978.04</v>
      </c>
      <c r="G267" s="127">
        <v>-30381175</v>
      </c>
      <c r="H267" s="127">
        <v>-254596.35</v>
      </c>
      <c r="I267" s="127">
        <v>12168436</v>
      </c>
      <c r="J267" s="127">
        <v>408625.35</v>
      </c>
      <c r="K267" s="127">
        <v>1240000</v>
      </c>
      <c r="L267" s="127">
        <v>5014.2</v>
      </c>
      <c r="M267" s="127">
        <v>-815337</v>
      </c>
      <c r="N267" s="127">
        <v>-344724.43</v>
      </c>
      <c r="O267" s="127">
        <v>-29032</v>
      </c>
      <c r="P267" s="127">
        <v>0</v>
      </c>
      <c r="Q267" s="127">
        <v>29032</v>
      </c>
      <c r="R267" s="127">
        <v>-568246.65</v>
      </c>
      <c r="S267" s="127">
        <v>0</v>
      </c>
      <c r="T267" s="127">
        <v>330</v>
      </c>
      <c r="U267" s="127">
        <v>710453</v>
      </c>
      <c r="V267" s="127">
        <v>-7.77</v>
      </c>
      <c r="W267" s="127">
        <v>-28882</v>
      </c>
      <c r="X267" s="127">
        <v>364.63</v>
      </c>
      <c r="Y267" s="127">
        <v>0</v>
      </c>
      <c r="Z267" s="127">
        <v>0</v>
      </c>
      <c r="AA267" s="127">
        <v>242043</v>
      </c>
      <c r="AB267" s="127">
        <v>1947.58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>
        <v>0</v>
      </c>
      <c r="AJ267" s="127">
        <v>0</v>
      </c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150</v>
      </c>
      <c r="B268" t="s">
        <v>153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150</v>
      </c>
      <c r="B269" t="s">
        <v>153</v>
      </c>
      <c r="C269">
        <v>26</v>
      </c>
      <c r="D269" t="s">
        <v>142</v>
      </c>
      <c r="E269" s="14">
        <v>0</v>
      </c>
      <c r="F269" s="14">
        <v>0</v>
      </c>
      <c r="G269" s="127">
        <v>0</v>
      </c>
      <c r="H269" s="127">
        <v>-970.66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127">
        <v>0</v>
      </c>
      <c r="T269" s="127">
        <v>200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150</v>
      </c>
      <c r="B270" t="s">
        <v>153</v>
      </c>
      <c r="C270">
        <v>27</v>
      </c>
      <c r="D270" t="s">
        <v>143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150</v>
      </c>
      <c r="B271" t="s">
        <v>153</v>
      </c>
      <c r="C271">
        <v>28</v>
      </c>
      <c r="D271" t="s">
        <v>144</v>
      </c>
      <c r="E271" s="14">
        <v>0</v>
      </c>
      <c r="F271" s="14">
        <v>-792477.65</v>
      </c>
      <c r="G271" s="127">
        <v>0</v>
      </c>
      <c r="H271" s="127">
        <v>0</v>
      </c>
      <c r="I271" s="127">
        <v>12919583</v>
      </c>
      <c r="J271" s="127">
        <v>21914.03</v>
      </c>
      <c r="K271" s="127">
        <v>-446963</v>
      </c>
      <c r="L271" s="127">
        <v>-17.940000000000001</v>
      </c>
      <c r="M271" s="127">
        <v>-828041</v>
      </c>
      <c r="N271" s="127">
        <v>-19549.21</v>
      </c>
      <c r="O271" s="127">
        <v>23534</v>
      </c>
      <c r="P271" s="127">
        <v>-243.32</v>
      </c>
      <c r="Q271" s="127">
        <v>-14</v>
      </c>
      <c r="R271" s="127">
        <v>792484.65</v>
      </c>
      <c r="S271" s="127">
        <v>6783</v>
      </c>
      <c r="T271" s="127">
        <v>-3</v>
      </c>
      <c r="U271" s="127">
        <v>0</v>
      </c>
      <c r="V271" s="127">
        <v>-0.03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150</v>
      </c>
      <c r="B272" t="s">
        <v>153</v>
      </c>
      <c r="C272">
        <v>29</v>
      </c>
      <c r="D272" t="s">
        <v>145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150</v>
      </c>
      <c r="B273" t="s">
        <v>153</v>
      </c>
      <c r="C273">
        <v>30</v>
      </c>
      <c r="D273" t="s">
        <v>146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150</v>
      </c>
      <c r="B274" t="s">
        <v>153</v>
      </c>
      <c r="C274">
        <v>31</v>
      </c>
      <c r="D274" t="s">
        <v>147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150</v>
      </c>
      <c r="B275" t="s">
        <v>153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150</v>
      </c>
      <c r="B276" t="s">
        <v>153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150</v>
      </c>
      <c r="B277" t="s">
        <v>153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150</v>
      </c>
      <c r="B278" t="s">
        <v>153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-9087.5499999999993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150</v>
      </c>
      <c r="B279" t="s">
        <v>153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150</v>
      </c>
      <c r="B280" t="s">
        <v>153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150</v>
      </c>
      <c r="B281" t="s">
        <v>153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150</v>
      </c>
      <c r="B282" t="s">
        <v>153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150</v>
      </c>
      <c r="B283" t="s">
        <v>153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150</v>
      </c>
      <c r="B284" t="s">
        <v>154</v>
      </c>
      <c r="C284">
        <v>1</v>
      </c>
      <c r="D284" t="s">
        <v>29</v>
      </c>
      <c r="E284" s="14">
        <v>19565138</v>
      </c>
      <c r="F284" s="14">
        <v>39304476.160000004</v>
      </c>
      <c r="G284" s="127">
        <v>57874</v>
      </c>
      <c r="H284" s="127">
        <v>95682.58</v>
      </c>
      <c r="I284" s="127">
        <v>28965</v>
      </c>
      <c r="J284" s="127">
        <v>127188.4</v>
      </c>
      <c r="K284" s="127">
        <v>1</v>
      </c>
      <c r="L284" s="127">
        <v>69951.710000000006</v>
      </c>
      <c r="M284" s="127">
        <v>1976</v>
      </c>
      <c r="N284" s="127">
        <v>3398.72</v>
      </c>
      <c r="O284" s="127">
        <v>0</v>
      </c>
      <c r="P284" s="127">
        <v>-61241.120000000003</v>
      </c>
      <c r="Q284" s="127">
        <v>0</v>
      </c>
      <c r="R284" s="127">
        <v>0</v>
      </c>
      <c r="S284" s="127">
        <v>0</v>
      </c>
      <c r="T284" s="127">
        <v>0</v>
      </c>
      <c r="U284" s="127">
        <v>-4786</v>
      </c>
      <c r="V284" s="127">
        <v>-8297.49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150</v>
      </c>
      <c r="B285" t="s">
        <v>154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150</v>
      </c>
      <c r="B286" t="s">
        <v>154</v>
      </c>
      <c r="C286">
        <v>3</v>
      </c>
      <c r="D286" t="s">
        <v>31</v>
      </c>
      <c r="E286" s="14">
        <v>14109160</v>
      </c>
      <c r="F286" s="14">
        <v>25626414</v>
      </c>
      <c r="G286" s="127">
        <v>0</v>
      </c>
      <c r="H286" s="127">
        <v>0</v>
      </c>
      <c r="I286" s="127">
        <v>0</v>
      </c>
      <c r="J286" s="127">
        <v>0</v>
      </c>
      <c r="K286" s="127">
        <v>-568</v>
      </c>
      <c r="L286" s="127">
        <v>-1091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0</v>
      </c>
      <c r="X286" s="127">
        <v>0</v>
      </c>
      <c r="Y286" s="127">
        <v>1469</v>
      </c>
      <c r="Z286" s="127">
        <v>2820</v>
      </c>
      <c r="AA286" s="127">
        <v>-901</v>
      </c>
      <c r="AB286" s="127">
        <v>-1729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150</v>
      </c>
      <c r="B287" t="s">
        <v>154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150</v>
      </c>
      <c r="B288" t="s">
        <v>154</v>
      </c>
      <c r="C288">
        <v>5</v>
      </c>
      <c r="D288" t="s">
        <v>135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150</v>
      </c>
      <c r="B289" t="s">
        <v>154</v>
      </c>
      <c r="C289">
        <v>6</v>
      </c>
      <c r="D289" t="s">
        <v>29</v>
      </c>
      <c r="E289" s="14">
        <v>-20126908</v>
      </c>
      <c r="F289" s="14">
        <v>-37340050.469999999</v>
      </c>
      <c r="G289" s="127">
        <v>-70019</v>
      </c>
      <c r="H289" s="127">
        <v>256106.05</v>
      </c>
      <c r="I289" s="127">
        <v>-4924</v>
      </c>
      <c r="J289" s="127">
        <v>-36504.54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0</v>
      </c>
      <c r="Q289" s="127">
        <v>-15000</v>
      </c>
      <c r="R289" s="127">
        <v>-25650</v>
      </c>
      <c r="S289" s="127">
        <v>0</v>
      </c>
      <c r="T289" s="127">
        <v>0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150</v>
      </c>
      <c r="B290" t="s">
        <v>154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150</v>
      </c>
      <c r="B291" t="s">
        <v>154</v>
      </c>
      <c r="C291">
        <v>8</v>
      </c>
      <c r="D291" t="s">
        <v>31</v>
      </c>
      <c r="E291" s="14">
        <v>-13572026</v>
      </c>
      <c r="F291" s="14">
        <v>-24645930</v>
      </c>
      <c r="G291" s="127">
        <v>0</v>
      </c>
      <c r="H291" s="127">
        <v>0</v>
      </c>
      <c r="I291" s="127">
        <v>0</v>
      </c>
      <c r="J291" s="127">
        <v>0</v>
      </c>
      <c r="K291" s="127">
        <v>-510</v>
      </c>
      <c r="L291" s="127">
        <v>-984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-1469</v>
      </c>
      <c r="Z291" s="127">
        <v>-2820</v>
      </c>
      <c r="AA291" s="127">
        <v>1979</v>
      </c>
      <c r="AB291" s="127">
        <v>3804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150</v>
      </c>
      <c r="B292" t="s">
        <v>154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150</v>
      </c>
      <c r="B293" t="s">
        <v>154</v>
      </c>
      <c r="C293">
        <v>10</v>
      </c>
      <c r="D293" t="s">
        <v>36</v>
      </c>
      <c r="E293" s="14">
        <v>279210</v>
      </c>
      <c r="F293" s="14">
        <v>505649.31</v>
      </c>
      <c r="G293" s="127">
        <v>5664</v>
      </c>
      <c r="H293" s="127">
        <v>10257.504000000001</v>
      </c>
      <c r="I293" s="127">
        <v>-63</v>
      </c>
      <c r="J293" s="127">
        <v>-114.093</v>
      </c>
      <c r="K293" s="127">
        <v>0</v>
      </c>
      <c r="L293" s="127">
        <v>0</v>
      </c>
      <c r="M293" s="127">
        <v>0</v>
      </c>
      <c r="N293" s="127">
        <v>0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150</v>
      </c>
      <c r="B294" t="s">
        <v>154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150</v>
      </c>
      <c r="B295" t="s">
        <v>154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150</v>
      </c>
      <c r="B296" t="s">
        <v>154</v>
      </c>
      <c r="C296">
        <v>13</v>
      </c>
      <c r="D296" t="s">
        <v>43</v>
      </c>
      <c r="E296" s="14">
        <v>-40683</v>
      </c>
      <c r="F296" s="14">
        <v>-73676.91</v>
      </c>
      <c r="G296" s="127">
        <v>6059</v>
      </c>
      <c r="H296" s="127">
        <v>15889.454</v>
      </c>
      <c r="I296" s="127">
        <v>-4648</v>
      </c>
      <c r="J296" s="127">
        <v>-1552.5360000000001</v>
      </c>
      <c r="K296" s="127">
        <v>-1976</v>
      </c>
      <c r="L296" s="127">
        <v>-6533.0640000000003</v>
      </c>
      <c r="M296" s="127">
        <v>-3040</v>
      </c>
      <c r="N296" s="127">
        <v>-26245.984</v>
      </c>
      <c r="O296" s="127">
        <v>0</v>
      </c>
      <c r="P296" s="127">
        <v>0</v>
      </c>
      <c r="Q296" s="127">
        <v>0</v>
      </c>
      <c r="R296" s="127">
        <v>-310.01600000000002</v>
      </c>
      <c r="S296" s="127">
        <v>0</v>
      </c>
      <c r="T296" s="127">
        <v>-32241.664000000001</v>
      </c>
      <c r="U296" s="127">
        <v>19786</v>
      </c>
      <c r="V296" s="127">
        <v>60083.872000000003</v>
      </c>
      <c r="W296" s="127">
        <v>0</v>
      </c>
      <c r="X296" s="127">
        <v>390320.49200000003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150</v>
      </c>
      <c r="B297" t="s">
        <v>154</v>
      </c>
      <c r="C297">
        <v>14</v>
      </c>
      <c r="D297" t="s">
        <v>44</v>
      </c>
      <c r="E297" s="14">
        <v>0</v>
      </c>
      <c r="F297" s="14">
        <v>0</v>
      </c>
      <c r="G297" s="127">
        <v>-22</v>
      </c>
      <c r="H297" s="127">
        <v>-40.14</v>
      </c>
      <c r="I297" s="127">
        <v>-5862</v>
      </c>
      <c r="J297" s="127">
        <v>-10229.19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150</v>
      </c>
      <c r="B298" t="s">
        <v>154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14449</v>
      </c>
      <c r="J298" s="127">
        <v>25213.51</v>
      </c>
      <c r="K298" s="127">
        <v>0</v>
      </c>
      <c r="L298" s="127">
        <v>0</v>
      </c>
      <c r="M298" s="127">
        <v>3040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150</v>
      </c>
      <c r="B299" t="s">
        <v>154</v>
      </c>
      <c r="C299">
        <v>16</v>
      </c>
      <c r="D299" t="s">
        <v>46</v>
      </c>
      <c r="E299" s="14">
        <v>-194676</v>
      </c>
      <c r="F299" s="14">
        <v>0.01</v>
      </c>
      <c r="G299" s="127">
        <v>-12788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0</v>
      </c>
      <c r="R299" s="127">
        <v>0</v>
      </c>
      <c r="S299" s="127">
        <v>0</v>
      </c>
      <c r="T299" s="127">
        <v>-375717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150</v>
      </c>
      <c r="B300" t="s">
        <v>154</v>
      </c>
      <c r="C300">
        <v>17</v>
      </c>
      <c r="D300" t="s">
        <v>136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150</v>
      </c>
      <c r="B301" t="s">
        <v>154</v>
      </c>
      <c r="C301">
        <v>18</v>
      </c>
      <c r="D301" t="s">
        <v>137</v>
      </c>
      <c r="E301" s="14">
        <v>-19917</v>
      </c>
      <c r="F301" s="14">
        <v>-33281.31</v>
      </c>
      <c r="G301" s="127">
        <v>-21723</v>
      </c>
      <c r="H301" s="127">
        <v>-36299.129999999997</v>
      </c>
      <c r="I301" s="127">
        <v>-213</v>
      </c>
      <c r="J301" s="127">
        <v>-420.43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150</v>
      </c>
      <c r="B302" t="s">
        <v>154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150</v>
      </c>
      <c r="B303" t="s">
        <v>154</v>
      </c>
      <c r="C303">
        <v>20</v>
      </c>
      <c r="D303" t="s">
        <v>138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150</v>
      </c>
      <c r="B304" t="s">
        <v>154</v>
      </c>
      <c r="C304">
        <v>21</v>
      </c>
      <c r="D304" t="s">
        <v>139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150</v>
      </c>
      <c r="B305" t="s">
        <v>154</v>
      </c>
      <c r="C305">
        <v>22</v>
      </c>
      <c r="D305" t="s">
        <v>140</v>
      </c>
      <c r="E305" s="14">
        <v>702</v>
      </c>
      <c r="F305" s="14">
        <v>1271.3219999999999</v>
      </c>
      <c r="G305" s="127">
        <v>34955</v>
      </c>
      <c r="H305" s="127">
        <v>63303.504999999997</v>
      </c>
      <c r="I305" s="127">
        <v>-27704</v>
      </c>
      <c r="J305" s="127">
        <v>-50171.944000000003</v>
      </c>
      <c r="K305" s="127">
        <v>3053</v>
      </c>
      <c r="L305" s="127">
        <v>978278.56299999997</v>
      </c>
      <c r="M305" s="127">
        <v>-1976</v>
      </c>
      <c r="N305" s="127">
        <v>-976328.53599999996</v>
      </c>
      <c r="O305" s="127">
        <v>0</v>
      </c>
      <c r="P305" s="127">
        <v>0</v>
      </c>
      <c r="Q305" s="127">
        <v>15000</v>
      </c>
      <c r="R305" s="127">
        <v>27165</v>
      </c>
      <c r="S305" s="127">
        <v>0</v>
      </c>
      <c r="T305" s="127">
        <v>0</v>
      </c>
      <c r="U305" s="127">
        <v>-15000</v>
      </c>
      <c r="V305" s="127">
        <v>-27165</v>
      </c>
      <c r="W305" s="127">
        <v>0</v>
      </c>
      <c r="X305" s="127">
        <v>0</v>
      </c>
      <c r="Y305" s="127">
        <v>0</v>
      </c>
      <c r="Z305" s="127">
        <v>0</v>
      </c>
      <c r="AA305" s="127">
        <v>-1078</v>
      </c>
      <c r="AB305" s="127">
        <v>-1952.258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150</v>
      </c>
      <c r="B306" t="s">
        <v>154</v>
      </c>
      <c r="C306">
        <v>23</v>
      </c>
      <c r="D306" t="s">
        <v>141</v>
      </c>
      <c r="E306" s="14">
        <v>-279210</v>
      </c>
      <c r="F306" s="14">
        <v>-505649.31</v>
      </c>
      <c r="G306" s="127">
        <v>-5664</v>
      </c>
      <c r="H306" s="127">
        <v>-10257.504000000001</v>
      </c>
      <c r="I306" s="127">
        <v>63</v>
      </c>
      <c r="J306" s="127">
        <v>114.093</v>
      </c>
      <c r="K306" s="127">
        <v>0</v>
      </c>
      <c r="L306" s="127">
        <v>0</v>
      </c>
      <c r="M306" s="127">
        <v>0</v>
      </c>
      <c r="N306" s="127">
        <v>0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150</v>
      </c>
      <c r="B307" t="s">
        <v>154</v>
      </c>
      <c r="C307">
        <v>24</v>
      </c>
      <c r="D307" t="s">
        <v>59</v>
      </c>
      <c r="E307" s="14">
        <v>-10028135</v>
      </c>
      <c r="F307" s="14">
        <v>-43446.99</v>
      </c>
      <c r="G307" s="127">
        <v>-1557306</v>
      </c>
      <c r="H307" s="127">
        <v>-78686.69</v>
      </c>
      <c r="I307" s="127">
        <v>0</v>
      </c>
      <c r="J307" s="127">
        <v>-348.42</v>
      </c>
      <c r="K307" s="127">
        <v>0</v>
      </c>
      <c r="L307" s="127">
        <v>0</v>
      </c>
      <c r="M307" s="127">
        <v>0</v>
      </c>
      <c r="N307" s="127">
        <v>89.87</v>
      </c>
      <c r="O307" s="127">
        <v>0</v>
      </c>
      <c r="P307" s="127">
        <v>-83.58</v>
      </c>
      <c r="Q307" s="127">
        <v>-356</v>
      </c>
      <c r="R307" s="127">
        <v>1552.68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150</v>
      </c>
      <c r="B308" t="s">
        <v>154</v>
      </c>
      <c r="C308">
        <v>25</v>
      </c>
      <c r="D308" t="s">
        <v>60</v>
      </c>
      <c r="E308" s="14">
        <v>0</v>
      </c>
      <c r="F308" s="14">
        <v>-2780044.42</v>
      </c>
      <c r="G308" s="127">
        <v>0</v>
      </c>
      <c r="H308" s="127">
        <v>44038.42</v>
      </c>
      <c r="I308" s="127">
        <v>0</v>
      </c>
      <c r="J308" s="127">
        <v>-1996.42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150</v>
      </c>
      <c r="B309" t="s">
        <v>154</v>
      </c>
      <c r="C309">
        <v>26</v>
      </c>
      <c r="D309" t="s">
        <v>142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150</v>
      </c>
      <c r="B310" t="s">
        <v>154</v>
      </c>
      <c r="C310">
        <v>27</v>
      </c>
      <c r="D310" t="s">
        <v>143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150</v>
      </c>
      <c r="B311" t="s">
        <v>154</v>
      </c>
      <c r="C311">
        <v>28</v>
      </c>
      <c r="D311" t="s">
        <v>144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150</v>
      </c>
      <c r="B312" t="s">
        <v>154</v>
      </c>
      <c r="C312">
        <v>29</v>
      </c>
      <c r="D312" t="s">
        <v>145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150</v>
      </c>
      <c r="B313" t="s">
        <v>154</v>
      </c>
      <c r="C313">
        <v>30</v>
      </c>
      <c r="D313" t="s">
        <v>146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150</v>
      </c>
      <c r="B314" t="s">
        <v>154</v>
      </c>
      <c r="C314">
        <v>31</v>
      </c>
      <c r="D314" t="s">
        <v>147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150</v>
      </c>
      <c r="B315" t="s">
        <v>154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150</v>
      </c>
      <c r="B316" t="s">
        <v>154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150</v>
      </c>
      <c r="B317" t="s">
        <v>154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150</v>
      </c>
      <c r="B318" t="s">
        <v>154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-13946.28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150</v>
      </c>
      <c r="B319" t="s">
        <v>154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150</v>
      </c>
      <c r="B320" t="s">
        <v>154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150</v>
      </c>
      <c r="B321" t="s">
        <v>154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150</v>
      </c>
      <c r="B322" t="s">
        <v>154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150</v>
      </c>
      <c r="B323" t="s">
        <v>154</v>
      </c>
      <c r="C323">
        <v>40</v>
      </c>
      <c r="D323" t="s">
        <v>82</v>
      </c>
      <c r="E323" s="14">
        <v>0</v>
      </c>
      <c r="F323" s="14">
        <v>61397.86</v>
      </c>
      <c r="G323" s="127">
        <v>0</v>
      </c>
      <c r="H323" s="127">
        <v>-2339.0300000000002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155</v>
      </c>
      <c r="B324" t="s">
        <v>156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155</v>
      </c>
      <c r="B325" t="s">
        <v>156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155</v>
      </c>
      <c r="B326" t="s">
        <v>156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155</v>
      </c>
      <c r="B327" t="s">
        <v>156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155</v>
      </c>
      <c r="B328" t="s">
        <v>156</v>
      </c>
      <c r="C328">
        <v>5</v>
      </c>
      <c r="D328" t="s">
        <v>135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155</v>
      </c>
      <c r="B329" t="s">
        <v>156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155</v>
      </c>
      <c r="B330" t="s">
        <v>156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155</v>
      </c>
      <c r="B331" t="s">
        <v>156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155</v>
      </c>
      <c r="B332" t="s">
        <v>156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155</v>
      </c>
      <c r="B333" t="s">
        <v>156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155</v>
      </c>
      <c r="B334" t="s">
        <v>156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155</v>
      </c>
      <c r="B335" t="s">
        <v>156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155</v>
      </c>
      <c r="B336" t="s">
        <v>156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155</v>
      </c>
      <c r="B337" t="s">
        <v>156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155</v>
      </c>
      <c r="B338" t="s">
        <v>156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155</v>
      </c>
      <c r="B339" t="s">
        <v>156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155</v>
      </c>
      <c r="B340" t="s">
        <v>156</v>
      </c>
      <c r="C340">
        <v>17</v>
      </c>
      <c r="D340" t="s">
        <v>136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155</v>
      </c>
      <c r="B341" s="129" t="s">
        <v>156</v>
      </c>
      <c r="C341" s="129">
        <v>18</v>
      </c>
      <c r="D341" s="129" t="s">
        <v>137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155</v>
      </c>
      <c r="B342" t="s">
        <v>156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155</v>
      </c>
      <c r="B343" t="s">
        <v>156</v>
      </c>
      <c r="C343">
        <v>20</v>
      </c>
      <c r="D343" t="s">
        <v>138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155</v>
      </c>
      <c r="B344" t="s">
        <v>156</v>
      </c>
      <c r="C344">
        <v>21</v>
      </c>
      <c r="D344" t="s">
        <v>139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155</v>
      </c>
      <c r="B345" t="s">
        <v>156</v>
      </c>
      <c r="C345">
        <v>22</v>
      </c>
      <c r="D345" t="s">
        <v>140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155</v>
      </c>
      <c r="B346" t="s">
        <v>156</v>
      </c>
      <c r="C346">
        <v>23</v>
      </c>
      <c r="D346" t="s">
        <v>141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155</v>
      </c>
      <c r="B347" t="s">
        <v>156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155</v>
      </c>
      <c r="B348" t="s">
        <v>156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155</v>
      </c>
      <c r="B349" t="s">
        <v>156</v>
      </c>
      <c r="C349">
        <v>26</v>
      </c>
      <c r="D349" t="s">
        <v>142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155</v>
      </c>
      <c r="B350" t="s">
        <v>156</v>
      </c>
      <c r="C350">
        <v>27</v>
      </c>
      <c r="D350" t="s">
        <v>143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155</v>
      </c>
      <c r="B351" t="s">
        <v>156</v>
      </c>
      <c r="C351">
        <v>28</v>
      </c>
      <c r="D351" t="s">
        <v>144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155</v>
      </c>
      <c r="B352" t="s">
        <v>156</v>
      </c>
      <c r="C352">
        <v>29</v>
      </c>
      <c r="D352" t="s">
        <v>145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155</v>
      </c>
      <c r="B353" t="s">
        <v>156</v>
      </c>
      <c r="C353">
        <v>30</v>
      </c>
      <c r="D353" t="s">
        <v>146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155</v>
      </c>
      <c r="B354" t="s">
        <v>156</v>
      </c>
      <c r="C354">
        <v>31</v>
      </c>
      <c r="D354" t="s">
        <v>147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155</v>
      </c>
      <c r="B355" t="s">
        <v>156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155</v>
      </c>
      <c r="B356" t="s">
        <v>156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155</v>
      </c>
      <c r="B357" t="s">
        <v>156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155</v>
      </c>
      <c r="B358" t="s">
        <v>156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155</v>
      </c>
      <c r="B359" t="s">
        <v>156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155</v>
      </c>
      <c r="B360" t="s">
        <v>156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155</v>
      </c>
      <c r="B361" t="s">
        <v>156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155</v>
      </c>
      <c r="B362" t="s">
        <v>156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155</v>
      </c>
      <c r="B363" t="s">
        <v>156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157</v>
      </c>
      <c r="B364" t="s">
        <v>158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157</v>
      </c>
      <c r="B365" t="s">
        <v>158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157</v>
      </c>
      <c r="B366" t="s">
        <v>158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157</v>
      </c>
      <c r="B367" t="s">
        <v>158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157</v>
      </c>
      <c r="B368" t="s">
        <v>158</v>
      </c>
      <c r="C368">
        <v>5</v>
      </c>
      <c r="D368" t="s">
        <v>135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157</v>
      </c>
      <c r="B369" t="s">
        <v>158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157</v>
      </c>
      <c r="B370" t="s">
        <v>158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157</v>
      </c>
      <c r="B371" t="s">
        <v>158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157</v>
      </c>
      <c r="B372" t="s">
        <v>158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157</v>
      </c>
      <c r="B373" t="s">
        <v>158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157</v>
      </c>
      <c r="B374" t="s">
        <v>158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157</v>
      </c>
      <c r="B375" t="s">
        <v>158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157</v>
      </c>
      <c r="B376" t="s">
        <v>158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157</v>
      </c>
      <c r="B377" t="s">
        <v>158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157</v>
      </c>
      <c r="B378" t="s">
        <v>158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157</v>
      </c>
      <c r="B379" t="s">
        <v>158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157</v>
      </c>
      <c r="B380" t="s">
        <v>158</v>
      </c>
      <c r="C380">
        <v>17</v>
      </c>
      <c r="D380" t="s">
        <v>136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157</v>
      </c>
      <c r="B381" t="s">
        <v>158</v>
      </c>
      <c r="C381">
        <v>18</v>
      </c>
      <c r="D381" t="s">
        <v>137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157</v>
      </c>
      <c r="B382" t="s">
        <v>158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157</v>
      </c>
      <c r="B383" t="s">
        <v>158</v>
      </c>
      <c r="C383">
        <v>20</v>
      </c>
      <c r="D383" t="s">
        <v>138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157</v>
      </c>
      <c r="B384" t="s">
        <v>158</v>
      </c>
      <c r="C384">
        <v>21</v>
      </c>
      <c r="D384" t="s">
        <v>139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157</v>
      </c>
      <c r="B385" t="s">
        <v>158</v>
      </c>
      <c r="C385">
        <v>22</v>
      </c>
      <c r="D385" t="s">
        <v>140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157</v>
      </c>
      <c r="B386" t="s">
        <v>158</v>
      </c>
      <c r="C386">
        <v>23</v>
      </c>
      <c r="D386" t="s">
        <v>141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157</v>
      </c>
      <c r="B387" t="s">
        <v>158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157</v>
      </c>
      <c r="B388" t="s">
        <v>158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157</v>
      </c>
      <c r="B389" t="s">
        <v>158</v>
      </c>
      <c r="C389">
        <v>26</v>
      </c>
      <c r="D389" t="s">
        <v>142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157</v>
      </c>
      <c r="B390" t="s">
        <v>158</v>
      </c>
      <c r="C390">
        <v>27</v>
      </c>
      <c r="D390" t="s">
        <v>143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157</v>
      </c>
      <c r="B391" t="s">
        <v>158</v>
      </c>
      <c r="C391">
        <v>28</v>
      </c>
      <c r="D391" t="s">
        <v>144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157</v>
      </c>
      <c r="B392" t="s">
        <v>158</v>
      </c>
      <c r="C392">
        <v>29</v>
      </c>
      <c r="D392" t="s">
        <v>145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157</v>
      </c>
      <c r="B393" t="s">
        <v>158</v>
      </c>
      <c r="C393">
        <v>30</v>
      </c>
      <c r="D393" t="s">
        <v>146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157</v>
      </c>
      <c r="B394" t="s">
        <v>158</v>
      </c>
      <c r="C394">
        <v>31</v>
      </c>
      <c r="D394" t="s">
        <v>147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157</v>
      </c>
      <c r="B395" t="s">
        <v>158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157</v>
      </c>
      <c r="B396" t="s">
        <v>158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157</v>
      </c>
      <c r="B397" t="s">
        <v>158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157</v>
      </c>
      <c r="B398" t="s">
        <v>158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157</v>
      </c>
      <c r="B399" t="s">
        <v>158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157</v>
      </c>
      <c r="B400" t="s">
        <v>158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157</v>
      </c>
      <c r="B401" t="s">
        <v>158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157</v>
      </c>
      <c r="B402" t="s">
        <v>158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157</v>
      </c>
      <c r="B403" t="s">
        <v>158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118" x14ac:dyDescent="0.2"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118" x14ac:dyDescent="0.2"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118" x14ac:dyDescent="0.2"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118" x14ac:dyDescent="0.2"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118" x14ac:dyDescent="0.2"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118" x14ac:dyDescent="0.2"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118" x14ac:dyDescent="0.2"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118" x14ac:dyDescent="0.2"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118" x14ac:dyDescent="0.2"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118" x14ac:dyDescent="0.2"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118" x14ac:dyDescent="0.2">
      <c r="I415" s="45"/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118" x14ac:dyDescent="0.2"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29:36" x14ac:dyDescent="0.2"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29:36" x14ac:dyDescent="0.2"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29:36" x14ac:dyDescent="0.2"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29:36" x14ac:dyDescent="0.2"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29:36" x14ac:dyDescent="0.2"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29:36" x14ac:dyDescent="0.2"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29:36" x14ac:dyDescent="0.2"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29:36" x14ac:dyDescent="0.2"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29:36" x14ac:dyDescent="0.2"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29:36" x14ac:dyDescent="0.2"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29:36" x14ac:dyDescent="0.2"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29:36" x14ac:dyDescent="0.2"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29:36" x14ac:dyDescent="0.2"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29:36" x14ac:dyDescent="0.2"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29:36" x14ac:dyDescent="0.2"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29:36" x14ac:dyDescent="0.2"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29:36" x14ac:dyDescent="0.2"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29:36" x14ac:dyDescent="0.2"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29:36" x14ac:dyDescent="0.2"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29:36" x14ac:dyDescent="0.2"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29:36" x14ac:dyDescent="0.2"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29:36" x14ac:dyDescent="0.2"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29:36" x14ac:dyDescent="0.2"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29:36" x14ac:dyDescent="0.2"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29:36" x14ac:dyDescent="0.2"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29:36" x14ac:dyDescent="0.2"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29:36" x14ac:dyDescent="0.2"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29:36" x14ac:dyDescent="0.2">
      <c r="AC444">
        <v>20000</v>
      </c>
      <c r="AD444">
        <v>33850</v>
      </c>
      <c r="AE444">
        <v>0</v>
      </c>
      <c r="AF444">
        <v>0</v>
      </c>
      <c r="AG444">
        <v>-3904</v>
      </c>
      <c r="AH444">
        <v>-8404.51</v>
      </c>
      <c r="AI444">
        <v>5000</v>
      </c>
      <c r="AJ444">
        <v>10500</v>
      </c>
    </row>
    <row r="445" spans="29:36" x14ac:dyDescent="0.2"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29:36" x14ac:dyDescent="0.2">
      <c r="AC446">
        <v>4622398</v>
      </c>
      <c r="AD446">
        <v>8420050</v>
      </c>
      <c r="AE446">
        <v>0</v>
      </c>
      <c r="AF446">
        <v>0</v>
      </c>
      <c r="AG446">
        <v>-4622398</v>
      </c>
      <c r="AH446">
        <v>-8420050</v>
      </c>
      <c r="AI446">
        <v>0</v>
      </c>
      <c r="AJ446">
        <v>0</v>
      </c>
    </row>
    <row r="447" spans="29:36" x14ac:dyDescent="0.2"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29:36" x14ac:dyDescent="0.2"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29:36" x14ac:dyDescent="0.2">
      <c r="AC449">
        <v>0</v>
      </c>
      <c r="AD449">
        <v>0</v>
      </c>
      <c r="AE449">
        <v>-669</v>
      </c>
      <c r="AF449">
        <v>-1157.3800000000001</v>
      </c>
      <c r="AG449">
        <v>9164</v>
      </c>
      <c r="AH449">
        <v>15937.68</v>
      </c>
      <c r="AI449">
        <v>0</v>
      </c>
      <c r="AJ449">
        <v>0</v>
      </c>
    </row>
    <row r="450" spans="29:36" x14ac:dyDescent="0.2"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29:36" x14ac:dyDescent="0.2">
      <c r="AC451">
        <v>-5186415</v>
      </c>
      <c r="AD451">
        <v>-9376792</v>
      </c>
      <c r="AE451">
        <v>0</v>
      </c>
      <c r="AF451">
        <v>0</v>
      </c>
      <c r="AG451">
        <v>5186415</v>
      </c>
      <c r="AH451">
        <v>9376792</v>
      </c>
      <c r="AI451">
        <v>0</v>
      </c>
      <c r="AJ451">
        <v>0</v>
      </c>
    </row>
    <row r="452" spans="29:36" x14ac:dyDescent="0.2"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29:36" x14ac:dyDescent="0.2"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22</v>
      </c>
      <c r="AJ453">
        <v>37.884</v>
      </c>
    </row>
    <row r="454" spans="29:36" x14ac:dyDescent="0.2">
      <c r="AC454">
        <v>0</v>
      </c>
      <c r="AD454">
        <v>0</v>
      </c>
      <c r="AE454">
        <v>669</v>
      </c>
      <c r="AF454">
        <v>1190.82</v>
      </c>
      <c r="AG454">
        <v>-176637</v>
      </c>
      <c r="AH454">
        <v>-314413.86</v>
      </c>
      <c r="AI454">
        <v>0</v>
      </c>
      <c r="AJ454">
        <v>0</v>
      </c>
    </row>
    <row r="455" spans="29:36" x14ac:dyDescent="0.2">
      <c r="AC455">
        <v>0</v>
      </c>
      <c r="AD455">
        <v>0</v>
      </c>
      <c r="AE455">
        <v>0</v>
      </c>
      <c r="AF455">
        <v>0</v>
      </c>
      <c r="AG455">
        <v>381</v>
      </c>
      <c r="AH455">
        <v>678.18</v>
      </c>
      <c r="AI455">
        <v>0</v>
      </c>
      <c r="AJ455">
        <v>0</v>
      </c>
    </row>
    <row r="456" spans="29:36" x14ac:dyDescent="0.2">
      <c r="AC456">
        <v>0</v>
      </c>
      <c r="AD456">
        <v>0</v>
      </c>
      <c r="AE456">
        <v>7095</v>
      </c>
      <c r="AF456">
        <v>15474.2</v>
      </c>
      <c r="AG456">
        <v>-103</v>
      </c>
      <c r="AH456">
        <v>-177.36600000000001</v>
      </c>
      <c r="AI456">
        <v>176615</v>
      </c>
      <c r="AJ456">
        <v>304131.03000000003</v>
      </c>
    </row>
    <row r="457" spans="29:36" x14ac:dyDescent="0.2"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29:36" x14ac:dyDescent="0.2"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29:36" x14ac:dyDescent="0.2"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29:36" x14ac:dyDescent="0.2">
      <c r="AC460">
        <v>0</v>
      </c>
      <c r="AD460">
        <v>0</v>
      </c>
      <c r="AE460">
        <v>0</v>
      </c>
      <c r="AF460">
        <v>0</v>
      </c>
      <c r="AG460">
        <v>-600</v>
      </c>
      <c r="AH460">
        <v>-1064.4000000000001</v>
      </c>
      <c r="AI460">
        <v>0</v>
      </c>
      <c r="AJ460">
        <v>0</v>
      </c>
    </row>
    <row r="461" spans="29:36" x14ac:dyDescent="0.2">
      <c r="AC461">
        <v>-60000</v>
      </c>
      <c r="AD461">
        <v>-106440</v>
      </c>
      <c r="AE461">
        <v>0</v>
      </c>
      <c r="AF461">
        <v>0</v>
      </c>
      <c r="AG461">
        <v>-540</v>
      </c>
      <c r="AH461">
        <v>-961.2</v>
      </c>
      <c r="AI461">
        <v>0</v>
      </c>
      <c r="AJ461">
        <v>0</v>
      </c>
    </row>
    <row r="462" spans="29:36" x14ac:dyDescent="0.2"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29:36" x14ac:dyDescent="0.2"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29:36" x14ac:dyDescent="0.2"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29:36" x14ac:dyDescent="0.2">
      <c r="AC465">
        <v>604017</v>
      </c>
      <c r="AD465">
        <v>1040117.274</v>
      </c>
      <c r="AE465">
        <v>-7095</v>
      </c>
      <c r="AF465">
        <v>-12217.59</v>
      </c>
      <c r="AG465">
        <v>-391778</v>
      </c>
      <c r="AH465">
        <v>-674641.71600000001</v>
      </c>
      <c r="AI465">
        <v>-181637</v>
      </c>
      <c r="AJ465">
        <v>-312778.91399999999</v>
      </c>
    </row>
    <row r="466" spans="29:36" x14ac:dyDescent="0.2"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-22</v>
      </c>
      <c r="AJ466">
        <v>-37.884</v>
      </c>
    </row>
    <row r="467" spans="29:36" x14ac:dyDescent="0.2">
      <c r="AC467">
        <v>-12687</v>
      </c>
      <c r="AD467">
        <v>-2364.59</v>
      </c>
      <c r="AE467">
        <v>-59960</v>
      </c>
      <c r="AF467">
        <v>-1996.4</v>
      </c>
      <c r="AG467">
        <v>1138</v>
      </c>
      <c r="AH467">
        <v>1096.23</v>
      </c>
      <c r="AI467">
        <v>0</v>
      </c>
      <c r="AJ467">
        <v>0</v>
      </c>
    </row>
    <row r="468" spans="29:36" x14ac:dyDescent="0.2"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29:36" x14ac:dyDescent="0.2">
      <c r="AC469">
        <v>0</v>
      </c>
      <c r="AD469">
        <v>-200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29:36" x14ac:dyDescent="0.2"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29:36" x14ac:dyDescent="0.2"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29:36" x14ac:dyDescent="0.2"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29:36" x14ac:dyDescent="0.2"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29:36" x14ac:dyDescent="0.2"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29:36" x14ac:dyDescent="0.2"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29:36" x14ac:dyDescent="0.2"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29:36" x14ac:dyDescent="0.2"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29:36" x14ac:dyDescent="0.2"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29:36" x14ac:dyDescent="0.2"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29:36" x14ac:dyDescent="0.2"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29:36" x14ac:dyDescent="0.2"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29:36" x14ac:dyDescent="0.2"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29:36" x14ac:dyDescent="0.2"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29:36" x14ac:dyDescent="0.2"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29:36" x14ac:dyDescent="0.2"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29:36" x14ac:dyDescent="0.2">
      <c r="AC486">
        <v>901</v>
      </c>
      <c r="AD486">
        <v>1729</v>
      </c>
      <c r="AE486">
        <v>0</v>
      </c>
      <c r="AF486">
        <v>0</v>
      </c>
      <c r="AG486">
        <v>-901</v>
      </c>
      <c r="AH486">
        <v>-1729</v>
      </c>
      <c r="AI486">
        <v>0</v>
      </c>
      <c r="AJ486">
        <v>0</v>
      </c>
    </row>
    <row r="487" spans="29:36" x14ac:dyDescent="0.2"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29:36" x14ac:dyDescent="0.2"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29:36" x14ac:dyDescent="0.2"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29:36" x14ac:dyDescent="0.2"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29:36" x14ac:dyDescent="0.2">
      <c r="AC491">
        <v>-1979</v>
      </c>
      <c r="AD491">
        <v>-3804</v>
      </c>
      <c r="AE491">
        <v>0</v>
      </c>
      <c r="AF491">
        <v>0</v>
      </c>
      <c r="AG491">
        <v>1979</v>
      </c>
      <c r="AH491">
        <v>3804</v>
      </c>
      <c r="AI491">
        <v>0</v>
      </c>
      <c r="AJ491">
        <v>0</v>
      </c>
    </row>
    <row r="492" spans="29:36" x14ac:dyDescent="0.2"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29:36" x14ac:dyDescent="0.2"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29:36" x14ac:dyDescent="0.2"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29:36" x14ac:dyDescent="0.2"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29:36" x14ac:dyDescent="0.2"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29:36" x14ac:dyDescent="0.2"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29:36" x14ac:dyDescent="0.2"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29:36" x14ac:dyDescent="0.2"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29:36" x14ac:dyDescent="0.2"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29:36" x14ac:dyDescent="0.2"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29:36" x14ac:dyDescent="0.2"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29:36" x14ac:dyDescent="0.2"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29:36" x14ac:dyDescent="0.2"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29:36" x14ac:dyDescent="0.2">
      <c r="AC505">
        <v>1078</v>
      </c>
      <c r="AD505">
        <v>1952.258</v>
      </c>
      <c r="AE505">
        <v>0</v>
      </c>
      <c r="AF505">
        <v>0</v>
      </c>
      <c r="AG505">
        <v>-1078</v>
      </c>
      <c r="AH505">
        <v>-1952.258</v>
      </c>
      <c r="AI505">
        <v>0</v>
      </c>
      <c r="AJ505">
        <v>0</v>
      </c>
    </row>
    <row r="506" spans="29:36" x14ac:dyDescent="0.2"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29:36" x14ac:dyDescent="0.2">
      <c r="AC507">
        <v>0</v>
      </c>
      <c r="AD507">
        <v>0</v>
      </c>
      <c r="AE507">
        <v>-2714</v>
      </c>
      <c r="AF507">
        <v>-303.82</v>
      </c>
      <c r="AG507">
        <v>0</v>
      </c>
      <c r="AH507">
        <v>0</v>
      </c>
      <c r="AI507">
        <v>0</v>
      </c>
      <c r="AJ507">
        <v>0</v>
      </c>
    </row>
    <row r="508" spans="29:36" x14ac:dyDescent="0.2">
      <c r="AC508">
        <v>0</v>
      </c>
      <c r="AD508">
        <v>0</v>
      </c>
      <c r="AE508">
        <v>0</v>
      </c>
      <c r="AF508">
        <v>-2878.99</v>
      </c>
      <c r="AG508">
        <v>0</v>
      </c>
      <c r="AH508">
        <v>0</v>
      </c>
      <c r="AI508">
        <v>0</v>
      </c>
      <c r="AJ508">
        <v>0</v>
      </c>
    </row>
    <row r="509" spans="29:36" x14ac:dyDescent="0.2"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29:36" x14ac:dyDescent="0.2"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29:36" x14ac:dyDescent="0.2"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29:36" x14ac:dyDescent="0.2"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29:36" x14ac:dyDescent="0.2"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29:36" x14ac:dyDescent="0.2"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29:36" x14ac:dyDescent="0.2"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29:36" x14ac:dyDescent="0.2"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29:36" x14ac:dyDescent="0.2"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29:36" x14ac:dyDescent="0.2"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29:36" x14ac:dyDescent="0.2"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29:36" x14ac:dyDescent="0.2"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29:36" x14ac:dyDescent="0.2"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29:36" x14ac:dyDescent="0.2"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29:36" x14ac:dyDescent="0.2"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29:36" x14ac:dyDescent="0.2"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29:36" x14ac:dyDescent="0.2"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29:36" x14ac:dyDescent="0.2"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29:36" x14ac:dyDescent="0.2"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29:36" x14ac:dyDescent="0.2"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29:36" x14ac:dyDescent="0.2"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29:36" x14ac:dyDescent="0.2"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29:36" x14ac:dyDescent="0.2"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29:36" x14ac:dyDescent="0.2"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29:36" x14ac:dyDescent="0.2"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29:36" x14ac:dyDescent="0.2"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29:36" x14ac:dyDescent="0.2"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29:36" x14ac:dyDescent="0.2"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29:36" x14ac:dyDescent="0.2"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29:36" x14ac:dyDescent="0.2"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29:36" x14ac:dyDescent="0.2"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29:36" x14ac:dyDescent="0.2"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29:36" x14ac:dyDescent="0.2"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29:36" x14ac:dyDescent="0.2"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29:36" x14ac:dyDescent="0.2"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29:36" x14ac:dyDescent="0.2"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29:36" x14ac:dyDescent="0.2"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29:36" x14ac:dyDescent="0.2"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29:36" x14ac:dyDescent="0.2"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29:36" x14ac:dyDescent="0.2"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29:36" x14ac:dyDescent="0.2"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29:36" x14ac:dyDescent="0.2"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29:36" x14ac:dyDescent="0.2"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29:36" x14ac:dyDescent="0.2"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29:36" x14ac:dyDescent="0.2"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29:36" x14ac:dyDescent="0.2"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29:36" x14ac:dyDescent="0.2"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29:36" x14ac:dyDescent="0.2"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29:36" x14ac:dyDescent="0.2"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29:36" x14ac:dyDescent="0.2"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29:36" x14ac:dyDescent="0.2"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29:36" x14ac:dyDescent="0.2"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29:36" x14ac:dyDescent="0.2"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29:36" x14ac:dyDescent="0.2"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29:36" x14ac:dyDescent="0.2"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29:36" x14ac:dyDescent="0.2"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29:36" x14ac:dyDescent="0.2"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29:36" x14ac:dyDescent="0.2"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29:36" x14ac:dyDescent="0.2"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29:36" x14ac:dyDescent="0.2"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29:36" x14ac:dyDescent="0.2"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29:36" x14ac:dyDescent="0.2"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29:36" x14ac:dyDescent="0.2"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29:36" x14ac:dyDescent="0.2"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29:36" x14ac:dyDescent="0.2"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29:36" x14ac:dyDescent="0.2"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29:36" x14ac:dyDescent="0.2"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29:36" x14ac:dyDescent="0.2"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29:36" x14ac:dyDescent="0.2"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29:36" x14ac:dyDescent="0.2"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29:36" x14ac:dyDescent="0.2"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29:36" x14ac:dyDescent="0.2"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29:36" x14ac:dyDescent="0.2"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29:36" x14ac:dyDescent="0.2"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29:36" x14ac:dyDescent="0.2"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29:36" x14ac:dyDescent="0.2"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29:36" x14ac:dyDescent="0.2"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29:36" x14ac:dyDescent="0.2"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29:36" x14ac:dyDescent="0.2"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29:36" x14ac:dyDescent="0.2"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29:36" x14ac:dyDescent="0.2"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29:36" x14ac:dyDescent="0.2"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29:36" x14ac:dyDescent="0.2"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29:36" x14ac:dyDescent="0.2"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29:36" x14ac:dyDescent="0.2"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29:36" x14ac:dyDescent="0.2"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29:36" x14ac:dyDescent="0.2"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29:36" x14ac:dyDescent="0.2"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29:36" x14ac:dyDescent="0.2"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29:36" x14ac:dyDescent="0.2"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29:36" x14ac:dyDescent="0.2"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29:36" x14ac:dyDescent="0.2"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29:36" x14ac:dyDescent="0.2"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29:36" x14ac:dyDescent="0.2"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29:36" x14ac:dyDescent="0.2"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38" spans="4:37" x14ac:dyDescent="0.2">
      <c r="F638" s="205">
        <v>36161</v>
      </c>
      <c r="G638" s="206"/>
      <c r="H638" s="202">
        <f>+F638+31</f>
        <v>36192</v>
      </c>
      <c r="I638" s="203"/>
      <c r="J638" s="202">
        <f>+H638+31</f>
        <v>36223</v>
      </c>
      <c r="K638" s="203"/>
      <c r="L638" s="202">
        <f>+J638+31</f>
        <v>36254</v>
      </c>
      <c r="M638" s="203"/>
      <c r="N638" s="202">
        <f>+L638+31</f>
        <v>36285</v>
      </c>
      <c r="O638" s="203"/>
      <c r="P638" s="202">
        <f>+N638+31</f>
        <v>36316</v>
      </c>
      <c r="Q638" s="203"/>
      <c r="R638" s="202">
        <f>+P638+31</f>
        <v>36347</v>
      </c>
      <c r="S638" s="203"/>
      <c r="T638" s="202">
        <f>+R638+31</f>
        <v>36378</v>
      </c>
      <c r="U638" s="203"/>
      <c r="V638" s="202">
        <f>+T638+31</f>
        <v>36409</v>
      </c>
      <c r="W638" s="203"/>
      <c r="X638" s="202">
        <f>+V638+31</f>
        <v>36440</v>
      </c>
      <c r="Y638" s="203"/>
      <c r="Z638" s="202">
        <f>+X638+31</f>
        <v>36471</v>
      </c>
      <c r="AA638" s="203"/>
      <c r="AB638" s="202">
        <f>+Z638+31</f>
        <v>36502</v>
      </c>
      <c r="AC638" s="203"/>
      <c r="AD638" s="202">
        <f>+AB638+31</f>
        <v>36533</v>
      </c>
      <c r="AE638" s="203"/>
      <c r="AF638" s="202">
        <f>+AD638+31</f>
        <v>36564</v>
      </c>
      <c r="AG638" s="203"/>
      <c r="AH638" s="202">
        <f>+AF638+31</f>
        <v>36595</v>
      </c>
      <c r="AI638" s="203"/>
      <c r="AJ638" s="202">
        <f>+AH638+31</f>
        <v>36626</v>
      </c>
      <c r="AK638" s="203"/>
    </row>
    <row r="639" spans="4:37" x14ac:dyDescent="0.2">
      <c r="F639" s="138" t="s">
        <v>26</v>
      </c>
      <c r="G639" s="138" t="s">
        <v>159</v>
      </c>
      <c r="H639" s="138" t="s">
        <v>26</v>
      </c>
      <c r="I639" s="138" t="s">
        <v>159</v>
      </c>
      <c r="J639" s="138" t="s">
        <v>26</v>
      </c>
      <c r="K639" s="138" t="s">
        <v>159</v>
      </c>
      <c r="L639" s="138" t="s">
        <v>26</v>
      </c>
      <c r="M639" s="138" t="s">
        <v>159</v>
      </c>
      <c r="N639" s="138" t="s">
        <v>26</v>
      </c>
      <c r="O639" s="138" t="s">
        <v>159</v>
      </c>
      <c r="P639" s="138" t="s">
        <v>26</v>
      </c>
      <c r="Q639" s="138" t="s">
        <v>159</v>
      </c>
      <c r="R639" s="138" t="s">
        <v>26</v>
      </c>
      <c r="S639" s="138" t="s">
        <v>159</v>
      </c>
      <c r="T639" s="138" t="s">
        <v>26</v>
      </c>
      <c r="U639" s="138" t="s">
        <v>159</v>
      </c>
      <c r="V639" s="138" t="s">
        <v>26</v>
      </c>
      <c r="W639" s="138" t="s">
        <v>159</v>
      </c>
      <c r="X639" s="138" t="s">
        <v>26</v>
      </c>
      <c r="Y639" s="138" t="s">
        <v>159</v>
      </c>
      <c r="Z639" s="138" t="s">
        <v>26</v>
      </c>
      <c r="AA639" s="138" t="s">
        <v>159</v>
      </c>
      <c r="AB639" s="138" t="s">
        <v>26</v>
      </c>
      <c r="AC639" s="138" t="s">
        <v>159</v>
      </c>
      <c r="AD639" s="138" t="s">
        <v>26</v>
      </c>
      <c r="AE639" s="138" t="s">
        <v>159</v>
      </c>
      <c r="AF639" s="138" t="s">
        <v>26</v>
      </c>
      <c r="AG639" s="138" t="s">
        <v>159</v>
      </c>
      <c r="AH639" s="138" t="s">
        <v>26</v>
      </c>
      <c r="AI639" s="138" t="s">
        <v>159</v>
      </c>
      <c r="AJ639" s="138" t="s">
        <v>26</v>
      </c>
      <c r="AK639" s="138" t="s">
        <v>159</v>
      </c>
    </row>
    <row r="640" spans="4:37" x14ac:dyDescent="0.2">
      <c r="D640" s="139" t="s">
        <v>176</v>
      </c>
      <c r="E640" s="140"/>
      <c r="F640" s="141">
        <f>BGC_GL!H82</f>
        <v>0</v>
      </c>
      <c r="G640" s="142">
        <f>BGC_GL!I82</f>
        <v>-1275297.5320000029</v>
      </c>
      <c r="H640" s="141">
        <f>BGC_GL!J82</f>
        <v>0</v>
      </c>
      <c r="I640" s="179">
        <f>BGC_GL!K82</f>
        <v>3848550.3</v>
      </c>
      <c r="J640" s="141">
        <f>BGC_GL!L82</f>
        <v>0</v>
      </c>
      <c r="K640" s="141">
        <f>BGC_GL!M82</f>
        <v>-47.676000000000002</v>
      </c>
      <c r="L640" s="141">
        <f>BGC_GL!N82</f>
        <v>0</v>
      </c>
      <c r="M640" s="141">
        <f>BGC_GL!O82</f>
        <v>-4191111.38</v>
      </c>
      <c r="N640" s="141">
        <f>BGC_GL!P82</f>
        <v>0</v>
      </c>
      <c r="O640" s="142">
        <f>BGC_GL!Q82</f>
        <v>4247139</v>
      </c>
      <c r="P640" s="141">
        <f>BGC_GL!R82</f>
        <v>0</v>
      </c>
      <c r="Q640" s="141">
        <f>BGC_GL!S82</f>
        <v>0</v>
      </c>
      <c r="R640" s="141">
        <f>BGC_GL!T82</f>
        <v>0</v>
      </c>
      <c r="S640" s="141">
        <f>BGC_GL!U82</f>
        <v>0</v>
      </c>
      <c r="T640" s="141">
        <f>BGC_GL!V82</f>
        <v>0</v>
      </c>
      <c r="U640" s="141">
        <f>BGC_GL!W82</f>
        <v>0</v>
      </c>
      <c r="V640" s="141">
        <f>BGC_GL!X82</f>
        <v>0</v>
      </c>
      <c r="W640" s="141">
        <f>BGC_GL!Y82</f>
        <v>0</v>
      </c>
      <c r="X640" s="141">
        <f>BGC_GL!Z82</f>
        <v>0</v>
      </c>
      <c r="Y640" s="142">
        <f>BGC_GL!AA82</f>
        <v>-1686780.5</v>
      </c>
      <c r="Z640" s="141">
        <f>BGC_GL!AB82</f>
        <v>0</v>
      </c>
      <c r="AA640" s="141">
        <f>BGC_GL!AC82</f>
        <v>0</v>
      </c>
      <c r="AB640" s="141">
        <f>BGC_GL!AD82</f>
        <v>0</v>
      </c>
      <c r="AC640" s="143">
        <f>BGC_GL!AE82</f>
        <v>0</v>
      </c>
      <c r="AD640" s="141">
        <f>BGC_GL!AF82</f>
        <v>0</v>
      </c>
      <c r="AE640" s="143">
        <f>BGC_GL!AG82</f>
        <v>0</v>
      </c>
      <c r="AF640" s="141">
        <f>BGC_GL!AH82</f>
        <v>0</v>
      </c>
      <c r="AG640" s="143">
        <f>BGC_GL!AI82</f>
        <v>0</v>
      </c>
      <c r="AH640" s="141">
        <f>BGC_GL!AJ82</f>
        <v>0</v>
      </c>
      <c r="AI640" s="143">
        <f>BGC_GL!AK82</f>
        <v>0</v>
      </c>
      <c r="AJ640" s="141">
        <f>BGC_GL!AL82</f>
        <v>0</v>
      </c>
      <c r="AK640" s="143">
        <f>BGC_GL!AM82</f>
        <v>0</v>
      </c>
    </row>
    <row r="641" spans="4:37" x14ac:dyDescent="0.2">
      <c r="D641" s="139" t="s">
        <v>151</v>
      </c>
      <c r="E641" s="140"/>
      <c r="F641" s="141">
        <f>CE_GL!H82</f>
        <v>0</v>
      </c>
      <c r="G641" s="142">
        <f>CE_GL!I82</f>
        <v>16780436.649999995</v>
      </c>
      <c r="H641" s="141">
        <f>CE_GL!J82</f>
        <v>0</v>
      </c>
      <c r="I641" s="142">
        <f>CE_GL!K82</f>
        <v>-4037832.9009999996</v>
      </c>
      <c r="J641" s="141">
        <f>CE_GL!L82</f>
        <v>0</v>
      </c>
      <c r="K641" s="141">
        <f>CE_GL!M82</f>
        <v>2803759.8130000001</v>
      </c>
      <c r="L641" s="141">
        <f>CE_GL!N82</f>
        <v>0</v>
      </c>
      <c r="M641" s="141">
        <f>CE_GL!O82</f>
        <v>-2322136.3730000001</v>
      </c>
      <c r="N641" s="141">
        <f>CE_GL!P82</f>
        <v>0</v>
      </c>
      <c r="O641" s="142">
        <f>CE_GL!Q82</f>
        <v>724740.18499999982</v>
      </c>
      <c r="P641" s="141">
        <f>CE_GL!R82</f>
        <v>0</v>
      </c>
      <c r="Q641" s="141">
        <f>CE_GL!S82</f>
        <v>-1571713.5549999999</v>
      </c>
      <c r="R641" s="141">
        <f>CE_GL!T82</f>
        <v>0</v>
      </c>
      <c r="S641" s="141">
        <f>CE_GL!U82</f>
        <v>-260584.27300000002</v>
      </c>
      <c r="T641" s="141">
        <f>CE_GL!V82</f>
        <v>0</v>
      </c>
      <c r="U641" s="141">
        <f>CE_GL!W82</f>
        <v>-287858.3</v>
      </c>
      <c r="V641" s="141">
        <f>CE_GL!X82</f>
        <v>0</v>
      </c>
      <c r="W641" s="141">
        <f>CE_GL!Y82</f>
        <v>-940.51200000000131</v>
      </c>
      <c r="X641" s="141">
        <f>CE_GL!Z82</f>
        <v>0</v>
      </c>
      <c r="Y641" s="142">
        <f>CE_GL!AA82</f>
        <v>505813.55599999998</v>
      </c>
      <c r="Z641" s="141">
        <f>CE_GL!AB82</f>
        <v>0</v>
      </c>
      <c r="AA641" s="141">
        <f>CE_GL!AC82</f>
        <v>0</v>
      </c>
      <c r="AB641" s="141">
        <f>CE_GL!AD82</f>
        <v>0</v>
      </c>
      <c r="AC641" s="143">
        <f>CE_GL!AE82</f>
        <v>36358.784000000014</v>
      </c>
      <c r="AD641" s="141">
        <f>CE_GL!AF82</f>
        <v>0</v>
      </c>
      <c r="AE641" s="143">
        <f>CE_GL!AG82</f>
        <v>79426.485999999903</v>
      </c>
      <c r="AF641" s="141">
        <f>CE_GL!AH82</f>
        <v>0</v>
      </c>
      <c r="AG641" s="143">
        <f>CE_GL!AI82</f>
        <v>0</v>
      </c>
      <c r="AH641" s="141">
        <f>CE_GL!AJ82</f>
        <v>0</v>
      </c>
      <c r="AI641" s="201">
        <f>CE_GL!AK82</f>
        <v>36358.784000000014</v>
      </c>
      <c r="AJ641" s="141">
        <f>CE_GL!AL82</f>
        <v>0</v>
      </c>
      <c r="AK641" s="201">
        <f>CE_GL!AM82</f>
        <v>0</v>
      </c>
    </row>
    <row r="642" spans="4:37" x14ac:dyDescent="0.2">
      <c r="D642" s="139" t="s">
        <v>152</v>
      </c>
      <c r="E642" s="140"/>
      <c r="F642" s="141">
        <f>+NE_GL!H82</f>
        <v>0</v>
      </c>
      <c r="G642" s="142">
        <f>+NE_GL!I82</f>
        <v>-390424.53800000623</v>
      </c>
      <c r="H642" s="141">
        <f>+NE_GL!J82</f>
        <v>0</v>
      </c>
      <c r="I642" s="142">
        <f>+NE_GL!K82</f>
        <v>-7984634.2679999992</v>
      </c>
      <c r="J642" s="141">
        <f>+NE_GL!L82</f>
        <v>0</v>
      </c>
      <c r="K642" s="141">
        <f>+NE_GL!M82</f>
        <v>-5516877.8280000016</v>
      </c>
      <c r="L642" s="141">
        <f>+NE_GL!N82</f>
        <v>0</v>
      </c>
      <c r="M642" s="141">
        <f>+NE_GL!O82</f>
        <v>12834537.421</v>
      </c>
      <c r="N642" s="141">
        <f>+NE_GL!P82</f>
        <v>0</v>
      </c>
      <c r="O642" s="142">
        <f>+NE_GL!Q82</f>
        <v>-4840168.6840000004</v>
      </c>
      <c r="P642" s="141">
        <f>+NE_GL!R82</f>
        <v>0</v>
      </c>
      <c r="Q642" s="141">
        <f>+NE_GL!S82</f>
        <v>84917.412999999986</v>
      </c>
      <c r="R642" s="141">
        <f>+NE_GL!T82</f>
        <v>0</v>
      </c>
      <c r="S642" s="141">
        <f>+NE_GL!U82</f>
        <v>2591932.0360000003</v>
      </c>
      <c r="T642" s="141">
        <f>+NE_GL!V82</f>
        <v>0</v>
      </c>
      <c r="U642" s="141">
        <f>+NE_GL!W82</f>
        <v>1126988.3680000002</v>
      </c>
      <c r="V642" s="141">
        <f>+NE_GL!X82</f>
        <v>0</v>
      </c>
      <c r="W642" s="141">
        <f>+NE_GL!Y82</f>
        <v>65063.28899999999</v>
      </c>
      <c r="X642" s="141">
        <f>+NE_GL!Z82</f>
        <v>0</v>
      </c>
      <c r="Y642" s="142">
        <f>+NE_GL!AA82</f>
        <v>1929382.4250000003</v>
      </c>
      <c r="Z642" s="141">
        <f>+NE_GL!AB82</f>
        <v>0</v>
      </c>
      <c r="AA642" s="141">
        <f>+NE_GL!AC82</f>
        <v>243.68000000001163</v>
      </c>
      <c r="AB642" s="141">
        <f>+NE_GL!AD82</f>
        <v>0</v>
      </c>
      <c r="AC642" s="143">
        <f>+NE_GL!AE82</f>
        <v>6123.6530000000494</v>
      </c>
      <c r="AD642" s="141">
        <f>+NE_GL!AF82</f>
        <v>0</v>
      </c>
      <c r="AE642" s="143">
        <f>+NE_GL!AG82</f>
        <v>-6123.6530000000494</v>
      </c>
      <c r="AF642" s="141">
        <f>+NE_GL!AH82</f>
        <v>0</v>
      </c>
      <c r="AG642" s="143">
        <f>+NE_GL!AI82</f>
        <v>0</v>
      </c>
      <c r="AH642" s="141">
        <f>+NE_GL!AJ82</f>
        <v>0</v>
      </c>
      <c r="AI642" s="201">
        <f>+NE_GL!AK82</f>
        <v>6123.6530000000494</v>
      </c>
      <c r="AJ642" s="141">
        <f>+NE_GL!AL82</f>
        <v>0</v>
      </c>
      <c r="AK642" s="201">
        <f>+NE_GL!AM82</f>
        <v>0</v>
      </c>
    </row>
    <row r="643" spans="4:37" x14ac:dyDescent="0.2">
      <c r="D643" s="139" t="s">
        <v>160</v>
      </c>
      <c r="E643" s="140"/>
      <c r="F643" s="141">
        <f>+'SE-LRC-GL'!H82</f>
        <v>0</v>
      </c>
      <c r="G643" s="142">
        <f>+'SE-LRC-GL'!I82</f>
        <v>1867201.2899999963</v>
      </c>
      <c r="H643" s="141">
        <f>+'SE-LRC-GL'!J82</f>
        <v>0</v>
      </c>
      <c r="I643" s="142">
        <f>+'SE-LRC-GL'!K82</f>
        <v>-87872.401000000624</v>
      </c>
      <c r="J643" s="141">
        <f>+'SE-LRC-GL'!L82</f>
        <v>0</v>
      </c>
      <c r="K643" s="142">
        <f>+'SE-LRC-GL'!M82</f>
        <v>5178.7650000000067</v>
      </c>
      <c r="L643" s="141">
        <f>+'SE-LRC-GL'!N82</f>
        <v>0</v>
      </c>
      <c r="M643" s="141">
        <f>+'SE-LRC-GL'!O82</f>
        <v>7309.4439999999995</v>
      </c>
      <c r="N643" s="141">
        <f>+'SE-LRC-GL'!P82</f>
        <v>0</v>
      </c>
      <c r="O643" s="142">
        <f>+'SE-LRC-GL'!Q82</f>
        <v>-23708.04</v>
      </c>
      <c r="P643" s="141">
        <f>+'SE-LRC-GL'!R82</f>
        <v>0</v>
      </c>
      <c r="Q643" s="141">
        <f>+'SE-LRC-GL'!S82</f>
        <v>-16755.767999999996</v>
      </c>
      <c r="R643" s="141">
        <f>+'SE-LRC-GL'!T82</f>
        <v>0</v>
      </c>
      <c r="S643" s="141">
        <f>+'SE-LRC-GL'!U82</f>
        <v>4823.7720000000008</v>
      </c>
      <c r="T643" s="141">
        <f>+'SE-LRC-GL'!V82</f>
        <v>0</v>
      </c>
      <c r="U643" s="141">
        <f>+'SE-LRC-GL'!W82</f>
        <v>-1408.32</v>
      </c>
      <c r="V643" s="141">
        <f>+'SE-LRC-GL'!X82</f>
        <v>0</v>
      </c>
      <c r="W643" s="141">
        <f>+'SE-LRC-GL'!Y82</f>
        <v>-13652.88</v>
      </c>
      <c r="X643" s="141">
        <f>+'SE-LRC-GL'!Z82</f>
        <v>0</v>
      </c>
      <c r="Y643" s="142">
        <f>+'SE-LRC-GL'!AA82</f>
        <v>-11110.08</v>
      </c>
      <c r="Z643" s="141">
        <f>+'SE-LRC-GL'!AB82</f>
        <v>0</v>
      </c>
      <c r="AA643" s="141">
        <f>+'SE-LRC-GL'!AC82</f>
        <v>44244.72</v>
      </c>
      <c r="AB643" s="141">
        <f>+'SE-LRC-GL'!AD82</f>
        <v>0</v>
      </c>
      <c r="AC643" s="143">
        <f>+'SE-LRC-GL'!AE82</f>
        <v>0</v>
      </c>
      <c r="AD643" s="141">
        <f>+'SE-LRC-GL'!AF82</f>
        <v>0</v>
      </c>
      <c r="AE643" s="143">
        <f>+'SE-LRC-GL'!AG82</f>
        <v>0</v>
      </c>
      <c r="AF643" s="141">
        <f>+'SE-LRC-GL'!AH82</f>
        <v>0</v>
      </c>
      <c r="AG643" s="143">
        <f>+'SE-LRC-GL'!AI82</f>
        <v>0</v>
      </c>
      <c r="AH643" s="141">
        <f>+'SE-LRC-GL'!AJ82</f>
        <v>0</v>
      </c>
      <c r="AI643" s="143">
        <f>+'SE-LRC-GL'!AK82</f>
        <v>0</v>
      </c>
      <c r="AJ643" s="141">
        <f>+'SE-LRC-GL'!AL82</f>
        <v>0</v>
      </c>
      <c r="AK643" s="143">
        <f>+'SE-LRC-GL'!AM82</f>
        <v>0</v>
      </c>
    </row>
    <row r="644" spans="4:37" x14ac:dyDescent="0.2">
      <c r="D644" s="139" t="s">
        <v>161</v>
      </c>
      <c r="E644" s="140"/>
      <c r="F644" s="141">
        <f>+'SE-EGM-GL'!H82</f>
        <v>0</v>
      </c>
      <c r="G644" s="179">
        <f>+'SE-EGM-GL'!I82</f>
        <v>0</v>
      </c>
      <c r="H644" s="141">
        <f>+'SE-EGM-GL'!J82</f>
        <v>0</v>
      </c>
      <c r="I644" s="142">
        <f>+'SE-EGM-GL'!K82</f>
        <v>0</v>
      </c>
      <c r="J644" s="141">
        <f>+'SE-EGM-GL'!L82</f>
        <v>0</v>
      </c>
      <c r="K644" s="141">
        <f>+'SE-EGM-GL'!M82</f>
        <v>0</v>
      </c>
      <c r="L644" s="141">
        <f>+'SE-EGM-GL'!N82</f>
        <v>0</v>
      </c>
      <c r="M644" s="141">
        <f>+'SE-EGM-GL'!O82</f>
        <v>0</v>
      </c>
      <c r="N644" s="141">
        <f>+'SE-EGM-GL'!P82</f>
        <v>0</v>
      </c>
      <c r="O644" s="142">
        <f>+'SE-EGM-GL'!Q82</f>
        <v>0</v>
      </c>
      <c r="P644" s="141">
        <f>+'SE-EGM-GL'!R82</f>
        <v>0</v>
      </c>
      <c r="Q644" s="141">
        <f>+'SE-EGM-GL'!S82</f>
        <v>0</v>
      </c>
      <c r="R644" s="141">
        <f>+'SE-EGM-GL'!T82</f>
        <v>0</v>
      </c>
      <c r="S644" s="141">
        <f>+'SE-EGM-GL'!U82</f>
        <v>0</v>
      </c>
      <c r="T644" s="141">
        <f>+'SE-EGM-GL'!V82</f>
        <v>0</v>
      </c>
      <c r="U644" s="141">
        <f>+'SE-EGM-GL'!W82</f>
        <v>0</v>
      </c>
      <c r="V644" s="141">
        <f>+'SE-EGM-GL'!X82</f>
        <v>0</v>
      </c>
      <c r="W644" s="141">
        <f>+'SE-EGM-GL'!Y82</f>
        <v>0</v>
      </c>
      <c r="X644" s="141">
        <f>+'SE-EGM-GL'!Z82</f>
        <v>0</v>
      </c>
      <c r="Y644" s="141">
        <f>+'SE-EGM-GL'!AA82</f>
        <v>0</v>
      </c>
      <c r="Z644" s="141">
        <f>+'SE-EGM-GL'!AB82</f>
        <v>0</v>
      </c>
      <c r="AA644" s="141">
        <f>+'SE-EGM-GL'!AC82</f>
        <v>0</v>
      </c>
      <c r="AB644" s="141">
        <f>+'SE-EGM-GL'!AD82</f>
        <v>0</v>
      </c>
      <c r="AC644" s="143">
        <f>+'SE-EGM-GL'!AE82</f>
        <v>0</v>
      </c>
      <c r="AD644" s="141">
        <f>+'SE-EGM-GL'!AF82</f>
        <v>0</v>
      </c>
      <c r="AE644" s="143">
        <f>+'SE-EGM-GL'!AG82</f>
        <v>0</v>
      </c>
      <c r="AF644" s="141">
        <f>+'SE-EGM-GL'!AH82</f>
        <v>0</v>
      </c>
      <c r="AG644" s="143">
        <f>+'SE-EGM-GL'!AI82</f>
        <v>0</v>
      </c>
      <c r="AH644" s="141">
        <f>+'SE-EGM-GL'!AJ82</f>
        <v>0</v>
      </c>
      <c r="AI644" s="143">
        <f>+'SE-EGM-GL'!AK82</f>
        <v>0</v>
      </c>
      <c r="AJ644" s="141">
        <f>+'SE-EGM-GL'!AL82</f>
        <v>0</v>
      </c>
      <c r="AK644" s="143">
        <f>+'SE-EGM-GL'!AM82</f>
        <v>0</v>
      </c>
    </row>
    <row r="645" spans="4:37" x14ac:dyDescent="0.2">
      <c r="D645" s="139" t="s">
        <v>162</v>
      </c>
      <c r="E645" s="140"/>
      <c r="F645" s="141">
        <f>+'SE-CON-GL '!H82</f>
        <v>0</v>
      </c>
      <c r="G645" s="179">
        <f>+'SE-CON-GL '!I82</f>
        <v>1867201.2899999963</v>
      </c>
      <c r="H645" s="141">
        <f>+'SE-CON-GL '!J82</f>
        <v>0</v>
      </c>
      <c r="I645" s="142">
        <f>+'SE-CON-GL '!K82</f>
        <v>-87872.401000000624</v>
      </c>
      <c r="J645" s="141">
        <f>+'SE-CON-GL '!L82</f>
        <v>0</v>
      </c>
      <c r="K645" s="141">
        <f>+'SE-CON-GL '!M82</f>
        <v>5178.7650000000067</v>
      </c>
      <c r="L645" s="141">
        <f>+'SE-CON-GL '!N82</f>
        <v>0</v>
      </c>
      <c r="M645" s="141">
        <f>+'SE-CON-GL '!O82</f>
        <v>7309.4439999999995</v>
      </c>
      <c r="N645" s="141">
        <f>+'SE-CON-GL '!P82</f>
        <v>0</v>
      </c>
      <c r="O645" s="142">
        <f>+'SE-CON-GL '!Q82</f>
        <v>-23708.04</v>
      </c>
      <c r="P645" s="141">
        <f>+'SE-CON-GL '!R82</f>
        <v>0</v>
      </c>
      <c r="Q645" s="141">
        <f>+'SE-CON-GL '!S82</f>
        <v>-16755.767999999996</v>
      </c>
      <c r="R645" s="141">
        <f>+'SE-CON-GL '!T82</f>
        <v>0</v>
      </c>
      <c r="S645" s="141">
        <f>+'SE-CON-GL '!U82</f>
        <v>4823.7720000000008</v>
      </c>
      <c r="T645" s="141">
        <f>+'SE-CON-GL '!V82</f>
        <v>0</v>
      </c>
      <c r="U645" s="141">
        <f>+'SE-CON-GL '!W82</f>
        <v>-1408.32</v>
      </c>
      <c r="V645" s="141">
        <f>+'SE-CON-GL '!X82</f>
        <v>0</v>
      </c>
      <c r="W645" s="141">
        <f>+'SE-CON-GL '!Y82</f>
        <v>-13652.88</v>
      </c>
      <c r="X645" s="141">
        <f>+'SE-CON-GL '!Z82</f>
        <v>0</v>
      </c>
      <c r="Y645" s="141">
        <f>+'SE-CON-GL '!AA82</f>
        <v>-11110.08</v>
      </c>
      <c r="Z645" s="141">
        <f>+'SE-CON-GL '!AB82</f>
        <v>0</v>
      </c>
      <c r="AA645" s="141">
        <f>+'SE-CON-GL '!AC82</f>
        <v>44244.72</v>
      </c>
      <c r="AB645" s="141">
        <f>+'SE-CON-GL '!AD82</f>
        <v>0</v>
      </c>
      <c r="AC645" s="143">
        <f>+'SE-CON-GL '!AE82</f>
        <v>0</v>
      </c>
      <c r="AD645" s="141">
        <f>+'SE-CON-GL '!AF82</f>
        <v>0</v>
      </c>
      <c r="AE645" s="143">
        <f>+'SE-CON-GL '!AG82</f>
        <v>0</v>
      </c>
      <c r="AF645" s="141">
        <f>+'SE-CON-GL '!AH82</f>
        <v>0</v>
      </c>
      <c r="AG645" s="143">
        <f>+'SE-CON-GL '!AI82</f>
        <v>0</v>
      </c>
      <c r="AH645" s="141">
        <f>+'SE-CON-GL '!AJ82</f>
        <v>0</v>
      </c>
      <c r="AI645" s="143">
        <f>+'SE-CON-GL '!AK82</f>
        <v>0</v>
      </c>
      <c r="AJ645" s="141">
        <f>+'SE-CON-GL '!AL82</f>
        <v>0</v>
      </c>
      <c r="AK645" s="143">
        <f>+'SE-CON-GL '!AM82</f>
        <v>0</v>
      </c>
    </row>
    <row r="646" spans="4:37" x14ac:dyDescent="0.2">
      <c r="D646" s="139" t="s">
        <v>163</v>
      </c>
      <c r="E646" s="140"/>
      <c r="F646" s="141">
        <f>+'TX-EGM-GL'!H82</f>
        <v>-3000</v>
      </c>
      <c r="G646" s="142">
        <f>+'TX-EGM-GL'!I82</f>
        <v>8832111.8100000024</v>
      </c>
      <c r="H646" s="141">
        <f>+'TX-EGM-GL'!J82</f>
        <v>0</v>
      </c>
      <c r="I646" s="142">
        <f>+'TX-EGM-GL'!K82</f>
        <v>-9550077.922000004</v>
      </c>
      <c r="J646" s="141">
        <f>+'TX-EGM-GL'!L82</f>
        <v>3000</v>
      </c>
      <c r="K646" s="141">
        <f>+'TX-EGM-GL'!M82</f>
        <v>8169564.4860000005</v>
      </c>
      <c r="L646" s="141">
        <f>+'TX-EGM-GL'!N82</f>
        <v>0</v>
      </c>
      <c r="M646" s="141">
        <f>+'TX-EGM-GL'!O82</f>
        <v>3872545.4559999998</v>
      </c>
      <c r="N646" s="141">
        <f>+'TX-EGM-GL'!P82</f>
        <v>0</v>
      </c>
      <c r="O646" s="141">
        <f>+'TX-EGM-GL'!Q82</f>
        <v>-1298445.7500000002</v>
      </c>
      <c r="P646" s="141">
        <f>+'TX-EGM-GL'!R82</f>
        <v>0</v>
      </c>
      <c r="Q646" s="141">
        <f>+'TX-EGM-GL'!S82</f>
        <v>-522.76000000000226</v>
      </c>
      <c r="R646" s="141">
        <f>+'TX-EGM-GL'!T82</f>
        <v>0</v>
      </c>
      <c r="S646" s="141">
        <f>+'TX-EGM-GL'!U82</f>
        <v>832312.41999999993</v>
      </c>
      <c r="T646" s="141">
        <f>+'TX-EGM-GL'!V82</f>
        <v>0</v>
      </c>
      <c r="U646" s="141">
        <f>+'TX-EGM-GL'!W82</f>
        <v>269600.935</v>
      </c>
      <c r="V646" s="141">
        <f>+'TX-EGM-GL'!X82</f>
        <v>0</v>
      </c>
      <c r="W646" s="141">
        <f>+'TX-EGM-GL'!Y82</f>
        <v>10738.42</v>
      </c>
      <c r="X646" s="141">
        <f>+'TX-EGM-GL'!Z82</f>
        <v>0</v>
      </c>
      <c r="Y646" s="141">
        <f>+'TX-EGM-GL'!AA82</f>
        <v>-1789051.3459999999</v>
      </c>
      <c r="Z646" s="141">
        <f>+'TX-EGM-GL'!AB82</f>
        <v>0</v>
      </c>
      <c r="AA646" s="141">
        <f>+'TX-EGM-GL'!AC82</f>
        <v>-15081.29099999991</v>
      </c>
      <c r="AB646" s="141">
        <f>+'TX-EGM-GL'!AD82</f>
        <v>0</v>
      </c>
      <c r="AC646" s="143">
        <f>+'TX-EGM-GL'!AE82</f>
        <v>-955832.61999999976</v>
      </c>
      <c r="AD646" s="141">
        <f>+'TX-EGM-GL'!AF82</f>
        <v>0</v>
      </c>
      <c r="AE646" s="143">
        <f>+'TX-EGM-GL'!AG82</f>
        <v>8220.6839999999756</v>
      </c>
      <c r="AF646" s="141">
        <f>+'TX-EGM-GL'!AH82</f>
        <v>0</v>
      </c>
      <c r="AG646" s="143">
        <f>+'TX-EGM-GL'!AI82</f>
        <v>1293.650000000001</v>
      </c>
      <c r="AH646" s="141">
        <f>+'TX-EGM-GL'!AJ82</f>
        <v>0</v>
      </c>
      <c r="AI646" s="201">
        <f>+'TX-EGM-GL'!AK82</f>
        <v>1885153.0380000002</v>
      </c>
      <c r="AJ646" s="141">
        <f>+'TX-EGM-GL'!AL82</f>
        <v>0</v>
      </c>
      <c r="AK646" s="201">
        <f>+'TX-EGM-GL'!AM82</f>
        <v>1852.1160000000582</v>
      </c>
    </row>
    <row r="647" spans="4:37" x14ac:dyDescent="0.2">
      <c r="D647" s="139" t="s">
        <v>164</v>
      </c>
      <c r="E647" s="140"/>
      <c r="F647" s="141">
        <f>+'TX-HPL-GL '!H82</f>
        <v>0</v>
      </c>
      <c r="G647" s="142">
        <f>+'TX-HPL-GL '!I82</f>
        <v>1281442.7800000012</v>
      </c>
      <c r="H647" s="141">
        <f>+'TX-HPL-GL '!J82</f>
        <v>0</v>
      </c>
      <c r="I647" s="142">
        <f>+'TX-HPL-GL '!K82</f>
        <v>-2446570.56</v>
      </c>
      <c r="J647" s="141">
        <f>+'TX-HPL-GL '!L82</f>
        <v>0</v>
      </c>
      <c r="K647" s="141">
        <f>+'TX-HPL-GL '!M82</f>
        <v>347595.99410000123</v>
      </c>
      <c r="L647" s="141">
        <f>+'TX-HPL-GL '!N82</f>
        <v>0</v>
      </c>
      <c r="M647" s="141">
        <f>+'TX-HPL-GL '!O82</f>
        <v>-25570.366800000062</v>
      </c>
      <c r="N647" s="141">
        <f>+'TX-HPL-GL '!P82</f>
        <v>0</v>
      </c>
      <c r="O647" s="141">
        <f>+'TX-HPL-GL '!Q82</f>
        <v>2870676.126699999</v>
      </c>
      <c r="P647" s="141">
        <f>+'TX-HPL-GL '!R82</f>
        <v>0</v>
      </c>
      <c r="Q647" s="141">
        <f>+'TX-HPL-GL '!S82</f>
        <v>948103.73849999823</v>
      </c>
      <c r="R647" s="141">
        <f>+'TX-HPL-GL '!T82</f>
        <v>0</v>
      </c>
      <c r="S647" s="141">
        <f>+'TX-HPL-GL '!U82</f>
        <v>197597.51550000001</v>
      </c>
      <c r="T647" s="141">
        <f>+'TX-HPL-GL '!V82</f>
        <v>0</v>
      </c>
      <c r="U647" s="141">
        <f>+'TX-HPL-GL '!W82</f>
        <v>-1699645.6685000001</v>
      </c>
      <c r="V647" s="141">
        <f>+'TX-HPL-GL '!X82</f>
        <v>0</v>
      </c>
      <c r="W647" s="141">
        <f>+'TX-HPL-GL '!Y82</f>
        <v>-92720.288</v>
      </c>
      <c r="X647" s="141">
        <f>+'TX-HPL-GL '!Z82</f>
        <v>0</v>
      </c>
      <c r="Y647" s="141">
        <f>+'TX-HPL-GL '!AA82</f>
        <v>34154.636000000006</v>
      </c>
      <c r="Z647" s="141">
        <f>+'TX-HPL-GL '!AB82</f>
        <v>0</v>
      </c>
      <c r="AA647" s="141">
        <f>+'TX-HPL-GL '!AC82</f>
        <v>78860.363400000002</v>
      </c>
      <c r="AB647" s="141">
        <f>+'TX-HPL-GL '!AD82</f>
        <v>0</v>
      </c>
      <c r="AC647" s="143">
        <f>+'TX-HPL-GL '!AE82</f>
        <v>585.94549999999435</v>
      </c>
      <c r="AD647" s="141">
        <f>+'TX-HPL-GL '!AF82</f>
        <v>0</v>
      </c>
      <c r="AE647" s="143">
        <f>+'TX-HPL-GL '!AG82</f>
        <v>-188.08</v>
      </c>
      <c r="AF647" s="141">
        <f>+'TX-HPL-GL '!AH82</f>
        <v>0</v>
      </c>
      <c r="AG647" s="143">
        <f>+'TX-HPL-GL '!AI82</f>
        <v>-6.6899999999998272</v>
      </c>
      <c r="AH647" s="141">
        <f>+'TX-HPL-GL '!AJ82</f>
        <v>0</v>
      </c>
      <c r="AI647" s="201">
        <f>+'TX-HPL-GL '!AK82</f>
        <v>-5.38</v>
      </c>
      <c r="AJ647" s="141">
        <f>+'TX-HPL-GL '!AL82</f>
        <v>0</v>
      </c>
      <c r="AK647" s="201">
        <f>+'TX-HPL-GL '!AM82</f>
        <v>15751.039999999981</v>
      </c>
    </row>
    <row r="648" spans="4:37" x14ac:dyDescent="0.2">
      <c r="D648" s="139" t="s">
        <v>165</v>
      </c>
      <c r="E648" s="140"/>
      <c r="F648" s="141">
        <f>+'TX-CON-GL '!H82</f>
        <v>-3000</v>
      </c>
      <c r="G648" s="179">
        <f>+'TX-CON-GL '!I82</f>
        <v>10113554.589999998</v>
      </c>
      <c r="H648" s="141">
        <f>+'TX-CON-GL '!J82</f>
        <v>0</v>
      </c>
      <c r="I648" s="179">
        <f>+'TX-CON-GL '!K82</f>
        <v>-11996648.482000005</v>
      </c>
      <c r="J648" s="141">
        <f>+'TX-CON-GL '!L82</f>
        <v>3000</v>
      </c>
      <c r="K648" s="141">
        <f>+'TX-CON-GL '!M82</f>
        <v>8517160.4801000021</v>
      </c>
      <c r="L648" s="141">
        <f>+'TX-CON-GL '!N82</f>
        <v>0</v>
      </c>
      <c r="M648" s="141">
        <f>+'TX-CON-GL '!O82</f>
        <v>3846975.0892000003</v>
      </c>
      <c r="N648" s="141">
        <f>+'TX-CON-GL '!P82</f>
        <v>0</v>
      </c>
      <c r="O648" s="141">
        <f>+'TX-CON-GL '!Q82</f>
        <v>1572230.3766999987</v>
      </c>
      <c r="P648" s="141">
        <f>+'TX-CON-GL '!R82</f>
        <v>0</v>
      </c>
      <c r="Q648" s="141">
        <f>+'TX-CON-GL '!S82</f>
        <v>947580.97849999822</v>
      </c>
      <c r="R648" s="141">
        <f>+'TX-CON-GL '!T82</f>
        <v>0</v>
      </c>
      <c r="S648" s="141">
        <f>+'TX-CON-GL '!U82</f>
        <v>1029909.9354999987</v>
      </c>
      <c r="T648" s="141">
        <f>+'TX-CON-GL '!V82</f>
        <v>0</v>
      </c>
      <c r="U648" s="141">
        <f>+'TX-CON-GL '!W82</f>
        <v>-1430044.7335000001</v>
      </c>
      <c r="V648" s="141">
        <f>+'TX-CON-GL '!X82</f>
        <v>0</v>
      </c>
      <c r="W648" s="141">
        <f>+'TX-CON-GL '!Y82</f>
        <v>-81981.867999999988</v>
      </c>
      <c r="X648" s="141">
        <f>+'TX-CON-GL '!Z82</f>
        <v>0</v>
      </c>
      <c r="Y648" s="141">
        <f>+'TX-CON-GL '!AA82</f>
        <v>-1754896.7099999995</v>
      </c>
      <c r="Z648" s="141">
        <f>+'TX-CON-GL '!AB82</f>
        <v>0</v>
      </c>
      <c r="AA648" s="141">
        <f>+'TX-CON-GL '!AC82</f>
        <v>63779.072400000252</v>
      </c>
      <c r="AB648" s="141">
        <f>+'TX-CON-GL '!AD82</f>
        <v>0</v>
      </c>
      <c r="AC648" s="143">
        <f>+'TX-CON-GL '!AE82</f>
        <v>-955246.67450000171</v>
      </c>
      <c r="AD648" s="141">
        <f>+'TX-CON-GL '!AF82</f>
        <v>0</v>
      </c>
      <c r="AE648" s="143">
        <f>+'TX-CON-GL '!AG82</f>
        <v>0</v>
      </c>
      <c r="AF648" s="141">
        <f>+'TX-CON-GL '!AH82</f>
        <v>0</v>
      </c>
      <c r="AG648" s="143">
        <f>+'TX-CON-GL '!AI82</f>
        <v>0</v>
      </c>
      <c r="AH648" s="141">
        <f>+'TX-CON-GL '!AJ82</f>
        <v>0</v>
      </c>
      <c r="AI648" s="143">
        <f>+'TX-CON-GL '!AK82</f>
        <v>0</v>
      </c>
      <c r="AJ648" s="141">
        <f>+'TX-CON-GL '!AL82</f>
        <v>0</v>
      </c>
      <c r="AK648" s="143">
        <f>+'TX-CON-GL '!AM82</f>
        <v>0</v>
      </c>
    </row>
    <row r="649" spans="4:37" x14ac:dyDescent="0.2">
      <c r="D649" s="139" t="s">
        <v>154</v>
      </c>
      <c r="E649" s="140"/>
      <c r="F649" s="141">
        <f>+'WE-GL '!H82</f>
        <v>0</v>
      </c>
      <c r="G649" s="142">
        <f>+'WE-GL '!I82</f>
        <v>77129.252000006847</v>
      </c>
      <c r="H649" s="141">
        <f>+'WE-GL '!J82</f>
        <v>0</v>
      </c>
      <c r="I649" s="179">
        <f>+'WE-GL '!K82</f>
        <v>350683.739</v>
      </c>
      <c r="J649" s="141">
        <f>+'WE-GL '!L82</f>
        <v>0</v>
      </c>
      <c r="K649" s="141">
        <f>+'WE-GL '!M82</f>
        <v>51178.429999999993</v>
      </c>
      <c r="L649" s="141">
        <f>+'WE-GL '!N82</f>
        <v>0</v>
      </c>
      <c r="M649" s="141">
        <f>+'WE-GL '!O82</f>
        <v>1039622.209</v>
      </c>
      <c r="N649" s="141">
        <f>+'WE-GL '!P82</f>
        <v>0</v>
      </c>
      <c r="O649" s="141">
        <f>+'WE-GL '!Q82</f>
        <v>-999085.92999999993</v>
      </c>
      <c r="P649" s="141">
        <f>+'WE-GL '!R82</f>
        <v>0</v>
      </c>
      <c r="Q649" s="141">
        <f>+'WE-GL '!S82</f>
        <v>-61324.700000000004</v>
      </c>
      <c r="R649" s="141">
        <f>+'WE-GL '!T82</f>
        <v>0</v>
      </c>
      <c r="S649" s="141">
        <f>+'WE-GL '!U82</f>
        <v>2757.6640000000007</v>
      </c>
      <c r="T649" s="141">
        <f>+'WE-GL '!V82</f>
        <v>0</v>
      </c>
      <c r="U649" s="141">
        <f>+'WE-GL '!W82</f>
        <v>-407958.66399999999</v>
      </c>
      <c r="V649" s="141">
        <f>+'WE-GL '!X82</f>
        <v>0</v>
      </c>
      <c r="W649" s="141">
        <f>+'WE-GL '!Y82</f>
        <v>400338.38199999998</v>
      </c>
      <c r="X649" s="141">
        <f>+'WE-GL '!Z82</f>
        <v>0</v>
      </c>
      <c r="Y649" s="141">
        <f>+'WE-GL '!AA82</f>
        <v>14603.492000000027</v>
      </c>
      <c r="Z649" s="141">
        <f>+'WE-GL '!AB82</f>
        <v>0</v>
      </c>
      <c r="AA649" s="141">
        <f>+'WE-GL '!AC82</f>
        <v>0</v>
      </c>
      <c r="AB649" s="141">
        <f>+'WE-GL '!AD82</f>
        <v>0</v>
      </c>
      <c r="AC649" s="143">
        <f>+'WE-GL '!AE82</f>
        <v>122.74199999999996</v>
      </c>
      <c r="AD649" s="141">
        <f>+'WE-GL '!AF82</f>
        <v>0</v>
      </c>
      <c r="AE649" s="143">
        <f>+'WE-GL '!AG82</f>
        <v>-122.74199999999996</v>
      </c>
      <c r="AF649" s="141">
        <f>+'WE-GL '!AH82</f>
        <v>0</v>
      </c>
      <c r="AG649" s="143">
        <f>+'WE-GL '!AI82</f>
        <v>-3182.81</v>
      </c>
      <c r="AH649" s="141">
        <f>+'WE-GL '!AJ82</f>
        <v>0</v>
      </c>
      <c r="AI649" s="201">
        <f>+'WE-GL '!AK82</f>
        <v>122.74199999999996</v>
      </c>
      <c r="AJ649" s="141">
        <f>+'WE-GL '!AL82</f>
        <v>0</v>
      </c>
      <c r="AK649" s="201">
        <f>+'WE-GL '!AM82</f>
        <v>0</v>
      </c>
    </row>
    <row r="650" spans="4:37" x14ac:dyDescent="0.2">
      <c r="D650" t="s">
        <v>156</v>
      </c>
      <c r="F650" s="144">
        <f>+STG_GL!H82</f>
        <v>0</v>
      </c>
      <c r="G650" s="180">
        <f>+STG_GL!I82</f>
        <v>0</v>
      </c>
      <c r="H650" s="144">
        <f>+STG_GL!J82</f>
        <v>0</v>
      </c>
      <c r="I650" s="144">
        <f>+STG_GL!K82</f>
        <v>0</v>
      </c>
      <c r="J650" s="144">
        <f>+STG_GL!L82</f>
        <v>0</v>
      </c>
      <c r="K650" s="144">
        <f>+STG_GL!M82</f>
        <v>0</v>
      </c>
      <c r="L650" s="144">
        <f>+STG_GL!N82</f>
        <v>0</v>
      </c>
      <c r="M650" s="144">
        <f>+STG_GL!O82</f>
        <v>-1054468</v>
      </c>
      <c r="N650" s="144">
        <f>+STG_GL!P82</f>
        <v>0</v>
      </c>
      <c r="O650" s="144">
        <f>+STG_GL!Q82</f>
        <v>9302822</v>
      </c>
      <c r="P650" s="144">
        <f>+STG_GL!R82</f>
        <v>0</v>
      </c>
      <c r="Q650" s="144">
        <f>+STG_GL!S82</f>
        <v>0</v>
      </c>
      <c r="R650" s="144">
        <f>+STG_GL!T82</f>
        <v>0</v>
      </c>
      <c r="S650" s="144">
        <f>+STG_GL!U82</f>
        <v>20833</v>
      </c>
      <c r="T650" s="144">
        <f>+STG_GL!V82</f>
        <v>0</v>
      </c>
      <c r="U650" s="144">
        <f>+STG_GL!W82</f>
        <v>0</v>
      </c>
      <c r="V650" s="144">
        <f>+STG_GL!X82</f>
        <v>0</v>
      </c>
      <c r="W650" s="144">
        <f>+STG_GL!Y82</f>
        <v>0</v>
      </c>
      <c r="X650" s="144">
        <f>+STG_GL!Z82</f>
        <v>0</v>
      </c>
      <c r="Y650" s="144">
        <f>+STG_GL!AA82</f>
        <v>-42683</v>
      </c>
      <c r="Z650" s="144">
        <f>+STG_GL!AB82</f>
        <v>0</v>
      </c>
      <c r="AA650" s="144">
        <f>+STG_GL!AC82</f>
        <v>-24198</v>
      </c>
      <c r="AB650" s="144">
        <f>+STG_GL!AD82</f>
        <v>0</v>
      </c>
      <c r="AC650" s="144">
        <f>+STG_GL!AE82</f>
        <v>0</v>
      </c>
      <c r="AD650" s="144">
        <f>+STG_GL!AF82</f>
        <v>0</v>
      </c>
      <c r="AE650" s="144">
        <f>+STG_GL!AG82</f>
        <v>-128650</v>
      </c>
      <c r="AF650" s="144">
        <f>+STG_GL!AH82</f>
        <v>0</v>
      </c>
      <c r="AG650" s="144">
        <f>+STG_GL!AI82</f>
        <v>0</v>
      </c>
      <c r="AH650" s="144">
        <f>+STG_GL!AJ82</f>
        <v>0</v>
      </c>
      <c r="AI650" s="144">
        <f>+STG_GL!AK82</f>
        <v>-747115</v>
      </c>
      <c r="AJ650" s="144">
        <f>+STG_GL!AL82</f>
        <v>0</v>
      </c>
      <c r="AK650" s="144">
        <f>+STG_GL!AM82</f>
        <v>337567</v>
      </c>
    </row>
    <row r="651" spans="4:37" x14ac:dyDescent="0.2">
      <c r="D651" t="s">
        <v>158</v>
      </c>
      <c r="F651" s="144">
        <f>+'TRANSPT_GL '!H82</f>
        <v>0</v>
      </c>
      <c r="G651" s="144">
        <f>+'TRANSPT_GL '!I82</f>
        <v>0</v>
      </c>
      <c r="H651" s="144">
        <f>+'TRANSPT_GL '!J82</f>
        <v>0</v>
      </c>
      <c r="I651" s="144">
        <f>+'TRANSPT_GL '!K82</f>
        <v>0</v>
      </c>
      <c r="J651" s="144">
        <f>+'TRANSPT_GL '!L82</f>
        <v>0</v>
      </c>
      <c r="K651" s="144">
        <f>+'TRANSPT_GL '!M82</f>
        <v>0</v>
      </c>
      <c r="L651" s="144">
        <f>+'TRANSPT_GL '!N82</f>
        <v>0</v>
      </c>
      <c r="M651" s="144">
        <f>+'TRANSPT_GL '!O82</f>
        <v>0</v>
      </c>
      <c r="N651" s="144">
        <f>+'TRANSPT_GL '!P82</f>
        <v>0</v>
      </c>
      <c r="O651" s="144">
        <f>+'TRANSPT_GL '!Q82</f>
        <v>0</v>
      </c>
      <c r="P651" s="144">
        <f>+'TRANSPT_GL '!R82</f>
        <v>0</v>
      </c>
      <c r="Q651" s="144">
        <f>+'TRANSPT_GL '!S82</f>
        <v>0</v>
      </c>
      <c r="R651" s="144">
        <f>+'TRANSPT_GL '!T82</f>
        <v>0</v>
      </c>
      <c r="S651" s="144">
        <f>+'TRANSPT_GL '!U82</f>
        <v>0</v>
      </c>
      <c r="T651" s="144">
        <f>+'TRANSPT_GL '!V82</f>
        <v>0</v>
      </c>
      <c r="U651" s="144">
        <f>+'TRANSPT_GL '!W82</f>
        <v>0</v>
      </c>
      <c r="V651" s="144">
        <f>+'TRANSPT_GL '!X82</f>
        <v>0</v>
      </c>
      <c r="W651" s="144">
        <f>+'TRANSPT_GL '!Y82</f>
        <v>0</v>
      </c>
      <c r="X651" s="144">
        <f>+'TRANSPT_GL '!Z82</f>
        <v>0</v>
      </c>
      <c r="Y651" s="144">
        <f>+'TRANSPT_GL '!AA82</f>
        <v>0</v>
      </c>
      <c r="Z651" s="144">
        <f>+'TRANSPT_GL '!AB82</f>
        <v>0</v>
      </c>
      <c r="AA651" s="144">
        <f>+'TRANSPT_GL '!AC82</f>
        <v>0</v>
      </c>
      <c r="AB651" s="144">
        <f>+'TRANSPT_GL '!AD82</f>
        <v>0</v>
      </c>
      <c r="AC651" s="144">
        <f>+'TRANSPT_GL '!AE82</f>
        <v>0</v>
      </c>
      <c r="AD651" s="144">
        <f>+'TRANSPT_GL '!AF82</f>
        <v>0</v>
      </c>
      <c r="AE651" s="144">
        <f>+'TRANSPT_GL '!AG82</f>
        <v>0</v>
      </c>
      <c r="AF651" s="144">
        <f>+'TRANSPT_GL '!AH82</f>
        <v>0</v>
      </c>
      <c r="AG651" s="144">
        <f>+'TRANSPT_GL '!AI82</f>
        <v>0</v>
      </c>
      <c r="AH651" s="144">
        <f>+'TRANSPT_GL '!AJ82</f>
        <v>0</v>
      </c>
      <c r="AI651" s="144">
        <f>+'TRANSPT_GL '!AK82</f>
        <v>0</v>
      </c>
      <c r="AJ651" s="144">
        <f>+'TRANSPT_GL '!AL82</f>
        <v>0</v>
      </c>
      <c r="AK651" s="144">
        <f>+'TRANSPT_GL '!AM82</f>
        <v>0</v>
      </c>
    </row>
    <row r="652" spans="4:37" x14ac:dyDescent="0.2">
      <c r="G652" s="45"/>
    </row>
    <row r="653" spans="4:37" x14ac:dyDescent="0.2">
      <c r="D653" t="s">
        <v>2</v>
      </c>
    </row>
  </sheetData>
  <mergeCells count="32">
    <mergeCell ref="AJ638:AK638"/>
    <mergeCell ref="AI1:AJ1"/>
    <mergeCell ref="AH638:AI638"/>
    <mergeCell ref="AG1:AH1"/>
    <mergeCell ref="AF638:AG638"/>
    <mergeCell ref="M1:N1"/>
    <mergeCell ref="O1:P1"/>
    <mergeCell ref="Q1:R1"/>
    <mergeCell ref="S1:T1"/>
    <mergeCell ref="E1:F1"/>
    <mergeCell ref="G1:H1"/>
    <mergeCell ref="I1:J1"/>
    <mergeCell ref="K1:L1"/>
    <mergeCell ref="R638:S638"/>
    <mergeCell ref="AB638:AC638"/>
    <mergeCell ref="U1:V1"/>
    <mergeCell ref="W1:X1"/>
    <mergeCell ref="Y1:Z1"/>
    <mergeCell ref="AA1:AB1"/>
    <mergeCell ref="F638:G638"/>
    <mergeCell ref="H638:I638"/>
    <mergeCell ref="J638:K638"/>
    <mergeCell ref="L638:M638"/>
    <mergeCell ref="N638:O638"/>
    <mergeCell ref="P638:Q638"/>
    <mergeCell ref="AD638:AE638"/>
    <mergeCell ref="T638:U638"/>
    <mergeCell ref="V638:W638"/>
    <mergeCell ref="X638:Y638"/>
    <mergeCell ref="Z638:AA638"/>
    <mergeCell ref="AC1:AD1"/>
    <mergeCell ref="AE1:AF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C98" sqref="C98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176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-45031084.090000004</v>
      </c>
      <c r="F12" s="65"/>
      <c r="G12" s="38">
        <f>-11384096.21-437462.03</f>
        <v>-11821558.24</v>
      </c>
      <c r="H12" s="65"/>
      <c r="I12" s="38">
        <f>-15828274.98-107219.63</f>
        <v>-15935494.610000001</v>
      </c>
      <c r="J12" s="65"/>
      <c r="K12" s="38">
        <v>0</v>
      </c>
      <c r="L12" s="65"/>
      <c r="M12" s="38">
        <v>0</v>
      </c>
      <c r="N12" s="65"/>
      <c r="O12" s="38">
        <f>-1085750.53-2384.55</f>
        <v>-1088135.08</v>
      </c>
      <c r="P12" s="65"/>
      <c r="Q12" s="38">
        <f>-2799273.51-99860.79</f>
        <v>-2899134.3</v>
      </c>
      <c r="R12" s="65"/>
      <c r="S12" s="38">
        <f>-10469566.97-147319.89-2669875</f>
        <v>-13286761.860000001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-45031084.090000004</v>
      </c>
      <c r="F16" s="61">
        <f t="shared" si="1"/>
        <v>0</v>
      </c>
      <c r="G16" s="39">
        <f t="shared" si="1"/>
        <v>-11821558.24</v>
      </c>
      <c r="H16" s="61">
        <f t="shared" si="1"/>
        <v>0</v>
      </c>
      <c r="I16" s="39">
        <f t="shared" si="1"/>
        <v>-15935494.610000001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-1088135.08</v>
      </c>
      <c r="P16" s="61">
        <f t="shared" si="1"/>
        <v>0</v>
      </c>
      <c r="Q16" s="39">
        <f t="shared" si="1"/>
        <v>-2899134.3</v>
      </c>
      <c r="R16" s="61">
        <f t="shared" si="1"/>
        <v>0</v>
      </c>
      <c r="S16" s="39">
        <f t="shared" si="1"/>
        <v>-13286761.860000001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10741881.02</v>
      </c>
      <c r="F20" s="65"/>
      <c r="G20" s="38">
        <f>481280.87+309757.53</f>
        <v>791038.4</v>
      </c>
      <c r="H20" s="65"/>
      <c r="I20" s="38">
        <f>7968823.42+218104.69</f>
        <v>8186928.1100000003</v>
      </c>
      <c r="J20" s="65"/>
      <c r="K20" s="38">
        <v>-1394542.32</v>
      </c>
      <c r="L20" s="65"/>
      <c r="M20" s="38">
        <v>0</v>
      </c>
      <c r="N20" s="65"/>
      <c r="O20" s="38">
        <f>-244285.06+51150</f>
        <v>-193135.06</v>
      </c>
      <c r="P20" s="65"/>
      <c r="Q20" s="38">
        <f>907563.47+1091.14</f>
        <v>908654.61</v>
      </c>
      <c r="R20" s="65"/>
      <c r="S20" s="38">
        <f>2332809.93+110127.35</f>
        <v>2442937.2800000003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10741881.02</v>
      </c>
      <c r="F24" s="61">
        <f t="shared" si="3"/>
        <v>0</v>
      </c>
      <c r="G24" s="39">
        <f t="shared" si="3"/>
        <v>791038.4</v>
      </c>
      <c r="H24" s="61">
        <f t="shared" si="3"/>
        <v>0</v>
      </c>
      <c r="I24" s="39">
        <f t="shared" si="3"/>
        <v>8186928.1100000003</v>
      </c>
      <c r="J24" s="61">
        <f t="shared" si="3"/>
        <v>0</v>
      </c>
      <c r="K24" s="39">
        <f t="shared" si="3"/>
        <v>-1394542.32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-193135.06</v>
      </c>
      <c r="P24" s="61">
        <f t="shared" si="3"/>
        <v>0</v>
      </c>
      <c r="Q24" s="39">
        <f t="shared" si="3"/>
        <v>908654.61</v>
      </c>
      <c r="R24" s="61">
        <f t="shared" si="3"/>
        <v>0</v>
      </c>
      <c r="S24" s="39">
        <f t="shared" si="3"/>
        <v>2442937.2800000003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8">
        <f>G70+I70+K70+M70+O70+Q70+S70+U70+W70+Y70</f>
        <v>-7176187.29</v>
      </c>
      <c r="F70" s="60"/>
      <c r="G70" s="38">
        <v>-675834</v>
      </c>
      <c r="H70" s="60"/>
      <c r="I70" s="38">
        <f>-905710-97571.85</f>
        <v>-1003281.85</v>
      </c>
      <c r="J70" s="60"/>
      <c r="K70" s="38">
        <v>0</v>
      </c>
      <c r="L70" s="60"/>
      <c r="M70" s="38">
        <v>0</v>
      </c>
      <c r="N70" s="60"/>
      <c r="O70" s="38">
        <v>-1858948</v>
      </c>
      <c r="P70" s="60"/>
      <c r="Q70" s="38">
        <v>0</v>
      </c>
      <c r="R70" s="60"/>
      <c r="S70" s="38">
        <f>838422-114789.44</f>
        <v>723632.56</v>
      </c>
      <c r="T70" s="60"/>
      <c r="U70" s="38">
        <v>-4207364</v>
      </c>
      <c r="V70" s="60"/>
      <c r="W70" s="38">
        <v>0</v>
      </c>
      <c r="X70" s="60"/>
      <c r="Y70" s="38">
        <v>-154392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-7176187.29</v>
      </c>
      <c r="F72" s="61">
        <f t="shared" si="13"/>
        <v>0</v>
      </c>
      <c r="G72" s="39">
        <f t="shared" si="13"/>
        <v>-675834</v>
      </c>
      <c r="H72" s="61">
        <f t="shared" si="13"/>
        <v>0</v>
      </c>
      <c r="I72" s="39">
        <f t="shared" si="13"/>
        <v>-1003281.85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-1858948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723632.56</v>
      </c>
      <c r="T72" s="61">
        <f t="shared" si="13"/>
        <v>0</v>
      </c>
      <c r="U72" s="39">
        <f t="shared" si="13"/>
        <v>-4207364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-154392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11379487</v>
      </c>
      <c r="F74" s="65"/>
      <c r="G74" s="66">
        <v>576367</v>
      </c>
      <c r="H74" s="65"/>
      <c r="I74" s="66">
        <f>3587015-21019+5753955</f>
        <v>9319951</v>
      </c>
      <c r="J74" s="65"/>
      <c r="K74" s="66">
        <v>0</v>
      </c>
      <c r="L74" s="65"/>
      <c r="M74" s="66">
        <v>0</v>
      </c>
      <c r="N74" s="65"/>
      <c r="O74" s="66">
        <v>1744335</v>
      </c>
      <c r="P74" s="65"/>
      <c r="Q74" s="66">
        <v>0</v>
      </c>
      <c r="R74" s="65"/>
      <c r="S74" s="66">
        <f>-3272277+2669875</f>
        <v>-602402</v>
      </c>
      <c r="T74" s="65"/>
      <c r="U74" s="66">
        <v>341236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612600</v>
      </c>
      <c r="F75" s="65"/>
      <c r="G75" s="38">
        <v>330600</v>
      </c>
      <c r="H75" s="65"/>
      <c r="I75" s="38">
        <f>-10500+202000</f>
        <v>191500</v>
      </c>
      <c r="J75" s="65"/>
      <c r="K75" s="38">
        <v>0</v>
      </c>
      <c r="L75" s="65"/>
      <c r="M75" s="38">
        <v>0</v>
      </c>
      <c r="N75" s="65"/>
      <c r="O75" s="38">
        <v>4100</v>
      </c>
      <c r="P75" s="65"/>
      <c r="Q75" s="38">
        <v>0</v>
      </c>
      <c r="R75" s="65"/>
      <c r="S75" s="38">
        <f>-35200+121600</f>
        <v>86400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8">
        <f t="shared" si="15"/>
        <v>-26496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-26496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-34253608.359999999</v>
      </c>
      <c r="F82" s="92">
        <f>F16+F24+F29+F36+F43+F45+F47+F49</f>
        <v>0</v>
      </c>
      <c r="G82" s="93">
        <f>SUM(G72:G81)+G16+G24+G29+G36+G43+G45+G47+G49+G51+G56+G61+G66</f>
        <v>-10799386.84</v>
      </c>
      <c r="H82" s="92">
        <f>H16+H24+H29+H36+H43+H45+H47+H49</f>
        <v>0</v>
      </c>
      <c r="I82" s="93">
        <f>SUM(I72:I81)+I16+I24+I29+I36+I43+I45+I47+I49+I51+I56+I61+I66</f>
        <v>-2277206.3500000006</v>
      </c>
      <c r="J82" s="92">
        <f>J16+J24+J29+J36+J43+J45+J47+J49</f>
        <v>0</v>
      </c>
      <c r="K82" s="93">
        <f>SUM(K72:K81)+K16+K24+K29+K36+K43+K45+K47+K49+K51+K56+K61+K66</f>
        <v>-1394542.32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-1391783.1400000001</v>
      </c>
      <c r="P82" s="92">
        <f>P16+P24+P29+P36+P43+P45+P47+P49</f>
        <v>0</v>
      </c>
      <c r="Q82" s="93">
        <f>SUM(Q72:Q81)+Q16+Q24+Q29+Q36+Q43+Q45+Q47+Q49+Q51+Q56+Q61+Q66</f>
        <v>-2810479.69</v>
      </c>
      <c r="R82" s="92">
        <f>R16+R24+R29+R36+R43+R45+R47+R49</f>
        <v>0</v>
      </c>
      <c r="S82" s="93">
        <f>SUM(S72:S81)+S16+S24+S29+S36+S43+S45+S47+S49+S51+S56+S61+S66</f>
        <v>-10636194.02</v>
      </c>
      <c r="T82" s="92">
        <f>T16+T24+T29+T36+T43+T45+T47+T49</f>
        <v>0</v>
      </c>
      <c r="U82" s="93">
        <f>SUM(U72:U81)+U16+U24+U29+U36+U43+U45+U47+U49+U51+U56+U61+U66</f>
        <v>-4789624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198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1"/>
      <c r="C86" s="10" t="s">
        <v>189</v>
      </c>
      <c r="D86" s="182">
        <f>F86+H86+J86+L86+N86+P86+R86+T86+V86+X86</f>
        <v>0</v>
      </c>
      <c r="E86" s="182">
        <f t="shared" ref="D86:E88" si="16">G86+I86+K86+M86+O86+Q86+S86+U86+W86+Y86</f>
        <v>212361.29</v>
      </c>
      <c r="F86" s="182"/>
      <c r="G86" s="182"/>
      <c r="H86" s="182"/>
      <c r="I86" s="182">
        <v>97571.85</v>
      </c>
      <c r="J86" s="182"/>
      <c r="K86" s="182"/>
      <c r="L86" s="182"/>
      <c r="M86" s="182"/>
      <c r="N86" s="182"/>
      <c r="O86" s="182"/>
      <c r="P86" s="182"/>
      <c r="Q86" s="182"/>
      <c r="R86" s="182"/>
      <c r="S86" s="182">
        <v>114789.44</v>
      </c>
      <c r="T86" s="182"/>
      <c r="U86" s="182"/>
      <c r="V86" s="182"/>
      <c r="W86" s="182">
        <v>0</v>
      </c>
      <c r="X86" s="182"/>
      <c r="Y86" s="182"/>
    </row>
    <row r="87" spans="1:26" s="3" customFormat="1" x14ac:dyDescent="0.2">
      <c r="A87" s="181"/>
      <c r="C87" s="10" t="s">
        <v>75</v>
      </c>
      <c r="D87" s="183">
        <f t="shared" si="16"/>
        <v>0</v>
      </c>
      <c r="E87" s="183">
        <f t="shared" si="16"/>
        <v>0</v>
      </c>
      <c r="F87" s="183">
        <v>0</v>
      </c>
      <c r="G87" s="183"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f>U87+W87+Y87+AA87+AC87+AE87+AG87+AI87+AK87+AM87</f>
        <v>0</v>
      </c>
      <c r="T87" s="183">
        <f>V87+X87+Z87+AB87+AD87+AF87+AH87+AJ87+AL87+AN87</f>
        <v>0</v>
      </c>
      <c r="U87" s="183"/>
      <c r="V87" s="183"/>
      <c r="W87" s="183"/>
      <c r="X87" s="183"/>
      <c r="Y87" s="183"/>
    </row>
    <row r="88" spans="1:26" s="3" customFormat="1" x14ac:dyDescent="0.2">
      <c r="A88" s="181"/>
      <c r="C88" s="10" t="s">
        <v>76</v>
      </c>
      <c r="D88" s="184">
        <f t="shared" si="16"/>
        <v>0</v>
      </c>
      <c r="E88" s="184">
        <f t="shared" si="16"/>
        <v>-323600</v>
      </c>
      <c r="F88" s="184">
        <v>0</v>
      </c>
      <c r="G88" s="184">
        <v>0</v>
      </c>
      <c r="H88" s="184">
        <v>0</v>
      </c>
      <c r="I88" s="184">
        <v>-202000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-121600</v>
      </c>
      <c r="T88" s="184">
        <f>V88+X88+Z88+AB88+AD88+AF88+AH88+AJ88+AL88+AN88</f>
        <v>0</v>
      </c>
      <c r="U88" s="184"/>
      <c r="V88" s="184"/>
      <c r="W88" s="184"/>
      <c r="X88" s="184"/>
      <c r="Y88" s="184"/>
    </row>
    <row r="89" spans="1:26" s="149" customFormat="1" ht="20.25" customHeight="1" x14ac:dyDescent="0.2">
      <c r="A89" s="185"/>
      <c r="B89" s="186"/>
      <c r="C89" s="198" t="s">
        <v>196</v>
      </c>
      <c r="D89" s="188">
        <f>SUM(D86:D88)</f>
        <v>0</v>
      </c>
      <c r="E89" s="188">
        <f t="shared" ref="E89:Y89" si="17">SUM(E86:E88)</f>
        <v>-111238.70999999999</v>
      </c>
      <c r="F89" s="188">
        <f t="shared" si="17"/>
        <v>0</v>
      </c>
      <c r="G89" s="188">
        <f t="shared" si="17"/>
        <v>0</v>
      </c>
      <c r="H89" s="188">
        <f t="shared" si="17"/>
        <v>0</v>
      </c>
      <c r="I89" s="188">
        <f t="shared" si="17"/>
        <v>-104428.15</v>
      </c>
      <c r="J89" s="188">
        <f t="shared" si="17"/>
        <v>0</v>
      </c>
      <c r="K89" s="188">
        <f t="shared" si="17"/>
        <v>0</v>
      </c>
      <c r="L89" s="188">
        <f t="shared" si="17"/>
        <v>0</v>
      </c>
      <c r="M89" s="188">
        <f t="shared" si="17"/>
        <v>0</v>
      </c>
      <c r="N89" s="188">
        <f t="shared" si="17"/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-6810.5599999999977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0</v>
      </c>
      <c r="X89" s="188">
        <f t="shared" si="17"/>
        <v>0</v>
      </c>
      <c r="Y89" s="188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5"/>
      <c r="B91" s="186"/>
      <c r="C91" s="187" t="s">
        <v>197</v>
      </c>
      <c r="D91" s="188">
        <f>+D82+D89</f>
        <v>0</v>
      </c>
      <c r="E91" s="188">
        <f t="shared" ref="E91:Y91" si="18">+E82+E89</f>
        <v>-34364847.07</v>
      </c>
      <c r="F91" s="188">
        <f t="shared" si="18"/>
        <v>0</v>
      </c>
      <c r="G91" s="188">
        <f t="shared" si="18"/>
        <v>-10799386.84</v>
      </c>
      <c r="H91" s="188">
        <f t="shared" si="18"/>
        <v>0</v>
      </c>
      <c r="I91" s="188">
        <f t="shared" si="18"/>
        <v>-2381634.5000000005</v>
      </c>
      <c r="J91" s="188">
        <f t="shared" si="18"/>
        <v>0</v>
      </c>
      <c r="K91" s="188">
        <f t="shared" si="18"/>
        <v>-1394542.32</v>
      </c>
      <c r="L91" s="188">
        <f t="shared" si="18"/>
        <v>0</v>
      </c>
      <c r="M91" s="188">
        <f t="shared" si="18"/>
        <v>0</v>
      </c>
      <c r="N91" s="188">
        <f t="shared" si="18"/>
        <v>0</v>
      </c>
      <c r="O91" s="188">
        <f t="shared" si="18"/>
        <v>-1391783.1400000001</v>
      </c>
      <c r="P91" s="188">
        <f t="shared" si="18"/>
        <v>0</v>
      </c>
      <c r="Q91" s="188">
        <f t="shared" si="18"/>
        <v>-2810479.69</v>
      </c>
      <c r="R91" s="188">
        <f t="shared" si="18"/>
        <v>0</v>
      </c>
      <c r="S91" s="188">
        <f t="shared" si="18"/>
        <v>-10643004.58</v>
      </c>
      <c r="T91" s="188">
        <f t="shared" si="18"/>
        <v>0</v>
      </c>
      <c r="U91" s="188">
        <f t="shared" si="18"/>
        <v>-4789624</v>
      </c>
      <c r="V91" s="188">
        <f t="shared" si="18"/>
        <v>0</v>
      </c>
      <c r="W91" s="188">
        <f t="shared" si="18"/>
        <v>0</v>
      </c>
      <c r="X91" s="188">
        <f t="shared" si="18"/>
        <v>0</v>
      </c>
      <c r="Y91" s="188">
        <f t="shared" si="18"/>
        <v>-154392</v>
      </c>
    </row>
    <row r="92" spans="1:26" s="14" customFormat="1" x14ac:dyDescent="0.2">
      <c r="A92" s="199"/>
      <c r="B92" s="200"/>
      <c r="C92" s="14" t="s">
        <v>83</v>
      </c>
      <c r="D92" s="31">
        <v>0</v>
      </c>
      <c r="E92" s="156">
        <v>-34364847.070000008</v>
      </c>
      <c r="F92" s="14">
        <v>0</v>
      </c>
      <c r="G92" s="14">
        <v>-10799386.84</v>
      </c>
      <c r="H92" s="14">
        <v>0</v>
      </c>
      <c r="I92" s="14">
        <v>-2381634.5</v>
      </c>
      <c r="J92" s="14">
        <v>0</v>
      </c>
      <c r="K92" s="14">
        <v>-1394542.32</v>
      </c>
      <c r="L92" s="14">
        <v>0</v>
      </c>
      <c r="M92" s="14">
        <v>0</v>
      </c>
      <c r="N92" s="14">
        <v>0</v>
      </c>
      <c r="O92" s="14">
        <v>-1391783.14</v>
      </c>
      <c r="P92" s="14">
        <v>0</v>
      </c>
      <c r="Q92" s="14">
        <v>-2810479.69</v>
      </c>
      <c r="R92" s="14">
        <v>0</v>
      </c>
      <c r="S92" s="14">
        <v>-10643004.580000002</v>
      </c>
      <c r="T92" s="14">
        <v>0</v>
      </c>
      <c r="U92" s="14">
        <v>-4789624</v>
      </c>
      <c r="V92" s="14">
        <v>0</v>
      </c>
      <c r="W92" s="14">
        <v>0</v>
      </c>
      <c r="X92" s="14">
        <v>0</v>
      </c>
      <c r="Y92" s="14">
        <v>-154392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50015649</v>
      </c>
      <c r="E11" s="65">
        <v>91648139</v>
      </c>
      <c r="F11" s="60">
        <f>H11-D11</f>
        <v>0</v>
      </c>
      <c r="G11" s="37">
        <f>I11-E11</f>
        <v>0</v>
      </c>
      <c r="H11" s="65">
        <f t="shared" ref="H11:I15" si="0">D11</f>
        <v>50015649</v>
      </c>
      <c r="I11" s="66">
        <f t="shared" si="0"/>
        <v>91648139</v>
      </c>
      <c r="J11" s="37"/>
      <c r="K11" s="38"/>
      <c r="L11" s="60">
        <f t="shared" ref="L11:M15" si="1">H11+J11</f>
        <v>50015649</v>
      </c>
      <c r="M11" s="38">
        <f t="shared" si="1"/>
        <v>91648139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15076907</v>
      </c>
      <c r="E13" s="65">
        <v>28472210</v>
      </c>
      <c r="F13" s="60">
        <f t="shared" si="2"/>
        <v>0</v>
      </c>
      <c r="G13" s="37">
        <f t="shared" si="2"/>
        <v>0</v>
      </c>
      <c r="H13" s="65">
        <f t="shared" si="0"/>
        <v>15076907</v>
      </c>
      <c r="I13" s="66">
        <f t="shared" si="0"/>
        <v>28472210</v>
      </c>
      <c r="J13" s="37"/>
      <c r="K13" s="38"/>
      <c r="L13" s="60">
        <f t="shared" si="1"/>
        <v>15076907</v>
      </c>
      <c r="M13" s="38">
        <f t="shared" si="1"/>
        <v>28472210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65092556</v>
      </c>
      <c r="E16" s="39">
        <v>120120349</v>
      </c>
      <c r="F16" s="61">
        <f t="shared" ref="F16:M16" si="3">SUM(F11:F15)</f>
        <v>0</v>
      </c>
      <c r="G16" s="39">
        <f t="shared" si="3"/>
        <v>0</v>
      </c>
      <c r="H16" s="61">
        <f>SUM(H11:H15)</f>
        <v>65092556</v>
      </c>
      <c r="I16" s="39">
        <f>SUM(I11:I15)</f>
        <v>120120349</v>
      </c>
      <c r="J16" s="159">
        <f t="shared" si="3"/>
        <v>0</v>
      </c>
      <c r="K16" s="39">
        <f t="shared" si="3"/>
        <v>0</v>
      </c>
      <c r="L16" s="61">
        <f t="shared" si="3"/>
        <v>65092556</v>
      </c>
      <c r="M16" s="39">
        <f t="shared" si="3"/>
        <v>120120349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-39890734</v>
      </c>
      <c r="E19" s="65">
        <v>-71917584</v>
      </c>
      <c r="F19" s="60">
        <f>H19-D19</f>
        <v>0</v>
      </c>
      <c r="G19" s="37">
        <f>I19-E19</f>
        <v>0</v>
      </c>
      <c r="H19" s="65">
        <f t="shared" si="4"/>
        <v>-39890734</v>
      </c>
      <c r="I19" s="66">
        <f t="shared" si="4"/>
        <v>-71917584</v>
      </c>
      <c r="J19" s="37"/>
      <c r="K19" s="38"/>
      <c r="L19" s="60">
        <f t="shared" ref="L19:M23" si="5">H19+J19</f>
        <v>-39890734</v>
      </c>
      <c r="M19" s="38">
        <f t="shared" si="5"/>
        <v>-71917584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-25249410</v>
      </c>
      <c r="E21" s="65">
        <v>-46363228</v>
      </c>
      <c r="F21" s="60">
        <f t="shared" si="6"/>
        <v>0</v>
      </c>
      <c r="G21" s="37">
        <f t="shared" si="6"/>
        <v>0</v>
      </c>
      <c r="H21" s="65">
        <f t="shared" si="4"/>
        <v>-25249410</v>
      </c>
      <c r="I21" s="66">
        <f t="shared" si="4"/>
        <v>-46363228</v>
      </c>
      <c r="J21" s="37"/>
      <c r="K21" s="38"/>
      <c r="L21" s="60">
        <f t="shared" si="5"/>
        <v>-25249410</v>
      </c>
      <c r="M21" s="38">
        <f t="shared" si="5"/>
        <v>-46363228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331134</v>
      </c>
      <c r="E23" s="65">
        <v>601001</v>
      </c>
      <c r="F23" s="60">
        <f t="shared" si="6"/>
        <v>0</v>
      </c>
      <c r="G23" s="37">
        <f t="shared" si="6"/>
        <v>0</v>
      </c>
      <c r="H23" s="65">
        <f t="shared" si="4"/>
        <v>331134</v>
      </c>
      <c r="I23" s="66">
        <f t="shared" si="4"/>
        <v>601001</v>
      </c>
      <c r="J23" s="37"/>
      <c r="K23" s="38"/>
      <c r="L23" s="60">
        <f t="shared" si="5"/>
        <v>331134</v>
      </c>
      <c r="M23" s="38">
        <f t="shared" si="5"/>
        <v>601001</v>
      </c>
    </row>
    <row r="24" spans="1:13" x14ac:dyDescent="0.2">
      <c r="A24" s="9"/>
      <c r="B24" s="7" t="s">
        <v>37</v>
      </c>
      <c r="C24" s="6"/>
      <c r="D24" s="61">
        <v>-64809010</v>
      </c>
      <c r="E24" s="39">
        <v>-117679811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-64809010</v>
      </c>
      <c r="I24" s="39">
        <f>SUM(I19:I23)</f>
        <v>-117679811</v>
      </c>
      <c r="J24" s="159">
        <f t="shared" si="7"/>
        <v>0</v>
      </c>
      <c r="K24" s="39">
        <f t="shared" si="7"/>
        <v>0</v>
      </c>
      <c r="L24" s="61">
        <f t="shared" si="7"/>
        <v>-64809010</v>
      </c>
      <c r="M24" s="39">
        <f t="shared" si="7"/>
        <v>-117679811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4931167</v>
      </c>
      <c r="E32" s="65">
        <v>9438269</v>
      </c>
      <c r="F32" s="60">
        <f>H32-D32</f>
        <v>0</v>
      </c>
      <c r="G32" s="37">
        <f>I32-E32</f>
        <v>0</v>
      </c>
      <c r="H32" s="65">
        <f t="shared" ref="H32:I35" si="9">D32</f>
        <v>4931167</v>
      </c>
      <c r="I32" s="66">
        <f t="shared" si="9"/>
        <v>9438269</v>
      </c>
      <c r="J32" s="37"/>
      <c r="K32" s="38"/>
      <c r="L32" s="60">
        <f t="shared" ref="L32:M35" si="10">H32+J32</f>
        <v>4931167</v>
      </c>
      <c r="M32" s="38">
        <f t="shared" si="10"/>
        <v>9438269</v>
      </c>
    </row>
    <row r="33" spans="1:13" x14ac:dyDescent="0.2">
      <c r="A33" s="9">
        <v>14</v>
      </c>
      <c r="B33" s="7"/>
      <c r="C33" s="18" t="s">
        <v>44</v>
      </c>
      <c r="D33" s="65">
        <v>-5214713</v>
      </c>
      <c r="E33" s="65">
        <v>-9872539.2115928493</v>
      </c>
      <c r="F33" s="60">
        <f t="shared" ref="F33:G35" si="11">H33-D33</f>
        <v>0</v>
      </c>
      <c r="G33" s="37">
        <f t="shared" si="11"/>
        <v>0</v>
      </c>
      <c r="H33" s="65">
        <f t="shared" si="9"/>
        <v>-5214713</v>
      </c>
      <c r="I33" s="66">
        <f t="shared" si="9"/>
        <v>-9872539.2115928493</v>
      </c>
      <c r="J33" s="37"/>
      <c r="K33" s="38"/>
      <c r="L33" s="60">
        <f t="shared" si="10"/>
        <v>-5214713</v>
      </c>
      <c r="M33" s="38">
        <f t="shared" si="10"/>
        <v>-9872539.2115928493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-283546</v>
      </c>
      <c r="E36" s="39">
        <v>-434270.21159284934</v>
      </c>
      <c r="F36" s="61">
        <f>SUM(F32:F35)</f>
        <v>0</v>
      </c>
      <c r="G36" s="39">
        <f>SUM(G32:G35)</f>
        <v>0</v>
      </c>
      <c r="H36" s="61">
        <f>SUM(H32:H35)</f>
        <v>-283546</v>
      </c>
      <c r="I36" s="39">
        <f>SUM(I32:I35)</f>
        <v>-434270.21159284934</v>
      </c>
      <c r="J36" s="159">
        <f>SUM(J32:J34)</f>
        <v>0</v>
      </c>
      <c r="K36" s="39">
        <f>SUM(K32:K34)</f>
        <v>0</v>
      </c>
      <c r="L36" s="61">
        <f>SUM(L32:L35)</f>
        <v>-283546</v>
      </c>
      <c r="M36" s="39">
        <f>SUM(M32:M35)</f>
        <v>-434270.21159284934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-331134</v>
      </c>
      <c r="E51" s="65">
        <v>-601001</v>
      </c>
      <c r="F51" s="60">
        <f>H51-D51</f>
        <v>0</v>
      </c>
      <c r="G51" s="37">
        <f>I51-E51</f>
        <v>0</v>
      </c>
      <c r="H51" s="65">
        <f>D51</f>
        <v>-331134</v>
      </c>
      <c r="I51" s="66">
        <f>E51</f>
        <v>-601001</v>
      </c>
      <c r="J51" s="37"/>
      <c r="K51" s="38"/>
      <c r="L51" s="60">
        <f>H51+J51</f>
        <v>-331134</v>
      </c>
      <c r="M51" s="38">
        <f>I51+K51</f>
        <v>-601001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-167761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-167761</v>
      </c>
      <c r="J54" s="37"/>
      <c r="K54" s="38"/>
      <c r="L54" s="60">
        <f>H54+J54</f>
        <v>0</v>
      </c>
      <c r="M54" s="38">
        <f>I54+K54</f>
        <v>-167761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-2222198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-2222198</v>
      </c>
      <c r="J55" s="37"/>
      <c r="K55" s="38"/>
      <c r="L55" s="60">
        <f>H55+J55</f>
        <v>0</v>
      </c>
      <c r="M55" s="38">
        <f>I55+K55</f>
        <v>-2222198</v>
      </c>
    </row>
    <row r="56" spans="1:15" x14ac:dyDescent="0.2">
      <c r="A56" s="9"/>
      <c r="B56" s="7" t="s">
        <v>61</v>
      </c>
      <c r="C56" s="6"/>
      <c r="D56" s="61">
        <v>0</v>
      </c>
      <c r="E56" s="39">
        <v>-2389959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-2389959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-2389959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1333277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1333277</v>
      </c>
      <c r="J70" s="37"/>
      <c r="K70" s="38"/>
      <c r="L70" s="60">
        <f t="shared" si="20"/>
        <v>0</v>
      </c>
      <c r="M70" s="38">
        <f t="shared" si="20"/>
        <v>1333277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-2009111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-2009111</v>
      </c>
      <c r="J71" s="37"/>
      <c r="K71" s="38"/>
      <c r="L71" s="60">
        <f t="shared" si="20"/>
        <v>0</v>
      </c>
      <c r="M71" s="38">
        <f t="shared" si="20"/>
        <v>-2009111</v>
      </c>
    </row>
    <row r="72" spans="1:13" x14ac:dyDescent="0.2">
      <c r="A72" s="9"/>
      <c r="B72" s="3"/>
      <c r="C72" s="55" t="s">
        <v>73</v>
      </c>
      <c r="D72" s="61">
        <v>0</v>
      </c>
      <c r="E72" s="39">
        <v>-675834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-675834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-675834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734642.70588235301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734642.70588235301</v>
      </c>
      <c r="J74" s="37"/>
      <c r="K74" s="38"/>
      <c r="L74" s="60">
        <f t="shared" si="24"/>
        <v>0</v>
      </c>
      <c r="M74" s="38">
        <f t="shared" si="24"/>
        <v>734642.70588235301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330670.5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330670.5</v>
      </c>
      <c r="J75" s="37"/>
      <c r="K75" s="38"/>
      <c r="L75" s="60">
        <f t="shared" si="24"/>
        <v>0</v>
      </c>
      <c r="M75" s="38">
        <f t="shared" si="24"/>
        <v>330670.5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-10268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-10268</v>
      </c>
      <c r="J76" s="37"/>
      <c r="K76" s="38"/>
      <c r="L76" s="60">
        <f t="shared" si="24"/>
        <v>0</v>
      </c>
      <c r="M76" s="38">
        <f t="shared" si="24"/>
        <v>-10268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-126121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-126121</v>
      </c>
      <c r="J81" s="37"/>
      <c r="K81" s="38"/>
      <c r="L81" s="60">
        <f t="shared" si="24"/>
        <v>0</v>
      </c>
      <c r="M81" s="38">
        <f t="shared" si="24"/>
        <v>-126121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-731602.00571049377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-731602.00571049377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-731602.00571049377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115626241</v>
      </c>
      <c r="E11" s="38">
        <v>204484840</v>
      </c>
      <c r="F11" s="60">
        <f>H11-D11</f>
        <v>0</v>
      </c>
      <c r="G11" s="37">
        <f>I11-E11</f>
        <v>0</v>
      </c>
      <c r="H11" s="65">
        <f>D11</f>
        <v>115626241</v>
      </c>
      <c r="I11" s="66">
        <f>E11</f>
        <v>204484840</v>
      </c>
      <c r="J11" s="60"/>
      <c r="K11" s="38"/>
      <c r="L11" s="60">
        <f t="shared" ref="L11:M15" si="0">H11+J11</f>
        <v>115626241</v>
      </c>
      <c r="M11" s="38">
        <f t="shared" si="0"/>
        <v>204484840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84822596</v>
      </c>
      <c r="E13" s="38">
        <v>172796928.76049489</v>
      </c>
      <c r="F13" s="60">
        <f t="shared" si="1"/>
        <v>0</v>
      </c>
      <c r="G13" s="37">
        <f t="shared" si="1"/>
        <v>0</v>
      </c>
      <c r="H13" s="65">
        <f t="shared" si="2"/>
        <v>84822596</v>
      </c>
      <c r="I13" s="66">
        <f t="shared" si="2"/>
        <v>172796928.76049489</v>
      </c>
      <c r="J13" s="60"/>
      <c r="K13" s="38"/>
      <c r="L13" s="60">
        <f t="shared" si="0"/>
        <v>84822596</v>
      </c>
      <c r="M13" s="38">
        <f t="shared" si="0"/>
        <v>172796928.76049489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9846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9846</v>
      </c>
      <c r="J14" s="60"/>
      <c r="K14" s="38"/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200448837</v>
      </c>
      <c r="E16" s="39">
        <v>377291614.76049489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200448837</v>
      </c>
      <c r="I16" s="39">
        <f>SUM(I11:I15)</f>
        <v>377291614.76049489</v>
      </c>
      <c r="J16" s="61">
        <f t="shared" si="3"/>
        <v>0</v>
      </c>
      <c r="K16" s="39">
        <f t="shared" si="3"/>
        <v>0</v>
      </c>
      <c r="L16" s="61">
        <f t="shared" si="3"/>
        <v>200448837</v>
      </c>
      <c r="M16" s="39">
        <f t="shared" si="3"/>
        <v>377291614.76049489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-114171418</v>
      </c>
      <c r="E19" s="38">
        <v>-205822962</v>
      </c>
      <c r="F19" s="60">
        <f>H19-D19</f>
        <v>0</v>
      </c>
      <c r="G19" s="37">
        <f>I19-E19</f>
        <v>0</v>
      </c>
      <c r="H19" s="65">
        <f t="shared" si="4"/>
        <v>-114171418</v>
      </c>
      <c r="I19" s="66">
        <f t="shared" si="4"/>
        <v>-205822962</v>
      </c>
      <c r="J19" s="60"/>
      <c r="K19" s="38"/>
      <c r="L19" s="60">
        <f t="shared" ref="L19:M23" si="5">H19+J19</f>
        <v>-114171418</v>
      </c>
      <c r="M19" s="38">
        <f t="shared" si="5"/>
        <v>-205822962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-75996667</v>
      </c>
      <c r="E21" s="38">
        <v>-158370293</v>
      </c>
      <c r="F21" s="60">
        <f t="shared" si="6"/>
        <v>0</v>
      </c>
      <c r="G21" s="37">
        <f t="shared" si="6"/>
        <v>0</v>
      </c>
      <c r="H21" s="65">
        <f t="shared" si="4"/>
        <v>-75996667</v>
      </c>
      <c r="I21" s="66">
        <f t="shared" si="4"/>
        <v>-158370293</v>
      </c>
      <c r="J21" s="60"/>
      <c r="K21" s="38"/>
      <c r="L21" s="60">
        <f t="shared" si="5"/>
        <v>-75996667</v>
      </c>
      <c r="M21" s="38">
        <f t="shared" si="5"/>
        <v>-158370293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894213</v>
      </c>
      <c r="E23" s="38">
        <v>1720010</v>
      </c>
      <c r="F23" s="60">
        <f t="shared" si="6"/>
        <v>0</v>
      </c>
      <c r="G23" s="37">
        <f t="shared" si="6"/>
        <v>0</v>
      </c>
      <c r="H23" s="65">
        <f t="shared" si="4"/>
        <v>894213</v>
      </c>
      <c r="I23" s="66">
        <f t="shared" si="4"/>
        <v>1720010</v>
      </c>
      <c r="J23" s="60"/>
      <c r="K23" s="38"/>
      <c r="L23" s="60">
        <f t="shared" si="5"/>
        <v>894213</v>
      </c>
      <c r="M23" s="38">
        <f t="shared" si="5"/>
        <v>1720010</v>
      </c>
    </row>
    <row r="24" spans="1:13" x14ac:dyDescent="0.2">
      <c r="A24" s="9"/>
      <c r="B24" s="7" t="s">
        <v>37</v>
      </c>
      <c r="C24" s="6"/>
      <c r="D24" s="61">
        <v>-189273872</v>
      </c>
      <c r="E24" s="39">
        <v>-362473245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-189273872</v>
      </c>
      <c r="I24" s="39">
        <f>SUM(I19:I23)</f>
        <v>-362473245</v>
      </c>
      <c r="J24" s="61">
        <f t="shared" si="7"/>
        <v>0</v>
      </c>
      <c r="K24" s="39">
        <f t="shared" si="7"/>
        <v>0</v>
      </c>
      <c r="L24" s="61">
        <f t="shared" si="7"/>
        <v>-189273872</v>
      </c>
      <c r="M24" s="39">
        <f t="shared" si="7"/>
        <v>-362473245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-978794</v>
      </c>
      <c r="E27" s="38">
        <v>-1772939</v>
      </c>
      <c r="F27" s="60">
        <f>H27-D27</f>
        <v>0</v>
      </c>
      <c r="G27" s="37">
        <f>I27-E27</f>
        <v>0</v>
      </c>
      <c r="H27" s="65">
        <f>D27</f>
        <v>-978794</v>
      </c>
      <c r="I27" s="66">
        <f>E27</f>
        <v>-1772939</v>
      </c>
      <c r="J27" s="60"/>
      <c r="K27" s="38"/>
      <c r="L27" s="60">
        <f>H27+J27</f>
        <v>-978794</v>
      </c>
      <c r="M27" s="38">
        <f>I27+K27</f>
        <v>-1772939</v>
      </c>
    </row>
    <row r="28" spans="1:13" x14ac:dyDescent="0.2">
      <c r="A28" s="9">
        <v>12</v>
      </c>
      <c r="B28" s="7"/>
      <c r="C28" s="18" t="s">
        <v>40</v>
      </c>
      <c r="D28" s="60">
        <v>1476461</v>
      </c>
      <c r="E28" s="38">
        <v>2857245</v>
      </c>
      <c r="F28" s="60">
        <f>H28-D28</f>
        <v>0</v>
      </c>
      <c r="G28" s="37">
        <f>I28-E28</f>
        <v>0</v>
      </c>
      <c r="H28" s="65">
        <f>D28</f>
        <v>1476461</v>
      </c>
      <c r="I28" s="66">
        <f>E28</f>
        <v>2857245</v>
      </c>
      <c r="J28" s="60"/>
      <c r="K28" s="38"/>
      <c r="L28" s="60">
        <f>H28+J28</f>
        <v>1476461</v>
      </c>
      <c r="M28" s="38">
        <f>I28+K28</f>
        <v>2857245</v>
      </c>
    </row>
    <row r="29" spans="1:13" x14ac:dyDescent="0.2">
      <c r="A29" s="9"/>
      <c r="B29" s="7" t="s">
        <v>41</v>
      </c>
      <c r="C29" s="6"/>
      <c r="D29" s="61">
        <v>497667</v>
      </c>
      <c r="E29" s="39">
        <v>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497667</v>
      </c>
      <c r="I29" s="39">
        <f>SUM(I27:I28)</f>
        <v>1084306</v>
      </c>
      <c r="J29" s="61">
        <f t="shared" si="8"/>
        <v>0</v>
      </c>
      <c r="K29" s="39">
        <f t="shared" si="8"/>
        <v>0</v>
      </c>
      <c r="L29" s="61">
        <f t="shared" si="8"/>
        <v>497667</v>
      </c>
      <c r="M29" s="39">
        <f t="shared" si="8"/>
        <v>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160916</v>
      </c>
      <c r="E32" s="38">
        <v>310946</v>
      </c>
      <c r="F32" s="60">
        <f>H32-D32</f>
        <v>0</v>
      </c>
      <c r="G32" s="37">
        <f>I32-E32</f>
        <v>0</v>
      </c>
      <c r="H32" s="65">
        <f t="shared" ref="H32:I35" si="9">D32</f>
        <v>160916</v>
      </c>
      <c r="I32" s="66">
        <f t="shared" si="9"/>
        <v>310946</v>
      </c>
      <c r="J32" s="60"/>
      <c r="K32" s="38"/>
      <c r="L32" s="60">
        <f t="shared" ref="L32:M35" si="10">H32+J32</f>
        <v>160916</v>
      </c>
      <c r="M32" s="38">
        <f t="shared" si="10"/>
        <v>310946</v>
      </c>
    </row>
    <row r="33" spans="1:13" x14ac:dyDescent="0.2">
      <c r="A33" s="9">
        <v>14</v>
      </c>
      <c r="B33" s="7"/>
      <c r="C33" s="18" t="s">
        <v>44</v>
      </c>
      <c r="D33" s="60">
        <v>92358</v>
      </c>
      <c r="E33" s="38">
        <v>138835.47962299478</v>
      </c>
      <c r="F33" s="60">
        <f t="shared" ref="F33:G35" si="11">H33-D33</f>
        <v>0</v>
      </c>
      <c r="G33" s="37">
        <f t="shared" si="11"/>
        <v>0</v>
      </c>
      <c r="H33" s="65">
        <f t="shared" si="9"/>
        <v>92358</v>
      </c>
      <c r="I33" s="66">
        <f t="shared" si="9"/>
        <v>138835.47962299478</v>
      </c>
      <c r="J33" s="60"/>
      <c r="K33" s="38"/>
      <c r="L33" s="60">
        <f t="shared" si="10"/>
        <v>92358</v>
      </c>
      <c r="M33" s="38">
        <f t="shared" si="10"/>
        <v>138835.47962299478</v>
      </c>
    </row>
    <row r="34" spans="1:13" x14ac:dyDescent="0.2">
      <c r="A34" s="9">
        <v>15</v>
      </c>
      <c r="B34" s="7"/>
      <c r="C34" s="18" t="s">
        <v>45</v>
      </c>
      <c r="D34" s="60">
        <v>370827</v>
      </c>
      <c r="E34" s="38">
        <v>681979</v>
      </c>
      <c r="F34" s="60">
        <f t="shared" si="11"/>
        <v>0</v>
      </c>
      <c r="G34" s="37">
        <f t="shared" si="11"/>
        <v>0</v>
      </c>
      <c r="H34" s="65">
        <f t="shared" si="9"/>
        <v>370827</v>
      </c>
      <c r="I34" s="66">
        <f t="shared" si="9"/>
        <v>681979</v>
      </c>
      <c r="J34" s="60"/>
      <c r="K34" s="38"/>
      <c r="L34" s="60">
        <f t="shared" si="10"/>
        <v>370827</v>
      </c>
      <c r="M34" s="38">
        <f t="shared" si="10"/>
        <v>681979</v>
      </c>
    </row>
    <row r="35" spans="1:13" x14ac:dyDescent="0.2">
      <c r="A35" s="9">
        <v>16</v>
      </c>
      <c r="B35" s="7"/>
      <c r="C35" s="18" t="s">
        <v>46</v>
      </c>
      <c r="D35" s="60">
        <v>-296839</v>
      </c>
      <c r="E35" s="38">
        <v>-557042</v>
      </c>
      <c r="F35" s="60">
        <f t="shared" si="11"/>
        <v>0</v>
      </c>
      <c r="G35" s="37">
        <f t="shared" si="11"/>
        <v>0</v>
      </c>
      <c r="H35" s="65">
        <f t="shared" si="9"/>
        <v>-296839</v>
      </c>
      <c r="I35" s="66">
        <f t="shared" si="9"/>
        <v>-557042</v>
      </c>
      <c r="J35" s="60"/>
      <c r="K35" s="38"/>
      <c r="L35" s="60">
        <f t="shared" si="10"/>
        <v>-296839</v>
      </c>
      <c r="M35" s="38">
        <f t="shared" si="10"/>
        <v>-557042</v>
      </c>
    </row>
    <row r="36" spans="1:13" x14ac:dyDescent="0.2">
      <c r="A36" s="9"/>
      <c r="B36" s="7" t="s">
        <v>47</v>
      </c>
      <c r="C36" s="6"/>
      <c r="D36" s="61">
        <v>327262</v>
      </c>
      <c r="E36" s="39">
        <v>574718.47962299478</v>
      </c>
      <c r="F36" s="61">
        <f>SUM(F32:F35)</f>
        <v>0</v>
      </c>
      <c r="G36" s="39">
        <f>SUM(G32:G35)</f>
        <v>0</v>
      </c>
      <c r="H36" s="61">
        <f>SUM(H32:H35)</f>
        <v>327262</v>
      </c>
      <c r="I36" s="39">
        <f>SUM(I32:I35)</f>
        <v>574718.47962299478</v>
      </c>
      <c r="J36" s="61">
        <f>SUM(J32:J34)</f>
        <v>0</v>
      </c>
      <c r="K36" s="39">
        <f>SUM(K32:K34)</f>
        <v>0</v>
      </c>
      <c r="L36" s="61">
        <f>SUM(L32:L35)</f>
        <v>327262</v>
      </c>
      <c r="M36" s="39">
        <f>SUM(M32:M35)</f>
        <v>574718.47962299478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888159</v>
      </c>
      <c r="E39" s="38">
        <v>1591242</v>
      </c>
      <c r="F39" s="60">
        <f t="shared" ref="F39:G41" si="13">H39-D39</f>
        <v>0</v>
      </c>
      <c r="G39" s="37">
        <f t="shared" si="13"/>
        <v>0</v>
      </c>
      <c r="H39" s="65">
        <f t="shared" si="12"/>
        <v>888159</v>
      </c>
      <c r="I39" s="66">
        <f t="shared" si="12"/>
        <v>1591242</v>
      </c>
      <c r="J39" s="60"/>
      <c r="K39" s="38"/>
      <c r="L39" s="60">
        <f t="shared" ref="L39:M41" si="14">H39+J39</f>
        <v>888159</v>
      </c>
      <c r="M39" s="38">
        <f t="shared" si="14"/>
        <v>1591242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-13695957</v>
      </c>
      <c r="E40" s="38">
        <v>-14078658</v>
      </c>
      <c r="F40" s="60">
        <f t="shared" si="13"/>
        <v>0</v>
      </c>
      <c r="G40" s="37">
        <f t="shared" si="13"/>
        <v>0</v>
      </c>
      <c r="H40" s="65">
        <f t="shared" si="12"/>
        <v>-13695957</v>
      </c>
      <c r="I40" s="66">
        <f t="shared" si="12"/>
        <v>-14078658</v>
      </c>
      <c r="J40" s="60"/>
      <c r="K40" s="38"/>
      <c r="L40" s="60">
        <f t="shared" si="14"/>
        <v>-13695957</v>
      </c>
      <c r="M40" s="38">
        <f t="shared" si="14"/>
        <v>-14078658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-13695957</v>
      </c>
      <c r="E42" s="39">
        <v>-14078658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-13695957</v>
      </c>
      <c r="I42" s="39">
        <f>SUM(I40:I41)</f>
        <v>-14078658</v>
      </c>
      <c r="J42" s="61">
        <f t="shared" si="15"/>
        <v>0</v>
      </c>
      <c r="K42" s="39">
        <f t="shared" si="15"/>
        <v>0</v>
      </c>
      <c r="L42" s="61">
        <f t="shared" si="15"/>
        <v>-13695957</v>
      </c>
      <c r="M42" s="39">
        <f t="shared" si="15"/>
        <v>-14078658</v>
      </c>
    </row>
    <row r="43" spans="1:13" ht="21" customHeight="1" x14ac:dyDescent="0.2">
      <c r="A43" s="9"/>
      <c r="B43" s="7" t="s">
        <v>53</v>
      </c>
      <c r="C43" s="6"/>
      <c r="D43" s="61">
        <v>-12807798</v>
      </c>
      <c r="E43" s="39">
        <v>-12487416</v>
      </c>
      <c r="F43" s="61">
        <f t="shared" ref="F43:M43" si="16">F42+F39</f>
        <v>0</v>
      </c>
      <c r="G43" s="39">
        <f t="shared" si="16"/>
        <v>0</v>
      </c>
      <c r="H43" s="61">
        <f>H42+H39</f>
        <v>-12807798</v>
      </c>
      <c r="I43" s="39">
        <f>I42+I39</f>
        <v>-12487416</v>
      </c>
      <c r="J43" s="61">
        <f t="shared" si="16"/>
        <v>0</v>
      </c>
      <c r="K43" s="39">
        <f t="shared" si="16"/>
        <v>0</v>
      </c>
      <c r="L43" s="61">
        <f t="shared" si="16"/>
        <v>-12807798</v>
      </c>
      <c r="M43" s="39">
        <f t="shared" si="16"/>
        <v>-12487416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927904</v>
      </c>
      <c r="E49" s="38">
        <v>1694569.7466751307</v>
      </c>
      <c r="F49" s="60">
        <f>H49-D49</f>
        <v>0</v>
      </c>
      <c r="G49" s="37">
        <f>I49-E49</f>
        <v>0</v>
      </c>
      <c r="H49" s="65">
        <f>D49</f>
        <v>927904</v>
      </c>
      <c r="I49" s="66">
        <f>E49</f>
        <v>1694569.7466751307</v>
      </c>
      <c r="J49" s="60"/>
      <c r="K49" s="38"/>
      <c r="L49" s="60">
        <f>H49+J49</f>
        <v>927904</v>
      </c>
      <c r="M49" s="38">
        <f>I49+K49</f>
        <v>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-894213</v>
      </c>
      <c r="E51" s="38">
        <v>-1831541.7040676132</v>
      </c>
      <c r="F51" s="60">
        <f>H51-D51</f>
        <v>0</v>
      </c>
      <c r="G51" s="37">
        <f>I51-E51</f>
        <v>0</v>
      </c>
      <c r="H51" s="65">
        <f>D51</f>
        <v>-894213</v>
      </c>
      <c r="I51" s="66">
        <f>E51</f>
        <v>-1831541.7040676132</v>
      </c>
      <c r="J51" s="60"/>
      <c r="K51" s="38"/>
      <c r="L51" s="60">
        <f>H51+J51</f>
        <v>-894213</v>
      </c>
      <c r="M51" s="38">
        <f>I51+K51</f>
        <v>-1831541.7040676132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-1952872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-1952872</v>
      </c>
      <c r="J54" s="60"/>
      <c r="K54" s="38"/>
      <c r="L54" s="60">
        <f>H54+J54</f>
        <v>0</v>
      </c>
      <c r="M54" s="38">
        <f>I54+K54</f>
        <v>-1952872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-12941863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-12941863</v>
      </c>
      <c r="J55" s="60"/>
      <c r="K55" s="38"/>
      <c r="L55" s="60">
        <f>H55+J55</f>
        <v>0</v>
      </c>
      <c r="M55" s="38">
        <f>I55+K55</f>
        <v>-12941863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-14894735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-14894735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-14894735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-133947.92000000001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-133947.92000000001</v>
      </c>
      <c r="J60" s="60"/>
      <c r="K60" s="38"/>
      <c r="L60" s="60">
        <f>H60+J60</f>
        <v>0</v>
      </c>
      <c r="M60" s="38">
        <f>I60+K60</f>
        <v>-133947.92000000001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182067.92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182067.92</v>
      </c>
      <c r="J64" s="60"/>
      <c r="K64" s="38"/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182067.92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182067.92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f>6867542.64-6867542.64-3892111</f>
        <v>-3892111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-3892111</v>
      </c>
      <c r="J70" s="60"/>
      <c r="K70" s="38"/>
      <c r="L70" s="60">
        <f>H70+J70</f>
        <v>0</v>
      </c>
      <c r="M70" s="38">
        <f>I70+K70</f>
        <v>-3892111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-7870825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-7870825</v>
      </c>
      <c r="J71" s="60"/>
      <c r="K71" s="38"/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v>0</v>
      </c>
      <c r="E72" s="39">
        <f>+E70+E71</f>
        <v>-11762936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-11762936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-11762936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f>-56016+10759653</f>
        <v>10703637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10703637</v>
      </c>
      <c r="J74" s="60"/>
      <c r="K74" s="38"/>
      <c r="L74" s="60">
        <f t="shared" si="22"/>
        <v>0</v>
      </c>
      <c r="M74" s="38">
        <f t="shared" si="22"/>
        <v>10703637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191499.5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191499.5</v>
      </c>
      <c r="J75" s="60"/>
      <c r="K75" s="38"/>
      <c r="L75" s="60">
        <f t="shared" si="22"/>
        <v>0</v>
      </c>
      <c r="M75" s="38">
        <f t="shared" si="22"/>
        <v>191499.5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12201070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12201070</v>
      </c>
      <c r="J79" s="60"/>
      <c r="K79" s="38"/>
      <c r="L79" s="60">
        <f t="shared" si="22"/>
        <v>0</v>
      </c>
      <c r="M79" s="38">
        <f t="shared" si="22"/>
        <v>12201070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152798.017028186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152798.017028186</v>
      </c>
      <c r="J80" s="60"/>
      <c r="K80" s="38"/>
      <c r="L80" s="60">
        <f t="shared" si="22"/>
        <v>0</v>
      </c>
      <c r="M80" s="38">
        <f t="shared" si="22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-1568146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-1568146</v>
      </c>
      <c r="J81" s="60"/>
      <c r="K81" s="38"/>
      <c r="L81" s="60">
        <f t="shared" si="22"/>
        <v>0</v>
      </c>
      <c r="M81" s="38">
        <f t="shared" si="22"/>
        <v>-1568146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120000</v>
      </c>
      <c r="E82" s="74">
        <f>SUM(E72:E81)+E16+E24+E29+E36+E43+E45+E47+E49+E51+E56+E61+E66</f>
        <v>686320.74475360289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120000</v>
      </c>
      <c r="I82" s="161">
        <f>SUM(I72:I81)+I16+I24+I29+I36+I43+I45+I47+I49+I51+I56+I61+I66</f>
        <v>686320.74475360289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120000</v>
      </c>
      <c r="M82" s="74">
        <f>SUM(M72:M81)+M16+M24+M29+M36+M43+M45+M47+M49+M51+M56+M61+M66</f>
        <v>686320.74475360289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192</v>
      </c>
      <c r="B85" s="3"/>
      <c r="K85" s="45"/>
    </row>
    <row r="86" spans="1:67" s="3" customFormat="1" x14ac:dyDescent="0.2">
      <c r="A86" s="181"/>
      <c r="C86" s="10" t="s">
        <v>189</v>
      </c>
      <c r="D86" s="168">
        <v>0</v>
      </c>
      <c r="E86" s="168">
        <v>97571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97571</v>
      </c>
      <c r="J86" s="168"/>
      <c r="K86" s="168"/>
      <c r="L86" s="168">
        <f t="shared" ref="L86:M88" si="26">H86+J86</f>
        <v>0</v>
      </c>
      <c r="M86" s="168">
        <f t="shared" si="26"/>
        <v>97571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-201905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-201905</v>
      </c>
      <c r="J88" s="170"/>
      <c r="K88" s="170"/>
      <c r="L88" s="170">
        <f t="shared" si="26"/>
        <v>0</v>
      </c>
      <c r="M88" s="170">
        <f t="shared" si="26"/>
        <v>-201905</v>
      </c>
    </row>
    <row r="89" spans="1:67" s="44" customFormat="1" ht="20.25" customHeight="1" x14ac:dyDescent="0.2">
      <c r="A89" s="190"/>
      <c r="B89" s="191"/>
      <c r="C89" s="192" t="s">
        <v>190</v>
      </c>
      <c r="D89" s="193">
        <f>SUM(D86:D88)</f>
        <v>0</v>
      </c>
      <c r="E89" s="193">
        <f t="shared" ref="E89:M89" si="27">SUM(E86:E88)</f>
        <v>-104334</v>
      </c>
      <c r="F89" s="193">
        <f t="shared" si="27"/>
        <v>0</v>
      </c>
      <c r="G89" s="193">
        <f t="shared" si="27"/>
        <v>0</v>
      </c>
      <c r="H89" s="193">
        <f t="shared" si="27"/>
        <v>0</v>
      </c>
      <c r="I89" s="193">
        <f t="shared" si="27"/>
        <v>-104334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-104334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3">
        <f>+D82+D89</f>
        <v>120000</v>
      </c>
      <c r="E91" s="193">
        <f t="shared" ref="E91:M91" si="28">+E82+E89</f>
        <v>581986.74475360289</v>
      </c>
      <c r="F91" s="193">
        <f t="shared" si="28"/>
        <v>0</v>
      </c>
      <c r="G91" s="193">
        <f t="shared" si="28"/>
        <v>0</v>
      </c>
      <c r="H91" s="193">
        <f t="shared" si="28"/>
        <v>120000</v>
      </c>
      <c r="I91" s="193">
        <f t="shared" si="28"/>
        <v>581986.74475360289</v>
      </c>
      <c r="J91" s="193">
        <f t="shared" si="28"/>
        <v>0</v>
      </c>
      <c r="K91" s="193">
        <f t="shared" si="28"/>
        <v>0</v>
      </c>
      <c r="L91" s="193">
        <f t="shared" si="28"/>
        <v>120000</v>
      </c>
      <c r="M91" s="193">
        <f t="shared" si="28"/>
        <v>581986.74475360289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53" activePane="bottomRight" state="frozen"/>
      <selection activeCell="E14" sqref="E14"/>
      <selection pane="topRight" activeCell="E14" sqref="E14"/>
      <selection pane="bottomLeft" activeCell="E14" sqref="E14"/>
      <selection pane="bottomRight" activeCell="D53" sqref="D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9140188</v>
      </c>
      <c r="E11" s="65">
        <v>16844935</v>
      </c>
      <c r="F11" s="65">
        <f>H11-D11</f>
        <v>0</v>
      </c>
      <c r="G11" s="63">
        <f>I11-E11</f>
        <v>0</v>
      </c>
      <c r="H11" s="65">
        <f>D11</f>
        <v>9140188</v>
      </c>
      <c r="I11" s="66">
        <f>E11</f>
        <v>16844935</v>
      </c>
      <c r="J11" s="60"/>
      <c r="K11" s="38"/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4217731</v>
      </c>
      <c r="E13" s="60">
        <v>7863361.2395051038</v>
      </c>
      <c r="F13" s="65">
        <f t="shared" si="1"/>
        <v>0</v>
      </c>
      <c r="G13" s="63">
        <f t="shared" si="1"/>
        <v>0</v>
      </c>
      <c r="H13" s="65">
        <f t="shared" si="2"/>
        <v>4217731</v>
      </c>
      <c r="I13" s="66">
        <f t="shared" si="2"/>
        <v>7863361.2395051038</v>
      </c>
      <c r="J13" s="60"/>
      <c r="K13" s="38"/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13357919</v>
      </c>
      <c r="E16" s="61">
        <v>24708296.239505105</v>
      </c>
      <c r="F16" s="61">
        <f t="shared" ref="F16:M16" si="3">SUM(F11:F15)</f>
        <v>0</v>
      </c>
      <c r="G16" s="39">
        <f t="shared" si="3"/>
        <v>0</v>
      </c>
      <c r="H16" s="61">
        <f>SUM(H11:H15)</f>
        <v>13357919</v>
      </c>
      <c r="I16" s="39">
        <f>SUM(I11:I15)</f>
        <v>24708296.239505105</v>
      </c>
      <c r="J16" s="61">
        <f t="shared" si="3"/>
        <v>0</v>
      </c>
      <c r="K16" s="39">
        <f t="shared" si="3"/>
        <v>0</v>
      </c>
      <c r="L16" s="61">
        <f t="shared" si="3"/>
        <v>13357919</v>
      </c>
      <c r="M16" s="39">
        <f t="shared" si="3"/>
        <v>24708296.239505105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-2320411</v>
      </c>
      <c r="E19" s="60">
        <v>-4147235</v>
      </c>
      <c r="F19" s="65">
        <f>H19-D19</f>
        <v>0</v>
      </c>
      <c r="G19" s="63">
        <f>I19-E19</f>
        <v>0</v>
      </c>
      <c r="H19" s="65">
        <f t="shared" si="4"/>
        <v>-2320411</v>
      </c>
      <c r="I19" s="66">
        <f t="shared" si="4"/>
        <v>-4147235</v>
      </c>
      <c r="J19" s="60"/>
      <c r="K19" s="38"/>
      <c r="L19" s="60">
        <f t="shared" ref="L19:M23" si="5">H19+J19</f>
        <v>-2320411</v>
      </c>
      <c r="M19" s="38">
        <f t="shared" si="5"/>
        <v>-4147235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-9663424</v>
      </c>
      <c r="E21" s="60">
        <v>-17568887</v>
      </c>
      <c r="F21" s="65">
        <f t="shared" si="6"/>
        <v>0</v>
      </c>
      <c r="G21" s="63">
        <f t="shared" si="6"/>
        <v>0</v>
      </c>
      <c r="H21" s="65">
        <f t="shared" si="4"/>
        <v>-9663424</v>
      </c>
      <c r="I21" s="66">
        <f t="shared" si="4"/>
        <v>-17568887</v>
      </c>
      <c r="J21" s="60"/>
      <c r="K21" s="38"/>
      <c r="L21" s="60">
        <f t="shared" si="5"/>
        <v>-9663424</v>
      </c>
      <c r="M21" s="38">
        <f t="shared" si="5"/>
        <v>-17568887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-11983835</v>
      </c>
      <c r="E24" s="61">
        <v>-21716122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-11983835</v>
      </c>
      <c r="I24" s="39">
        <f>SUM(I19:I23)</f>
        <v>-21716122</v>
      </c>
      <c r="J24" s="61">
        <f t="shared" si="7"/>
        <v>0</v>
      </c>
      <c r="K24" s="39">
        <f t="shared" si="7"/>
        <v>0</v>
      </c>
      <c r="L24" s="61">
        <f t="shared" si="7"/>
        <v>-11983835</v>
      </c>
      <c r="M24" s="39">
        <f t="shared" si="7"/>
        <v>-21716122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978794</v>
      </c>
      <c r="E27" s="60">
        <v>1772939</v>
      </c>
      <c r="F27" s="65">
        <f>H27-D27</f>
        <v>0</v>
      </c>
      <c r="G27" s="63">
        <f>I27-E27</f>
        <v>0</v>
      </c>
      <c r="H27" s="65">
        <f>D27</f>
        <v>978794</v>
      </c>
      <c r="I27" s="66">
        <f>E27</f>
        <v>1772939</v>
      </c>
      <c r="J27" s="60"/>
      <c r="K27" s="38"/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0">
        <v>-1476461</v>
      </c>
      <c r="E28" s="60">
        <v>-2857245</v>
      </c>
      <c r="F28" s="65">
        <f>H28-D28</f>
        <v>0</v>
      </c>
      <c r="G28" s="63">
        <f>I28-E28</f>
        <v>0</v>
      </c>
      <c r="H28" s="65">
        <f>D28</f>
        <v>-1476461</v>
      </c>
      <c r="I28" s="66">
        <f>E28</f>
        <v>-2857245</v>
      </c>
      <c r="J28" s="60"/>
      <c r="K28" s="38"/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v>-497667</v>
      </c>
      <c r="E29" s="61">
        <v>-1084306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-497667</v>
      </c>
      <c r="I29" s="39">
        <f>SUM(I27:I28)</f>
        <v>-1084306</v>
      </c>
      <c r="J29" s="61">
        <f t="shared" si="8"/>
        <v>0</v>
      </c>
      <c r="K29" s="39">
        <f t="shared" si="8"/>
        <v>0</v>
      </c>
      <c r="L29" s="61">
        <f t="shared" si="8"/>
        <v>-497667</v>
      </c>
      <c r="M29" s="39">
        <f t="shared" si="8"/>
        <v>-1084306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372334</v>
      </c>
      <c r="E32" s="60">
        <v>689049</v>
      </c>
      <c r="F32" s="65">
        <f>H32-D32</f>
        <v>0</v>
      </c>
      <c r="G32" s="63">
        <f>I32-E32</f>
        <v>0</v>
      </c>
      <c r="H32" s="65">
        <f t="shared" ref="H32:I35" si="9">D32</f>
        <v>372334</v>
      </c>
      <c r="I32" s="66">
        <f t="shared" si="9"/>
        <v>689049</v>
      </c>
      <c r="J32" s="60"/>
      <c r="K32" s="38"/>
      <c r="L32" s="60">
        <f t="shared" ref="L32:M35" si="10">H32+J32</f>
        <v>372334</v>
      </c>
      <c r="M32" s="38">
        <f t="shared" si="10"/>
        <v>689049</v>
      </c>
    </row>
    <row r="33" spans="1:13" x14ac:dyDescent="0.2">
      <c r="A33" s="9">
        <v>14</v>
      </c>
      <c r="B33" s="7"/>
      <c r="C33" s="18" t="s">
        <v>44</v>
      </c>
      <c r="D33" s="60">
        <v>-440847</v>
      </c>
      <c r="E33" s="60">
        <v>-812591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-440847</v>
      </c>
      <c r="I33" s="66">
        <f t="shared" si="9"/>
        <v>-812591</v>
      </c>
      <c r="J33" s="60"/>
      <c r="K33" s="38"/>
      <c r="L33" s="60">
        <f t="shared" si="10"/>
        <v>-440847</v>
      </c>
      <c r="M33" s="38">
        <f t="shared" si="10"/>
        <v>-812591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-68513</v>
      </c>
      <c r="E36" s="61">
        <v>-123542</v>
      </c>
      <c r="F36" s="61">
        <f>SUM(F32:F35)</f>
        <v>0</v>
      </c>
      <c r="G36" s="39">
        <f>SUM(G32:G35)</f>
        <v>0</v>
      </c>
      <c r="H36" s="61">
        <f>SUM(H32:H35)</f>
        <v>-68513</v>
      </c>
      <c r="I36" s="39">
        <f>SUM(I32:I35)</f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-927904</v>
      </c>
      <c r="E49" s="60">
        <v>-1694569.7466751307</v>
      </c>
      <c r="F49" s="65">
        <f>H49-D49</f>
        <v>0</v>
      </c>
      <c r="G49" s="63">
        <f>I49-E49</f>
        <v>0</v>
      </c>
      <c r="H49" s="65">
        <f>D49</f>
        <v>-927904</v>
      </c>
      <c r="I49" s="66">
        <f>E49</f>
        <v>-1694569.7466751307</v>
      </c>
      <c r="J49" s="60"/>
      <c r="K49" s="38"/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133947.92000000001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133947.92000000001</v>
      </c>
      <c r="J60" s="60"/>
      <c r="K60" s="38"/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61">
        <v>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133947.92000000001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161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TRNSPT_FLSH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TRANSPT_GL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TRNSPT_VAR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TRNSPT_VAR!Print_Area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2000-03-15T14:34:53Z</cp:lastPrinted>
  <dcterms:created xsi:type="dcterms:W3CDTF">1997-07-11T21:57:33Z</dcterms:created>
  <dcterms:modified xsi:type="dcterms:W3CDTF">2023-09-15T15:02:41Z</dcterms:modified>
</cp:coreProperties>
</file>